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Funding Tracking" sheetId="2" r:id="rId5"/>
    <sheet state="visible" name="Infra vs. Clinical" sheetId="3" r:id="rId6"/>
    <sheet state="visible" name="Requests Charts" sheetId="4" r:id="rId7"/>
    <sheet state="visible" name="Funding charts" sheetId="5" r:id="rId8"/>
    <sheet state="visible" name="BHD Charts" sheetId="6" r:id="rId9"/>
    <sheet state="visible" name="Intern Tracking" sheetId="7" r:id="rId10"/>
    <sheet state="visible" name="RaceEthnicity" sheetId="8" r:id="rId11"/>
    <sheet state="visible" name="Staff Usage Count 4.24.25" sheetId="9" r:id="rId12"/>
  </sheets>
  <definedNames>
    <definedName hidden="1" localSheetId="1" name="_xlnm._FilterDatabase">'Funding Tracking'!$D$1:$D$1003</definedName>
    <definedName hidden="1" localSheetId="2" name="_xlnm._FilterDatabase">'Infra vs. Clinical'!$E$1:$E$1009</definedName>
    <definedName hidden="1" localSheetId="0" name="Z_8F843500_1080_4E9E_B709_740A31FE7148_.wvu.FilterData">'Form Responses 1'!$H$1:$H$947</definedName>
    <definedName hidden="1" localSheetId="0" name="Z_F9FB2EFA_76B7_4C7A_9EDC_542652D89E08_.wvu.FilterData">'Form Responses 1'!$A$1:$W$850</definedName>
    <definedName hidden="1" localSheetId="0" name="Z_EC4C39CA_1C67_4ED0_A039_4B3BCFAECB4E_.wvu.FilterData">'Form Responses 1'!$C$1:$C$1947</definedName>
    <definedName hidden="1" localSheetId="0" name="Z_477118C7_6748_4281_843E_499925D6E6E6_.wvu.FilterData">'Form Responses 1'!$H$1:$H$1947</definedName>
    <definedName hidden="1" localSheetId="0" name="Z_A93F8831_129F_46AD_9FCB_5A095467D80D_.wvu.FilterData">'Form Responses 1'!$A$1:$X$850</definedName>
    <definedName hidden="1" localSheetId="1" name="Z_4651BDDA_D392_40FE_A539_522420F37C81_.wvu.FilterData">'Funding Tracking'!$D$1:$D$1003</definedName>
    <definedName hidden="1" localSheetId="0" name="Z_B4A65218_A55F_4A0B_AC2E_C1FCB425E57B_.wvu.FilterData">'Form Responses 1'!$A$1:$W$850</definedName>
    <definedName hidden="1" localSheetId="0" name="Z_5CC34CC7_1557_46D9_BC6E_10ADD13FE040_.wvu.FilterData">'Form Responses 1'!$A$1:$W$850</definedName>
    <definedName hidden="1" localSheetId="0" name="Z_8832D4C9_7D16_4C33_AB9A_815EA6A77A2C_.wvu.FilterData">'Form Responses 1'!$A$1:$X$850</definedName>
  </definedNames>
  <calcPr/>
  <customWorkbookViews>
    <customWorkbookView activeSheetId="0" maximized="1" windowHeight="0" windowWidth="0" guid="{F9FB2EFA-76B7-4C7A-9EDC-542652D89E08}" name="Approved - Interns"/>
    <customWorkbookView activeSheetId="0" maximized="1" windowHeight="0" windowWidth="0" guid="{5CC34CC7-1557-46D9-BC6E-10ADD13FE040}" name="Approved - All"/>
    <customWorkbookView activeSheetId="0" maximized="1" windowHeight="0" windowWidth="0" guid="{4651BDDA-D392-40FE-A539-522420F37C81}" name="Clinical Supervision"/>
    <customWorkbookView activeSheetId="0" maximized="1" windowHeight="0" windowWidth="0" guid="{8F843500-1080-4E9E-B709-740A31FE7148}" name="Clinical Supervision ish"/>
    <customWorkbookView activeSheetId="0" maximized="1" windowHeight="0" windowWidth="0" guid="{A93F8831-129F-46AD-9FCB-5A095467D80D}" name="Denied"/>
    <customWorkbookView activeSheetId="0" maximized="1" windowHeight="0" windowWidth="0" guid="{B4A65218-A55F-4A0B-AC2E-C1FCB425E57B}" name="Approved - Trainings Only (No recruitment, etc.)"/>
    <customWorkbookView activeSheetId="0" maximized="1" windowHeight="0" windowWidth="0" guid="{8832D4C9-7D16-4C33-AB9A-815EA6A77A2C}" name="Internships"/>
    <customWorkbookView activeSheetId="0" maximized="1" windowHeight="0" windowWidth="0" guid="{EC4C39CA-1C67-4ED0-A039-4B3BCFAECB4E}" name="Email filter"/>
    <customWorkbookView activeSheetId="0" maximized="1" windowHeight="0" windowWidth="0" guid="{477118C7-6748-4281-843E-499925D6E6E6}" name="Recruitment - All"/>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50">
      <text>
        <t xml:space="preserve">"120,000 for 4 clinical interns
"
</t>
      </text>
    </comment>
    <comment authorId="0" ref="I51">
      <text>
        <t xml:space="preserve">requesting $4080 for one year of 2xmonth supervision for Hipsia Kiester
</t>
      </text>
    </comment>
    <comment authorId="0" ref="I63">
      <text>
        <t xml:space="preserve">Early Bird Non Member Rate – $59.00  (Unless we're a member or partner organization in which case we can get a discounted rate)</t>
      </text>
    </comment>
    <comment authorId="0" ref="I68">
      <text>
        <t xml:space="preserve">$529 for class, 2 nights at hotel $400 = Total is $929</t>
      </text>
    </comment>
    <comment authorId="0" ref="AK455">
      <text>
        <t xml:space="preserve">Hi @billie.gibbs@multco.us , can you forward me this email? Thanks
	-Andrew Vargas Delman</t>
      </text>
    </comment>
    <comment authorId="0" ref="H4">
      <text>
        <t xml:space="preserve">Hi @jennifer.gulzow@multco.us , is this the correct category for this $12k MD Staff expense? Wasn't sure if we linked Clinical Supervision costs to MD Staff
	-Andrew Vargas Delman</t>
      </text>
    </comment>
    <comment authorId="0" ref="A1">
      <text>
        <t xml:space="preserve">@andrew.vargas.delman@multco.us Check with Jen on Ramon's 3x
	-Andrew Vargas Delman</t>
      </text>
    </comment>
    <comment authorId="0" ref="C474">
      <text>
        <t xml:space="preserve">@andrew.vargas.delman@multco.us This is clinical supervision, but not for licensure. Allowed?
	-Andrew Vargas Delman
We would need a contract in place with this agency to provide supervision to our staff. Staff can attend conferences and trainings without a contract, but can not engage in any kind of "supervisory" relationship without a contract in place.
	-Jennifer Gulzow</t>
      </text>
    </comment>
    <comment authorId="0" ref="C492">
      <text>
        <t xml:space="preserve">@andrew.vargas.delman@multco.us Might need to deny this. Ask Jen
	-Andrew Vargas Delman
Deny this - it isn't in line with grant funding. Sarah can talk with Carmelle about this conference and if there are program funds to pay for it.
	-Jennifer Gulzow</t>
      </text>
    </comment>
    <comment authorId="0" ref="A507">
      <text>
        <t xml:space="preserve">@alicia.r.thompson@multco.us  This is approved. - Keyonia W
	-Andrew Vargas Delman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5">
      <text>
        <t xml:space="preserve">Not sure if this was actually ever paid
	-Andrew Vargas Delman</t>
      </text>
    </comment>
  </commentList>
</comments>
</file>

<file path=xl/sharedStrings.xml><?xml version="1.0" encoding="utf-8"?>
<sst xmlns="http://schemas.openxmlformats.org/spreadsheetml/2006/main" count="20609" uniqueCount="3199">
  <si>
    <t>Approval Status</t>
  </si>
  <si>
    <t>Timestamp</t>
  </si>
  <si>
    <t>Email Address</t>
  </si>
  <si>
    <t>Race</t>
  </si>
  <si>
    <t>Gender Identity</t>
  </si>
  <si>
    <t>Sexual Orientation</t>
  </si>
  <si>
    <t>Disabilities</t>
  </si>
  <si>
    <t>Please select the item you are requesting funding for:</t>
  </si>
  <si>
    <t>How much money are you requesting/what is the cost of this service?</t>
  </si>
  <si>
    <t>Which program do you work in, or which program will this funding support? If it is funding for/training for multiple programs, please select all that apply. If it is funding for/training for an entire unit, just select that unit.</t>
  </si>
  <si>
    <t>Please upload any required supporting documentation (such as training or conference information, proof of enrollment in higher education classes, etc).</t>
  </si>
  <si>
    <t>Please share the name of the class, conference or training you would like to attend or coordinate, and the location. We can NOT fund travel outside of the United States, per county rules. Include the link, or upload information about it in the next question.</t>
  </si>
  <si>
    <t xml:space="preserve">Have you received your supervisor's or manager's approval for this request? </t>
  </si>
  <si>
    <t>Union/Representation Status of staff receiving/using the funding</t>
  </si>
  <si>
    <t>Who is this funding for? Enter the name of the unit/program or staff member that will be using the funding</t>
  </si>
  <si>
    <t>What is the date for this request? The date of the training, travel, conference, course, book needed, etc. 
***Please note, if this is needed in less than 6 weeks, your request may not be processed.***</t>
  </si>
  <si>
    <t>Does this training require travel or accommodations, or is it a virtual/local training?</t>
  </si>
  <si>
    <t>Please select your position type</t>
  </si>
  <si>
    <t>Will this training provide CEUs for a credential that you currently hold or are pursuing?</t>
  </si>
  <si>
    <t>Please describe how this training will directly support licensed or credentialed providers, or how it will improve quality of care for BHD clients. (1-2 sentences)
Note: You may skip this question if the request is for...
- A clinical staff member AND this training provides CEUs
- Clinical Supervision
- Recruiting Platform Costs
- Payment/Reimbursement of Credential/Licensure
- Lead Pay 5%</t>
  </si>
  <si>
    <t>Clinical Licensure Supervision only — which provider are you planning to work with?</t>
  </si>
  <si>
    <t>Clinical Licensure Supervision only — which license is this supporting? (LPC, LCSW, etc.)</t>
  </si>
  <si>
    <t>Clinical Licensure Supervision only — how many hours per month do you plan to meet with the supervisor?</t>
  </si>
  <si>
    <t>If this is a group request, approx. how many staff will receive the benefit?</t>
  </si>
  <si>
    <t/>
  </si>
  <si>
    <t>Date email sent (if needed) for supervisor approval</t>
  </si>
  <si>
    <t>Approver initials</t>
  </si>
  <si>
    <t>Date Funding was approved/email sent to staff</t>
  </si>
  <si>
    <t>Reason funding was denied</t>
  </si>
  <si>
    <t>Amount Approved</t>
  </si>
  <si>
    <t>Cost Center</t>
  </si>
  <si>
    <t>Notes</t>
  </si>
  <si>
    <t>Represented Status</t>
  </si>
  <si>
    <t>Admin cost? (AVD manual update. Reconcile with "Infrastructure" column)</t>
  </si>
  <si>
    <t>Infrastructure</t>
  </si>
  <si>
    <t>Justification Reason</t>
  </si>
  <si>
    <t>Approved</t>
  </si>
  <si>
    <t>sara.simmers@multco.us</t>
  </si>
  <si>
    <t>Decline to answer</t>
  </si>
  <si>
    <t>I don't know</t>
  </si>
  <si>
    <t>Prefer Not to Answer</t>
  </si>
  <si>
    <t>I Prefer Not to Answer</t>
  </si>
  <si>
    <t>Recruiting Platform Costs/Funding</t>
  </si>
  <si>
    <t>Aid and Assist</t>
  </si>
  <si>
    <t>Regular Represented</t>
  </si>
  <si>
    <t>Approved by Billie.</t>
  </si>
  <si>
    <t>?</t>
  </si>
  <si>
    <t>Training or Conference for any CEUs required for any position in BHD</t>
  </si>
  <si>
    <t>Youth Intensive Care Coordination</t>
  </si>
  <si>
    <t>Continuous training with Netsmart finance developer</t>
  </si>
  <si>
    <t>jennifer.gulzow@multco.us</t>
  </si>
  <si>
    <t>White</t>
  </si>
  <si>
    <t>Female or Woman</t>
  </si>
  <si>
    <t>Lesbian</t>
  </si>
  <si>
    <t>No, I don't have a disability</t>
  </si>
  <si>
    <t>Payment/reimbursement for CEUs to become a Clinical Supervisor</t>
  </si>
  <si>
    <t>Addiction and Prevention Program Unit, Care Coordination Unit, CMHP - Safety Net Services Unit, CMHP - Diversion Courts and Commitment Program Unit, Direct Clinical Services Unit, Quality Management Unit</t>
  </si>
  <si>
    <t>MD-Staff Platform</t>
  </si>
  <si>
    <t>AVD - find ledger line</t>
  </si>
  <si>
    <t>Amber Ramos (per Carmelle)</t>
  </si>
  <si>
    <t>I Don't Know</t>
  </si>
  <si>
    <t>General Training/Conference</t>
  </si>
  <si>
    <t>Billing Team</t>
  </si>
  <si>
    <t xml:space="preserve">1. Yearlong membership/access to Codify by AAPC - online coding database used by medical coders to access codes and other resources - membership is $569/year: https://www.aapc.com/codify/coder-complete.aspx 
This is needed to provide BHD's only medical coder (Amber Ramos) with the resources she needs to be able to provide coding support to BHD's billing programs.
2. Yearlong membership to Coding Intel- online database for coding webinars, CMS and CPT updates, and training resources. Membership is $350/year: https://codingintel.com/become-a-member/#memberships
This is needed to provide BHD's only medical coder (Amber Ramos) with training opportunities and access to up to date changes and information related to billing codes.
</t>
  </si>
  <si>
    <t>carmelle.cooper@multco.us</t>
  </si>
  <si>
    <t>Heterosexual</t>
  </si>
  <si>
    <t>Billing Team, Records Team</t>
  </si>
  <si>
    <r>
      <rPr/>
      <t xml:space="preserve">Attending the National Council for Mental Wellbeing Conference in St. Louis, Missouri from April 15-17, 2024. Will need registration, airfare, hotel, and per diem food: 
</t>
    </r>
    <r>
      <rPr>
        <color rgb="FF1155CC"/>
        <u/>
      </rPr>
      <t>https://natcon24.eventscribe.net/aaStatic.asp?SFP=QlpWVURIUFRAMTY2Njc</t>
    </r>
    <r>
      <rPr/>
      <t xml:space="preserve">
This is the largest conference in mental health and substance use treatment and will provide education, training, and tools to help me in my role as the billing and records manager for the BHD.</t>
    </r>
  </si>
  <si>
    <t>Management/Leadership or other Non-Union/Non Represented staff</t>
  </si>
  <si>
    <t>G40 0591 01 BWIBH</t>
  </si>
  <si>
    <t>Regular Non-Represented</t>
  </si>
  <si>
    <t>Yes</t>
  </si>
  <si>
    <t>shari.kliewer@multco.us</t>
  </si>
  <si>
    <t>Quality Assurance and Compliance Unit</t>
  </si>
  <si>
    <t>https://drive.google.com/open?id=1yYVIMTGmguvwiJLO0Uj9Wy7T6-vfOO5o</t>
  </si>
  <si>
    <t>Fundamentals of Compliance Investigations</t>
  </si>
  <si>
    <t>https://drive.google.com/open?id=11-ZISkcu1-1Lg6KXjpP7wiPK6ehQ0kRg</t>
  </si>
  <si>
    <t>SCCE Useful Tools for Building a Culture of Compliance</t>
  </si>
  <si>
    <t>laurel.s.b.wonder@multco.us</t>
  </si>
  <si>
    <t>Female or Woman, Gender Expansive or Gender Non-Conforming or Genderqueer</t>
  </si>
  <si>
    <t>Queer</t>
  </si>
  <si>
    <t>$2495 for the cost of the multiple day course; $575 for cost of Project Management Professional Testing</t>
  </si>
  <si>
    <t>Older Adult Behavioral Health Initiative</t>
  </si>
  <si>
    <t>https://drive.google.com/open?id=18li5s__Q_aTB9jbKZg5jnil-RqHULIcb, https://drive.google.com/open?id=1WKAK3CYWPi00pfi5l5LKYXjxCG1WDRl7</t>
  </si>
  <si>
    <t>Project Management Bootcamp (https://projectmanagementacademy.net/pmp-certification/portland)</t>
  </si>
  <si>
    <t>jennifer.evans@multco.us</t>
  </si>
  <si>
    <t>Wraparound</t>
  </si>
  <si>
    <r>
      <rPr/>
      <t xml:space="preserve">Trauma Informed Care Training provided by Trauma Informed Oregon. This training will be specific to the needs of our care coordination team. </t>
    </r>
    <r>
      <rPr>
        <color rgb="FF1155CC"/>
        <u/>
      </rPr>
      <t>https://traumainformedoregon.org/</t>
    </r>
  </si>
  <si>
    <t>maggie.manning@multco.us</t>
  </si>
  <si>
    <t>Clinical Intern</t>
  </si>
  <si>
    <t>Choice Model Program</t>
  </si>
  <si>
    <t>https://drive.google.com/open?id=1Nd1DUHriGq21eLC3aGzghjalWs42W3DA</t>
  </si>
  <si>
    <t>https://drive.google.com/open?id=14wb0uyw3hdlq1qWrthVhofBZN6-qZwpd</t>
  </si>
  <si>
    <t>Project Management Professional Testing</t>
  </si>
  <si>
    <t>billie.gibbs@multco.us</t>
  </si>
  <si>
    <r>
      <rPr/>
      <t xml:space="preserve">"Attending the National Council for Mental Wellbeing Conference in St. Louis, Missouri from April 15-17, 2024. Will need registration, airfare, hotel, and per diem food: 
</t>
    </r>
    <r>
      <rPr>
        <color rgb="FF1155CC"/>
        <u/>
      </rPr>
      <t>https://natcon24.eventscribe.net/aaStatic.asp?SFP=QlpWVURIUFRAMTY2Njc</t>
    </r>
  </si>
  <si>
    <t>Union Staff/Represented Staff</t>
  </si>
  <si>
    <t>SS 12/14/23</t>
  </si>
  <si>
    <t>cheryl.lemley@multco.us</t>
  </si>
  <si>
    <t>College to County Intern</t>
  </si>
  <si>
    <t>Call Center/Crisis Services</t>
  </si>
  <si>
    <t>julie.glover-walsh@multco.us</t>
  </si>
  <si>
    <t>School Based Mental Health (SBMH)</t>
  </si>
  <si>
    <t>Clinical Supervision  https://graduate.lclark.edu/calendars/events/event/351174-clinical-supervision-online</t>
  </si>
  <si>
    <t>maira.blum@multco.us</t>
  </si>
  <si>
    <t>2 or more races</t>
  </si>
  <si>
    <t>https://drive.google.com/open?id=1PEGm_cmnyGqIW_PaK8_qbNGPnOXduqqG</t>
  </si>
  <si>
    <t>https://graduate.lclark.edu/calendars/events/event/351174-clinical-supervision-online</t>
  </si>
  <si>
    <t>chanel.walker-harris@multco.us</t>
  </si>
  <si>
    <t>Black of African American</t>
  </si>
  <si>
    <t xml:space="preserve">Lewis and Clark Clinical Supervisor Training Series </t>
  </si>
  <si>
    <t>rachel.orourke@multco.us</t>
  </si>
  <si>
    <t>https://drive.google.com/open?id=1AW-6wL0Opx9rmoS5pNzXf7_kWB0mO2sY</t>
  </si>
  <si>
    <t>35th Annual Boston International Trauma Conference</t>
  </si>
  <si>
    <t>Call Center/Crisis Services, Disaster Management</t>
  </si>
  <si>
    <t>https://drive.google.com/open?id=1_y1WXTn-Z982VHVMlj7TlfbrZAKEp298</t>
  </si>
  <si>
    <t>American Association of Suicidology 57th Annual Conference</t>
  </si>
  <si>
    <t>barbara.snow@multco.us</t>
  </si>
  <si>
    <t>CMHP - Safety Net Services Unit</t>
  </si>
  <si>
    <t>American Association of Suicidology Annual Conference (https://suicidology.org/aas24/)</t>
  </si>
  <si>
    <t>kelley.duron@multco.us</t>
  </si>
  <si>
    <t>BH Director's Office</t>
  </si>
  <si>
    <t>Lean Six Sigma Healthcare Green Belt Training: https://www.6sigmacertificationonline.com/lean-six-sigma-healthcare-green-belt/</t>
  </si>
  <si>
    <t>ana.hristic@multco.us</t>
  </si>
  <si>
    <t>Slavic</t>
  </si>
  <si>
    <t>https://drive.google.com/open?id=1_RoemxeyS_UJhWdLoTRjFJ2_SSp9EQWJ</t>
  </si>
  <si>
    <t>10 Week online Mindfulness Based Stress Reduction Teacher Training - this is part one</t>
  </si>
  <si>
    <t>Culturally Specific Training or Conference</t>
  </si>
  <si>
    <t>Quality Management Unit</t>
  </si>
  <si>
    <t xml:space="preserve">1. Membership (decreases exam cost basically by amount of membership). https://www.pmi.org/store/checkout/cart (let me know if this link doesn't show my cart - it's a PMI membership + joining Portland chapter ($184 total)
2. PMI authorized exam prep https://www.pmi.org/shop/us/p-/elearning/pmi-authorized-on-demand-pmp-exam-prep/el034 ($699 member price)
3. Exam https://www.pmi.org/certifications/project-management-pmp ($405 member price, $575 non-member)
</t>
  </si>
  <si>
    <t>jessica.ramirez-pichette@multco.us</t>
  </si>
  <si>
    <t>Yes, I have a disability (or previously had a disability)</t>
  </si>
  <si>
    <t>https://drive.google.com/open?id=15QtqsBsEJgENKt47-V4ncfjhLd2rynthgitg4uWfNlY</t>
  </si>
  <si>
    <t>American Association of Suicidology Annual Conference</t>
  </si>
  <si>
    <t>amy.solt@multco.us</t>
  </si>
  <si>
    <t>https://drive.google.com/open?id=1WgeSMHGKEc9mISdnaeovNOOFC7E7lfksLGuW9mDhHaE</t>
  </si>
  <si>
    <t xml:space="preserve">2SLGBTQ+ Meaningful Care Conference </t>
  </si>
  <si>
    <t>stephen.p.dunlevy@multco.us</t>
  </si>
  <si>
    <t>Male or Man</t>
  </si>
  <si>
    <t>Gay</t>
  </si>
  <si>
    <t>american association of suicidology conference (las vegas, may 2024) https://aas24.eventscribe.net/</t>
  </si>
  <si>
    <t>reyna.martinez-martinez@multco.us</t>
  </si>
  <si>
    <t>Latino or Hispanic</t>
  </si>
  <si>
    <t>Tuition Assistance/Reimbursement for clinical degree qualifying someone to be a QMHA or QMHP</t>
  </si>
  <si>
    <t>https://drive.google.com/open?id=1gUDBPcBLxCdJWfzlcbxFHLjqznCgiHOh</t>
  </si>
  <si>
    <t>Health Equity &amp; Social Justice (PHE-446U)</t>
  </si>
  <si>
    <t>https://drive.google.com/open?id=19Lwy1ULlXquOEKdWQoyNUhJJkasb2SaK</t>
  </si>
  <si>
    <t>Program Planning Evaluation I (PHE 478 002)</t>
  </si>
  <si>
    <t>ember.vonletkemann@multco.us</t>
  </si>
  <si>
    <t>Non-Binary</t>
  </si>
  <si>
    <t>erin.fisher7@multco.us</t>
  </si>
  <si>
    <t>https://drive.google.com/open?id=1ks4mkTsUTMGbK6iQAPISmco2Eyf7DO6M</t>
  </si>
  <si>
    <t>Applied Suicide Intervention Skills Training</t>
  </si>
  <si>
    <t>mayra.hernandez8@multco.us</t>
  </si>
  <si>
    <t>Dialectical Behavior Therapy Certification Training- books and supplies for training</t>
  </si>
  <si>
    <t>gianna.solomon@multco.us</t>
  </si>
  <si>
    <t>Black of African American, White, 2 or more races</t>
  </si>
  <si>
    <t>Preschool for All - (PFA)</t>
  </si>
  <si>
    <t>https://drive.google.com/open?id=1iLHdWCpCyOQcsWCyrQQW_YkpvFgbUuAK</t>
  </si>
  <si>
    <t xml:space="preserve"> National Training Institute on Effective Practices: Addressing Challenging Behavior 
 https://challengingbehavior.org/training/conference/ </t>
  </si>
  <si>
    <t>darcell.dance@multco.us</t>
  </si>
  <si>
    <r>
      <rPr/>
      <t xml:space="preserve">NTI 2024  </t>
    </r>
    <r>
      <rPr>
        <color rgb="FF1155CC"/>
        <u/>
      </rPr>
      <t>https://web.cvent.com/event/344b0fc4-ed99-4aa4-bbc1-8cd15f369434/summary</t>
    </r>
  </si>
  <si>
    <t>darcy.kennedy@multco.us</t>
  </si>
  <si>
    <t>https://graduate.lclark.edu/calendars/events/event/354358-clinical-supervision-online
30 hour clinical supervisor training</t>
  </si>
  <si>
    <t>https://drive.google.com/open?id=15embUY8r0jlA61XlasyGSd8gE_AX8eHT</t>
  </si>
  <si>
    <t xml:space="preserve">Dialectical Behavior Therapy Certification Training </t>
  </si>
  <si>
    <t>jessica.hall@multco.us</t>
  </si>
  <si>
    <r>
      <rPr/>
      <t xml:space="preserve">Racial Generational Trauma: Evidence-Based Somatic Interventions for BIPOC Clients </t>
    </r>
    <r>
      <rPr>
        <color rgb="FF1155CC"/>
        <u/>
      </rPr>
      <t>https://catalog.pesi.com/item/racial-generational-trauma-evidencebased-somatic-interventions-bipoc-clients-111451</t>
    </r>
  </si>
  <si>
    <t>carmen.butcher-houston8@multco.us</t>
  </si>
  <si>
    <t>https://drive.google.com/open?id=15gOGb41NadCxbzTdMxVZRSXWXPpU2wRK</t>
  </si>
  <si>
    <t xml:space="preserve">
National Association of Black Social Workers 56th Annual National Conference https://web.cvent.com/event/45c36312-a35c-4747-9981-3bbf9cb11766/websitePage:2502a466-a8f2-41fe-bad3-bca04c8214e4</t>
  </si>
  <si>
    <t>anne.saraceno@multco.us</t>
  </si>
  <si>
    <t>https://drive.google.com/open?id=1Zdrjsc9FMrm-eeUlrpZ8CVAwDt4g0jjU</t>
  </si>
  <si>
    <t>2024 START National Training Institute Advancing the Field of IDD-MH Through Networking, Collaboration, and Education https://centerforstartservices.org/2024-snti</t>
  </si>
  <si>
    <t>dylan.thompson@multco.us</t>
  </si>
  <si>
    <t>https://drive.google.com/open?id=1pUzXhfDCk9Byo_yhLMAMGjB3j-OWkoJA</t>
  </si>
  <si>
    <t>2024 START National Training Institute</t>
  </si>
  <si>
    <t>Staff Cancellation</t>
  </si>
  <si>
    <t>https://pinestreetsangha.org/events/restorative-ethics-an-online-ce-workshop-for-mental-health-professionals/</t>
  </si>
  <si>
    <t>https://shop.qualityinteractions.com/collections/oblptc?hsCtaTracking=2e97cb21-d094-40e1-9fd6-3a80395da2d4%7Cec65c58f-199a-4808-8846-a6ac436c7010</t>
  </si>
  <si>
    <t>https://catalog.pesi.com/sales/bh_c_001403_ifsimmersioncourse_ppc-645391?utm_term=&amp;utm_campaign=US+%7C+BH+%7C+NB+%7C+N/A+%7C+Dynamic+%7C+DSA+%7C+US&amp;utm_source=google&amp;utm_medium=cpc&amp;hsa_acc=7268932594&amp;hsa_cam=15699028317&amp;hsa_grp=134607065514&amp;hsa_ad=571893149718&amp;hsa_src=g&amp;hsa_tgt=dsa-1410349818921&amp;hsa_kw=&amp;hsa_mt=&amp;hsa_net=adwords&amp;hsa_ver=3&amp;gclid=CjwKCAiAqY6tBhAtEiwAHeRopRks0RJR4JdZKojEZbgxeRg9L5TgpPabOlhF_v1u82exE6X1kir1-BoCUxEQAvD_BwE&amp;gclsrc=aw.ds</t>
  </si>
  <si>
    <t>https://ifs-institute.com/trainings/level-1/north-american-trainings/982</t>
  </si>
  <si>
    <t>NatCon24</t>
  </si>
  <si>
    <t>carolyn.manke@multco.us</t>
  </si>
  <si>
    <t>Early Assessment and Support Alliance (EASA)</t>
  </si>
  <si>
    <t>https://drive.google.com/open?id=1MbSZX7bSKltnpb6_1E4_3tdNXPnc6Kih</t>
  </si>
  <si>
    <t xml:space="preserve">This training already has taken place for the EASA team. It was led by Endurance Counseling and Consulting LLC. The invoice it attached </t>
  </si>
  <si>
    <t>Emailed post funding survey 4/25/24 by ART.</t>
  </si>
  <si>
    <t>yolanda.gonzalez@multco.us</t>
  </si>
  <si>
    <t>Direct Clinical Services Unit</t>
  </si>
  <si>
    <t>Pending QM Approval</t>
  </si>
  <si>
    <t>Payment for external Clinical Supervisor Sessions</t>
  </si>
  <si>
    <t>requesting $4080 for one year of 2xmonth supervision for Hipsia Kiester</t>
  </si>
  <si>
    <t>sarah.wittmann@multco.us</t>
  </si>
  <si>
    <t>Adult Protective Services and Risk Case Management</t>
  </si>
  <si>
    <t>cee.bondurant@multco.us</t>
  </si>
  <si>
    <t>Transgender Female or Trans Woman or Transfeminine</t>
  </si>
  <si>
    <t xml:space="preserve">
Decolonizing Mental Health Workbook - Cee Bondurant.pdf
Decolonizing MH Article - Cee Bondurant.pdf</t>
  </si>
  <si>
    <t>Decolonizing Mental Health Training Series with Dr. Shawna Murray-Browne, Ph.D., LCSW-C</t>
  </si>
  <si>
    <t>Dr Shannon Flyer - Cee Bondurant.pdf</t>
  </si>
  <si>
    <t>Training Series with Dr. Shannon Wong Lerner focused on Unconscious Biases;
Black, Latinx, Asian, LGBTQIA+, Trans, GNC, and Intersectional Advocacy
and Coalition Building; Listening to Diverse Staff with Empathy and Belonging and 
How to Deal with DEI Resistance. Includes 1:1 consultation and coaching</t>
  </si>
  <si>
    <t>susan.yoon@multco.us</t>
  </si>
  <si>
    <t>Asian</t>
  </si>
  <si>
    <t>cost of registration and cost of flight. Maybe able to stay w relative to save on hotel cost</t>
  </si>
  <si>
    <r>
      <rPr/>
      <t xml:space="preserve">Preventing, Assessing &amp; Treating Trauma Across the Lifespan
</t>
    </r>
    <r>
      <rPr>
        <color rgb="FF1155CC"/>
        <u/>
      </rPr>
      <t>https://www.ivatcenters.org/hawaii-summit</t>
    </r>
  </si>
  <si>
    <r>
      <rPr>
        <color rgb="FF1155CC"/>
        <u/>
      </rPr>
      <t xml:space="preserve">About Us — Enby Consulting + Vivid Emotion Studio
</t>
    </r>
    <r>
      <rPr>
        <color rgb="FF000000"/>
      </rPr>
      <t>Mulnomah County OR - Behavioral Health Consultation - 2025 Updated Pricing Sheet.docx</t>
    </r>
  </si>
  <si>
    <t xml:space="preserve">Liberation-Focused Healing Framework for All Black Folks Series with Randall S. Leonard, LCSW-C. Randall is a proud Black Non-Binary licensed clinical social worker specializing in the care of LGBTQIA individuals. They draw from their lived experiences and liberation practices, centering liberation of Black and Queer People in Mental Health. This training series will include workshops focused on several topics, such as: encouraging authenticity, reconnecting to queer history and lineage, empowering shared lived experiences, clinical best practices and operationalizing them across our unit. Randall will also hold affinity spaces for Black staff along the way and provide consultation to ensure we have the tools needed to make these practices sustainable. 
https://enbyconsulting.com/about-us
</t>
  </si>
  <si>
    <t>Ethics of Trauma Work with Two Spirit, Trans and Gender-Expansive People Workshop Series with Tavi Hawn, LCSW-C Tavi is a non-binary trans Two Spirit keynote speaker, author, 2SLGBTQ+ advocate, change maker, and DEI strategist and consultant. 
They are the founder of Reclaim and Rise, serve as faculty for the Indian Country Transgender ECHO project and as a consultant with Native American Lifelines. Tavi aims to contribute by improving the quality of care found in a multitude of service locations for Two Spirit, Indigiqueer and Transgender individuals and families. 
This workshop series will focus on gender diversity in ancient history; more recent history and the culture of Two Spirit and trans people; gender affirming and liberatory practices with Two Spirit and trans youth and families; clinical best practices and increasing access to truly anti-racist, trans-affirming care.
https://www.tavihawn.com/
https://reclaimandrisetherapy.com/about/tavi-hawn/
https://firestorm.coop/products/17643-the-gender-identity-guide-for-parents.html</t>
  </si>
  <si>
    <t>Deep Dive Into Trans Liberation Workshop with Black and Beyond the Binary Collective (B3C)
B3C builds leadership, healing and safety for Black - African transgender, queer, nonbinary, Two Spirit and intersex (TQN2SI+) Oregonians and envision a future that gives power back to their communities, celebrates self-expression and preserves the dignity, joy and the future of Black TQN2SI+ communities living fully liberated lives. They are uniquely positioned in Oregon as one of the few organizations specializing in Black trans work, led by Black trans people. This 2 Day Workshop will focus on the history of Trans Liberation (with a focus on Black TQN2SI+ experiences), addressing anti-Black racism, how to serve our Black queer and trans community and tools for creating affirming spaces for them.
https://www.blackbeyondthebinarycollective.org/services-5</t>
  </si>
  <si>
    <t>erica.gilliland@multco.us</t>
  </si>
  <si>
    <t>Bisexual</t>
  </si>
  <si>
    <t>https://drive.google.com/open?id=1vFBfAvn9dq44VOatTYSDnsaLWGJHF_9e, https://drive.google.com/open?id=1TCRZsiDa0vBsfBh-hlILftpT7M6oz2S7</t>
  </si>
  <si>
    <t xml:space="preserve">Cornell University, online Diversity, Equity and Inclusion course. 40 CEU hours towards QMHP-C recertification for July 2024. </t>
  </si>
  <si>
    <t>abrianna.williams@multco.us</t>
  </si>
  <si>
    <t>Direct Clinical Services Unit, Early Childhood Services (EC)</t>
  </si>
  <si>
    <t>https://drive.google.com/open?id=1-eEjT7rP0V5c_-0cum31Jk4l4Cmz7mAc</t>
  </si>
  <si>
    <t>Somatic EMDR Therapy Certificate</t>
  </si>
  <si>
    <t>https://drive.google.com/open?id=1_3Db6DUzAZ9sHaePetvbjeJT78uqaK9Q</t>
  </si>
  <si>
    <t xml:space="preserve">Behavioral Health Call Center would like to apply to American Association of Suicidology.https://suicidology.org/member/  This membership would allow for staff to access training, journals, discounted conference rates, and accreditation option for the call center. Which align with the impact current and future BHD employees in increasing the number of qualified applicants; opportunities for trainings, CE, and conferences. </t>
  </si>
  <si>
    <t>angela.petrjanos@multco.us</t>
  </si>
  <si>
    <t>https://drive.google.com/open?id=1Ims-DiTlH67jGfJSn5AYke5RBUIY_-JZ</t>
  </si>
  <si>
    <t>I got a subscription to CE4less for 1 year which allowed me to take several trainings required for my licensure (ethics, suicide assessment/intervention, etc).</t>
  </si>
  <si>
    <t>christi.s.taylor@multco.us</t>
  </si>
  <si>
    <t>Evolv Administration Team</t>
  </si>
  <si>
    <r>
      <rPr/>
      <t xml:space="preserve">Inclusive and Accessible Presentations  </t>
    </r>
    <r>
      <rPr>
        <color rgb="FF1155CC"/>
        <u/>
      </rPr>
      <t>https://tdcascadia.org/event-5565112</t>
    </r>
  </si>
  <si>
    <t>charli.isidro@multco.us</t>
  </si>
  <si>
    <t>K-12</t>
  </si>
  <si>
    <t>February 26-March 1st, 2024
IPS Core Training- Portland, OR
"Intentional Peer Support training is a powerful, beneficial curriculum for all. The training certifies participants as an Oregon Health Authority, Traditional Health Worker, Peer Support Specialist (PSS). There is also an option for this training to offer continuing education units."
https://events.r20.constantcontact.com/register/eventReg?oeidk=a07ek8a8a8z93b06407&amp;oseq=&amp;c=&amp;ch=</t>
  </si>
  <si>
    <t>yes</t>
  </si>
  <si>
    <t>Behavioral Health Resource Center</t>
  </si>
  <si>
    <t>Emailed post funding survey on 4/25/24 by ART.</t>
  </si>
  <si>
    <t>alexandra.rieman@multco.us</t>
  </si>
  <si>
    <t>https://drive.google.com/open?id=1M1QXrEa3ExtDH_HnhQDHOXqbdJl_24cA, https://drive.google.com/open?id=1qswMX8qIeAC0kMWiQ8qIJ9fZWRBdT0D5</t>
  </si>
  <si>
    <t>Ethics for Counselors, online course via NetCE</t>
  </si>
  <si>
    <t>elizabeth.loving@multco.us</t>
  </si>
  <si>
    <t xml:space="preserve"> Acceptance &amp; Commitment Therapy: 2-Day Intensive ACT Training https://catalog.pesi.com/item/acceptance-commitment-therapy-2day-intensive-act-training-125637</t>
  </si>
  <si>
    <t>Therapeutic Neuroscience: A Brain Based Approach to Cognitive &amp; Somatic Treatment of Common Mental Health Disorders Thursday, April 25th, 2024 to Friday, April 26th, 2024, from 9:00 AM – 5:00 PM
https://cascadia-training.com/course/neuroscience-informed-april2024/</t>
  </si>
  <si>
    <t>miranda.shapiro@multco.us</t>
  </si>
  <si>
    <t>https://drive.google.com/open?id=1ZnhjFNXiauHxcBGpHfFYEHCNzixNt3qx</t>
  </si>
  <si>
    <t>Emerging Themes In Behavioral Health 2024</t>
  </si>
  <si>
    <t>otoniel.calderon@multco.us</t>
  </si>
  <si>
    <t>Male or Man, Non-Binary</t>
  </si>
  <si>
    <t>EMDR Basic Training Weekend 1 &amp; Weekend 2 Early Bird Intern Prices ($645 each, lowered to $612.75 each when both weekends are booked at the same time)
https://www.emdr.com/event/basic-training-weekend-one-pacific-time-katy-murray-2/
https://www.emdr.com/event/basic-training-weekend-two-pacific-time-katy-murray-5/</t>
  </si>
  <si>
    <t>linda.hudson@multco.us</t>
  </si>
  <si>
    <t>Bridge Treatment Team</t>
  </si>
  <si>
    <t>carmen.carreras@multco.us</t>
  </si>
  <si>
    <t>EMDR Basic Training  
https://www.emdr.com/event/basic-training-weekend-one-pacific-time-katy-murray-2/
https://www.emdr.com/event/basic-training-weekend-two-pacific-time-katy-murray-5/</t>
  </si>
  <si>
    <t>james.r.dixon@multco.us</t>
  </si>
  <si>
    <t>Addictions - Prevention</t>
  </si>
  <si>
    <t>https://suicidology.org/aas24/</t>
  </si>
  <si>
    <t>https://drive.google.com/open?id=1nFZabt9yV_NNtaFB1evhu9tjjWL3WSWz, https://drive.google.com/open?id=1UT9lOph5WatHyNeLvAEisH6z7oSgG7sr</t>
  </si>
  <si>
    <t>andrea.chiotti@multco.us</t>
  </si>
  <si>
    <t>Gender Expansive or Gender Non-Conforming or Genderqueer, Non-Binary</t>
  </si>
  <si>
    <t>https://drive.google.com/open?id=1JEs3CFbDMWjW9yWcnxIrYwppN1O3EjEN</t>
  </si>
  <si>
    <t xml:space="preserve">The organization is MHACBO -  I am working toward my QMHA </t>
  </si>
  <si>
    <t>hipsia.keister@multco.us</t>
  </si>
  <si>
    <t>Fee: Early Bird $59.99 until 3/8/24, then $79.99 regular.</t>
  </si>
  <si>
    <t>https://drive.google.com/open?id=19hfCI2BoxlyqtEt_K40z23HxToaTvf3l</t>
  </si>
  <si>
    <t>Learning CBT for Psychosis: A series of Live Online Seminars</t>
  </si>
  <si>
    <t>canada.taylor.parker@multco.us</t>
  </si>
  <si>
    <t>Native American or Alaska Native, Black of African American</t>
  </si>
  <si>
    <t>Additional Category (not listed)</t>
  </si>
  <si>
    <t>Addiction and Prevention Program Unit</t>
  </si>
  <si>
    <t>American Association Of Suicidology Annual Conference https://2eb88d5a26c9d8f57ffb-aeafbf82c2963100e9056663ea595989.ssl.cf1.rackcdn.com/AASUICIDOLOGY_4069_LZNWOCUH_526_20240214_Suicidology_Conference_Agenda.pdf
https://suicidology.org/aas24/</t>
  </si>
  <si>
    <t>kit.oboyle@multco.us</t>
  </si>
  <si>
    <t>Transgender Male or Trans Man or Transmasculine</t>
  </si>
  <si>
    <t>https://drive.google.com/open?id=12fZyLGcQSUMxtUO0MfgpVybQJ4npwBPL</t>
  </si>
  <si>
    <t xml:space="preserve">Food Matters for Health Professionals: Continuing Education Course  </t>
  </si>
  <si>
    <r>
      <rPr/>
      <t xml:space="preserve">individual membership to National Sobering Collaborative: </t>
    </r>
    <r>
      <rPr>
        <color rgb="FF1155CC"/>
        <sz val="11.0"/>
        <u/>
      </rPr>
      <t>https://nationalsobering.org/membership/</t>
    </r>
  </si>
  <si>
    <t>Payment for CEUs - Clinical Supervision</t>
  </si>
  <si>
    <t>$525 is being requested     Training is:  https://graduate.lclark.edu/calendars/events/event/354358-clinical-supervision-online</t>
  </si>
  <si>
    <t xml:space="preserve">This clas4/4, s was approved by my supervisor and for grant funding, but the wait list was full.  I have put myself on wait list for the training in April (4/4,4/5,4/11,4/12).  </t>
  </si>
  <si>
    <t>hilary.gray@multco.us</t>
  </si>
  <si>
    <t>Adoption and Mental health training with Redmond Redding</t>
  </si>
  <si>
    <t>https://drive.google.com/open?id=1GFTqwIvnM5pn9ZHz2lqAvxa4JCxRgI2N</t>
  </si>
  <si>
    <t>Meaningful Care Conference</t>
  </si>
  <si>
    <t>astra.dao@multco.us</t>
  </si>
  <si>
    <t>Payment/reimbursement for initial and renewal of credentials and/or licensure</t>
  </si>
  <si>
    <t>https://drive.google.com/open?id=1c_YzcE1136Ie4MjPQrPsAQptXjA3Xkud</t>
  </si>
  <si>
    <t>Board of Licensed Social Workers for my CSWA application</t>
  </si>
  <si>
    <t>tenzin.teykhang@multco.us</t>
  </si>
  <si>
    <t>Asexual</t>
  </si>
  <si>
    <r>
      <rPr/>
      <t xml:space="preserve">https://drive.google.com/open?id=1YrvM_xYhtvrFktX5pvZWPeePOzLj6x1O, </t>
    </r>
    <r>
      <rPr>
        <color rgb="FF1155CC"/>
        <u/>
      </rPr>
      <t xml:space="preserve">https://drive.google.com/open?id=16TMuK8gJBK1D9HfpOGY8cOhtox50-P3h
</t>
    </r>
    <r>
      <rPr/>
      <t>???</t>
    </r>
  </si>
  <si>
    <t xml:space="preserve">Project Management Institute (PMI) Membership </t>
  </si>
  <si>
    <t>galen.cohen@multco.us</t>
  </si>
  <si>
    <t>5% Lead Pay to provide Clinical Supervision</t>
  </si>
  <si>
    <t>5% lead pay for my employee, Jordyn Pasiak to provide clinical supervision</t>
  </si>
  <si>
    <t xml:space="preserve">for Jordyn Pasiak </t>
  </si>
  <si>
    <r>
      <rPr/>
      <t xml:space="preserve">$150 for early bird special if registered by 3/20/24
</t>
    </r>
    <r>
      <rPr>
        <color rgb="FF1155CC"/>
        <u/>
      </rPr>
      <t>https://www.latinohealthequity.org/registration</t>
    </r>
  </si>
  <si>
    <t>Quality Management Unit, Billing Team, Records Team</t>
  </si>
  <si>
    <r>
      <rPr/>
      <t xml:space="preserve">Latino Health Equity Conference on May 22, 2023 in NE Portland
https://www.latinohealthequity.org/
</t>
    </r>
    <r>
      <rPr>
        <color rgb="FF1155CC"/>
        <u/>
      </rPr>
      <t>https://www.latinohealthequity.org/registration</t>
    </r>
  </si>
  <si>
    <t>ART</t>
  </si>
  <si>
    <t>Aprpoved by Jen G.</t>
  </si>
  <si>
    <t>brianna.nunez-webb@multco.us</t>
  </si>
  <si>
    <t>Latino or Hispanic, White, 2 or more races</t>
  </si>
  <si>
    <t>https://drive.google.com/open?id=18j8rHNO4sQrQLJNMxX4ldIYTgIa95dVT</t>
  </si>
  <si>
    <t>LCSW licensing exam reimbursement request</t>
  </si>
  <si>
    <t>$2,103-$2,210</t>
  </si>
  <si>
    <t>https://drive.google.com/open?id=18D38ueWJR54IfOzcvSjMLhxMAm7I9dcI</t>
  </si>
  <si>
    <r>
      <rPr/>
      <t xml:space="preserve">Facing Race Out Power, Our Solutions (Race Forward) The full program/agenda/schedule is not yet available. The website provides critical information as to the importance of this conference and how it relates to my current AA KSA position. 
</t>
    </r>
    <r>
      <rPr>
        <color rgb="FF1155CC"/>
        <u/>
      </rPr>
      <t>https://web.cvent.com/event/e7d2be57-b24c-49e8-b4bf-0edc4ee111bc/summary?RefId=Facing%20Race%20Site&amp;rp=00b8db2b-745d-4b73-9caa-197e68787415</t>
    </r>
  </si>
  <si>
    <r>
      <rPr/>
      <t xml:space="preserve">2-day Certified Clinical Trauma Professional Training, </t>
    </r>
    <r>
      <rPr>
        <color rgb="FF1155CC"/>
        <u/>
      </rPr>
      <t>https://catalog.pesi.com/sales/bh_s_059081_cctptraining_prt91119_organic-791756</t>
    </r>
  </si>
  <si>
    <t>$179.97, which includes the two books</t>
  </si>
  <si>
    <t>https://catalog.pesi.com/item/racial-generational-trauma-evidencebased-somatic-interventions-bipoc-clients-111451</t>
  </si>
  <si>
    <t>Clinical supervision premium</t>
  </si>
  <si>
    <t>for Susan Yoon</t>
  </si>
  <si>
    <t>kelerie.heiser@multco.us</t>
  </si>
  <si>
    <t>https://drive.google.com/open?id=1zAUzbhwIIhDKbwzcNMtGzxajRsjdQEio</t>
  </si>
  <si>
    <t>HCCA Compliance 101, Fifth Edition - Print</t>
  </si>
  <si>
    <t>brandt.rigby@multco.us</t>
  </si>
  <si>
    <t>https://drive.google.com/open?id=1p2tvb8z2gYtuzj16ETIulUSRi0f6VmdH</t>
  </si>
  <si>
    <t>Developing Balance Amidst Treating Trauma_ An Ethical Buddhist Approach – Reflective Counsel</t>
  </si>
  <si>
    <t>madonna.wells@multco.us</t>
  </si>
  <si>
    <t>The website gives you all the information needed. $650.00</t>
  </si>
  <si>
    <t>Facing Race https://facingrace.raceforward.org/</t>
  </si>
  <si>
    <t>natasha.archer@multco.us</t>
  </si>
  <si>
    <t>Slavic, White</t>
  </si>
  <si>
    <r>
      <rPr/>
      <t xml:space="preserve">Essentials of Trauma Treatment:
Certified Clinical Trauma Professional (CCTP) Training Course
</t>
    </r>
    <r>
      <rPr>
        <color rgb="FF1155CC"/>
        <u/>
      </rPr>
      <t>https://catalog.pesi.com/sales/bh_c_001312evg_essentialstraumatreatcctp_042021_organic-194715?utm_term=&amp;utm_campaign=US+%7C+BH+%7C+NB+%7C+N/A+%7C+Dynamic+%7C+Performance+Max+%7C+US+%7C+RET&amp;utm_source=google&amp;utm_medium=cpc&amp;hsa_acc=7268932594&amp;hsa_cam=20947151930&amp;hsa_grp=&amp;hsa_ad=&amp;hsa_src=x&amp;hsa_tgt=&amp;hsa_kw=&amp;hsa_mt=&amp;hsa_net=adwords&amp;hsa_ver=3&amp;gclid=Cj0KCQjwwMqvBhCtARIsAIXsZpaSbD1kTuOUTdB__2scQLvwu8n-EbkwBrbxTp9FzGFm_Hz5Y5y-jisaAuMUEALw_wcB&amp;gclsrc=aw.ds</t>
    </r>
  </si>
  <si>
    <t>2 or more races - not Hispanic</t>
  </si>
  <si>
    <r>
      <rPr/>
      <t xml:space="preserve">Essential of Trauma Treatment / Certified Clinical Trauma Professional Training with Certification Included, </t>
    </r>
    <r>
      <rPr>
        <color rgb="FF1155CC"/>
        <u/>
      </rPr>
      <t>https://catalog.pesi.com/sales/bh_s_059081_cctptraining_prt91119_organic-791756#cta</t>
    </r>
    <r>
      <rPr/>
      <t>, I am interested in the virtual training</t>
    </r>
  </si>
  <si>
    <t xml:space="preserve">We are requesting funding for two positions:  Partnership Development Internship and Equity &amp; Harm Reduction Safety Partner Coordinator Internship. The total cost per intern is $15,000 (total $30,000). Thank you! </t>
  </si>
  <si>
    <t>austin.burres@multco.us</t>
  </si>
  <si>
    <t>$1100 for conference, plus cost of the following: flights, transportation, hotel (~209/ night 4-5 nights), and per diem.</t>
  </si>
  <si>
    <r>
      <rPr/>
      <t xml:space="preserve">OCHIN Member Illuminate What's Possible Learning Forum: </t>
    </r>
    <r>
      <rPr>
        <color rgb="FF1155CC"/>
        <u/>
      </rPr>
      <t>https://www.ochinlearningforum.org/event/48fc662b-c4f5-41cb-a56b-000de081803b/summary</t>
    </r>
  </si>
  <si>
    <t>glen.lafollette@multco.us</t>
  </si>
  <si>
    <t>Intern</t>
  </si>
  <si>
    <t>alex.garcia@multco.us</t>
  </si>
  <si>
    <t>https://drive.google.com/open?id=1NDrDq-tdau7enfImHZgLBwNyZXkpZtCcZPB2ppvfpq8</t>
  </si>
  <si>
    <t>Infant and Early Childhood Mental Health (IECMH) Training Series.</t>
  </si>
  <si>
    <t>I need my Healthcare Compliance Association fees paid. HCCA is the entity that manages the Certified Healthcare Compliance (CHC) credentials for the Compliance team. We pay for my membership and the team accesses monthly publications that allow them to review information and obtain CEUs to maintain their certification.</t>
  </si>
  <si>
    <t>Approved by Billie</t>
  </si>
  <si>
    <t>sara.carter@multco.us</t>
  </si>
  <si>
    <t>$800 registration, Hotel $279/night x 3nights, + Flights to Dallas, TX</t>
  </si>
  <si>
    <t xml:space="preserve">Netsmart Connections - https://www.ntst.com/connections </t>
  </si>
  <si>
    <t>erika.mosqueda.franco@multco.us</t>
  </si>
  <si>
    <t>Native American or Alaska Native</t>
  </si>
  <si>
    <r>
      <rPr/>
      <t xml:space="preserve">Reimagining Eating Disorders 101 </t>
    </r>
    <r>
      <rPr>
        <color rgb="FF1155CC"/>
        <u/>
      </rPr>
      <t>https://alishia-mccullough-s-school.teachable.com/p/reimagining-eating-disorders-101</t>
    </r>
  </si>
  <si>
    <t>Records Team</t>
  </si>
  <si>
    <t>https://drive.google.com/open?id=1sGY4UjFGb9oIPa2mK5U-whoa2CDyzx9m</t>
  </si>
  <si>
    <r>
      <rPr/>
      <t xml:space="preserve">PHE 479 Program Planning and Evaluation in Health Education: Implementation and Evaluation 
</t>
    </r>
    <r>
      <rPr>
        <color rgb="FF1155CC"/>
        <u/>
      </rPr>
      <t>https://pdx.smartcatalogiq.com/2023-2024/bulletin/courses/phe-public-health-education/400/phe-479/</t>
    </r>
  </si>
  <si>
    <t>$310-$435 + hotel and airfare, may qualify for promotores(as) pricing ($310), early bird price ends 4/30 ($435)</t>
  </si>
  <si>
    <t>https://drive.google.com/open?id=1-y5OeOwAhkDjSThN3q7GFa0yxDVquYLp</t>
  </si>
  <si>
    <r>
      <rPr/>
      <t xml:space="preserve">2024 National Latino Behavioral Health Conference
</t>
    </r>
    <r>
      <rPr>
        <color rgb="FF1155CC"/>
        <u/>
      </rPr>
      <t>https://nlbha.org/2024registration/</t>
    </r>
  </si>
  <si>
    <t>$650 + hotel and airfare</t>
  </si>
  <si>
    <t>https://drive.google.com/open?id=1Yf7SzfdZ99SWeGTT1iVEryWrdtzzP7Bb</t>
  </si>
  <si>
    <r>
      <rPr/>
      <t xml:space="preserve">FACING RACE
</t>
    </r>
    <r>
      <rPr>
        <color rgb="FF1155CC"/>
        <u/>
      </rPr>
      <t>https://facingrace.raceforward.org/about</t>
    </r>
  </si>
  <si>
    <t>Recruiting Platform Costs/Funding - infrastructure</t>
  </si>
  <si>
    <t>Admin - Recruiting</t>
  </si>
  <si>
    <t>eric.follis@multco.us</t>
  </si>
  <si>
    <t>https://drive.google.com/open?id=10wLe2d1xNOhGK_tJ8wlPQ0B-HiDn8R_i</t>
  </si>
  <si>
    <t>Clinical Applications of Neuroscience</t>
  </si>
  <si>
    <t>alexandra.richardson@multco.us</t>
  </si>
  <si>
    <t>ADKAR: A Model for Change book (https://store.prosci.com/bookstore/adkar-a-model-for-change-en.html)</t>
  </si>
  <si>
    <t>This is part 2 of the MBSR certification program: 10 week MBSR Teacher Training Practicum
https://cih.ucsd.edu/mbpti/courses/mbsr-online-ttp#:~:text=This%20Online%2010%2Dweek%20MBSR,be%20reviewed%2C%20discussed%20and%20practiced.</t>
  </si>
  <si>
    <t>$18.95 plus shipping and handling</t>
  </si>
  <si>
    <r>
      <rPr>
        <color rgb="FF1155CC"/>
        <u/>
      </rPr>
      <t>https://store.prosci.com/bookstore/adkar-a-model-for-change-en.html</t>
    </r>
    <r>
      <rPr/>
      <t xml:space="preserve">   A book called How to Implement Successful Change in Our Personal Lives and Professional Careers</t>
    </r>
  </si>
  <si>
    <t>https://drive.google.com/open?id=1NydRbsBp-Knm2M_w6h4SihAMQ1-nUIZj</t>
  </si>
  <si>
    <t>2024 National Latino Behavioral Health Conference</t>
  </si>
  <si>
    <t>daniela.evangelista@multco.us</t>
  </si>
  <si>
    <t>$260 and this is for the CSWA - Initial Licensure, CSWA Application and CSWA         Background Check</t>
  </si>
  <si>
    <t xml:space="preserve">CSWA application </t>
  </si>
  <si>
    <t>$1,280( $32 per inventory x 40 team members)</t>
  </si>
  <si>
    <t>https://drive.google.com/open?id=1KrkUSwZpvI8ocuFxLotVM8k1BLkpXCwd</t>
  </si>
  <si>
    <t>HRDQ Personality Style Inventory- being used in 5/14/24 Communications event</t>
  </si>
  <si>
    <t>CMHP - Safety Net Services Unit, Call Center/Crisis Services</t>
  </si>
  <si>
    <t>Dissociative Disorders &amp; The Normalcy of Fragmentation (live webinar through Integrative Trauma Treatment Center [Portland] on May 10, 2024, 9a to 4p); link to training: https://www.ittc-kalos.com/dissocative-disorder; registration link: https://www.ittc-kalos.com/offers/AgToG7w6/checkout (i am not a member so do not qualify for membership pricing)</t>
  </si>
  <si>
    <r>
      <rPr/>
      <t xml:space="preserve">Ethics: Responsive Use of Self by Lisa Race, LCSW &amp; Suise Snyder, LCSW (6 Ethics CEs required for QMHP recertification); link to training: </t>
    </r>
    <r>
      <rPr>
        <color rgb="FF1155CC"/>
        <u/>
      </rPr>
      <t>https://susiesnyderlcsw.vipmembervault.com/products/courses/view/1033072</t>
    </r>
  </si>
  <si>
    <t>erika.larson@multco.us</t>
  </si>
  <si>
    <t>$150 (https://www.psychotherapy.net/memberships#plans)</t>
  </si>
  <si>
    <t>susana.gomora@multco.us</t>
  </si>
  <si>
    <t>If there is a group of 8, the total is $1400 plus a $95.74 fee; otherwise it will be $204.59 for a single ticket</t>
  </si>
  <si>
    <t>https://drive.google.com/open?id=1q1PVSnmyiUDFZERp8s0M21GjhAkbaUtU</t>
  </si>
  <si>
    <t>Latino Health Equity Conference</t>
  </si>
  <si>
    <t>Latino Health Equity Conference  https://www.latinohealthequity.org/</t>
  </si>
  <si>
    <t>Oregon Early Learning Conference</t>
  </si>
  <si>
    <t>frances.flores@multco.us</t>
  </si>
  <si>
    <t xml:space="preserve">$204.50   ($190 plus $14.59 fee)
</t>
  </si>
  <si>
    <r>
      <rPr/>
      <t xml:space="preserve">
15th Annual Latino Health Equity Conference  </t>
    </r>
    <r>
      <rPr>
        <color rgb="FF1155CC"/>
        <u/>
      </rPr>
      <t>https://www.latinohealthequity.org/</t>
    </r>
  </si>
  <si>
    <t>larissa.printzian@multco.us</t>
  </si>
  <si>
    <t>Middle Eastern, Slavic</t>
  </si>
  <si>
    <t>https://drive.google.com/open?id=1WiDIibvKe4VKl_ZpPW_eOac18wg5pqwn</t>
  </si>
  <si>
    <t>Oregon Project Management Certification Program (https://www.oregon.gov/das/hr/pages/pm.aspx</t>
  </si>
  <si>
    <t>Approved by Billie.
Emailed post funding survey on 4/25/24 by ART.</t>
  </si>
  <si>
    <t>anita.bailey-huff@multco.us</t>
  </si>
  <si>
    <t>Early Childhood Services (EC)</t>
  </si>
  <si>
    <t>Adult and Pediatric First aid/CPR/AED Class.</t>
  </si>
  <si>
    <t>misao.eliahim@multco.us</t>
  </si>
  <si>
    <t>$3900 CAD</t>
  </si>
  <si>
    <r>
      <rPr/>
      <t xml:space="preserve">Compassionate Inquiry Training by Dr. Gabor Mate: </t>
    </r>
    <r>
      <rPr>
        <color rgb="FF1155CC"/>
        <u/>
      </rPr>
      <t>https://compassionateinquiry.com/online-training/</t>
    </r>
  </si>
  <si>
    <t>Approved by Billie via chat 4/15/24.</t>
  </si>
  <si>
    <t>African</t>
  </si>
  <si>
    <t>5% clinical supervision pay, for Chanel Walker-Harris</t>
  </si>
  <si>
    <t>$2,800 - registration, travel, hotel and meals</t>
  </si>
  <si>
    <t>https://drive.google.com/open?id=1l-7w-3HLjrURgXY351N0-aaon69xnOEC</t>
  </si>
  <si>
    <r>
      <rPr/>
      <t xml:space="preserve">Zero to Three Learn Conference
</t>
    </r>
    <r>
      <rPr>
        <color rgb="FF1155CC"/>
        <u/>
      </rPr>
      <t>https://www.zerotothree.org/2024-learn-conference/</t>
    </r>
  </si>
  <si>
    <t>Black of African American, 2 or more races</t>
  </si>
  <si>
    <t>Zero to Three Conference</t>
  </si>
  <si>
    <t>jazmin.munoz@multco.us</t>
  </si>
  <si>
    <t>435 (Registration fee) + travel and lodging</t>
  </si>
  <si>
    <r>
      <rPr/>
      <t xml:space="preserve">2024 National Latino Behavioral Health Conference; </t>
    </r>
    <r>
      <rPr>
        <color rgb="FF1155CC"/>
        <u/>
      </rPr>
      <t>https://nlbha.org/2024conference/</t>
    </r>
  </si>
  <si>
    <t>https://drive.google.com/open?id=1PffXDGYqB225yoVwLFIUmdnnwhoKh8w7</t>
  </si>
  <si>
    <r>
      <rPr/>
      <t xml:space="preserve">Acceptance &amp; Commitment Therapy (2 Day Intensive ACT Training) </t>
    </r>
    <r>
      <rPr>
        <color rgb="FF1155CC"/>
        <u/>
      </rPr>
      <t>https://catalog.pesi.com/sales/bh_s_048690_acttraining_mta91416_organic-829163</t>
    </r>
  </si>
  <si>
    <r>
      <rPr>
        <color rgb="FF1155CC"/>
        <u/>
      </rPr>
      <t>https://www.subductionconsulting.com/registration</t>
    </r>
    <r>
      <rPr/>
      <t xml:space="preserve">
2024 Racial Equity Policy Intensive
April 26 - June 14, 2024
Fridays, 9am - 12pm PDT</t>
    </r>
  </si>
  <si>
    <t>LCSW Examination Registration Fees https://www.aswb.org/exam/</t>
  </si>
  <si>
    <t>$3,800( This serves about 25 people with subscriptions.</t>
  </si>
  <si>
    <t>Early Assessment and Support Alliance (EASA), Quality Management Unit</t>
  </si>
  <si>
    <t>Udemy training and certification subscription</t>
  </si>
  <si>
    <t>Partial</t>
  </si>
  <si>
    <t>hezekiah.rinn@multco.us</t>
  </si>
  <si>
    <t xml:space="preserve">$299.99 for the Live Broadcast Option. I would love to attend in person as I think it fits my learning style, but I'm not sure what the flight cost and lodging would be in July 2024. </t>
  </si>
  <si>
    <t>https://drive.google.com/open?id=1Veb-skPBVwe9jsf8kY_lZPMFmszzNvKi</t>
  </si>
  <si>
    <t>Acceptance &amp; Commitment Therapy: 2-Day Intensive ACT Training in Marietta, GA (https://catalog.pesi.com/sales/bh_s_048690_acttraining_mta91416_organic-829163)</t>
  </si>
  <si>
    <t>nickr@multco.us</t>
  </si>
  <si>
    <t>Reporting Team</t>
  </si>
  <si>
    <r>
      <rPr/>
      <t xml:space="preserve">Project Management Certification - PMI PMP Certification   </t>
    </r>
    <r>
      <rPr>
        <color rgb="FF1155CC"/>
        <u/>
      </rPr>
      <t>https://www.pmi.org/certifications/project-management-pmp</t>
    </r>
    <r>
      <rPr/>
      <t xml:space="preserve">
Test exam fee $425 + Membership $159</t>
    </r>
  </si>
  <si>
    <t>april.taylor@multco.us</t>
  </si>
  <si>
    <t>I would like to register with ASWB and pay the exam fee.</t>
  </si>
  <si>
    <t>jerome.sloan.ii@multco.us</t>
  </si>
  <si>
    <t>Payment for CEUs to become a Clinical Supervisor</t>
  </si>
  <si>
    <t>Gun Violence Impacted Families BH Response Team (GVIF-BHRT)</t>
  </si>
  <si>
    <t xml:space="preserve">I am on the waitlist for Lewis &amp; Clark Graduate School's Clinical Supervision training for May 2024. I am unsure where I sit on the wailing list but wanted to be proactive incase I have a short turnaround to register if I make it in the course. If I do attend May's course I will sign up for a future course through the same program. </t>
  </si>
  <si>
    <t>1600.00  (FYI:  I had been approved to go to a training at Lewis and Clark for Supervisors but a place on the wait list never opened.  So I won't be attending that)  Thank you!</t>
  </si>
  <si>
    <r>
      <rPr/>
      <t xml:space="preserve">Accelerated Resolution Therapy-Basic, beginning course.  </t>
    </r>
    <r>
      <rPr>
        <color rgb="FF1155CC"/>
        <u/>
      </rPr>
      <t>https://acceleratedresolutiontherapy.com/types-of-training-available</t>
    </r>
  </si>
  <si>
    <t xml:space="preserve">Registration $779 - Hotel $1351.10 - Airfare is to be determined. </t>
  </si>
  <si>
    <r>
      <rPr/>
      <t xml:space="preserve">NAADAC 2024 Annual Conference - </t>
    </r>
    <r>
      <rPr>
        <color rgb="FF1155CC"/>
        <u/>
      </rPr>
      <t>https://www.naadac.org/annualconference</t>
    </r>
  </si>
  <si>
    <t>anthony.jordan@multco.us</t>
  </si>
  <si>
    <t>$399 registration plus,  776.08 lodging plus per diem</t>
  </si>
  <si>
    <t>Oregon Conference opioid, other Drugs, pain, and Addiction Treatment</t>
  </si>
  <si>
    <t>marrissa.gottlob@multco.us</t>
  </si>
  <si>
    <t xml:space="preserve">lodging of 2 night hotel in Bend - approximately $460 total </t>
  </si>
  <si>
    <t>https://drive.google.com/open?id=1r78P_PEXC0bnsP6OU3Z7MWR_1rxNPBrX</t>
  </si>
  <si>
    <t>EASA Center for Excellence Occupational Therapy Retreat</t>
  </si>
  <si>
    <t>jessica.jacobsen@multco.us</t>
  </si>
  <si>
    <t>$399 registration + lodging costs</t>
  </si>
  <si>
    <t>Care Coordination Unit</t>
  </si>
  <si>
    <t>Opioids + Other Drugs, Pain + Addiction Treatment</t>
  </si>
  <si>
    <t>Approved by Jen G.</t>
  </si>
  <si>
    <t>jennifer.kotley@multco.us</t>
  </si>
  <si>
    <t>https://drive.google.com/open?id=1wpcTAWU5UDKg1ep6XOjCZz7byppfOGR_</t>
  </si>
  <si>
    <t xml:space="preserve">LCSW renewal. Renewal due date 05/31/2024. LCSW is required for my position. </t>
  </si>
  <si>
    <t>Recruiting Platform Costs/Funding - Provider</t>
  </si>
  <si>
    <t>not sure - whatever is needed for the Lund report posting</t>
  </si>
  <si>
    <r>
      <rPr/>
      <t>R-14472 #747241 APS Investigator/Screener - MHC (</t>
    </r>
    <r>
      <rPr>
        <color rgb="FF1155CC"/>
        <u/>
      </rPr>
      <t>External</t>
    </r>
    <r>
      <rPr/>
      <t>)</t>
    </r>
  </si>
  <si>
    <t>4/232024</t>
  </si>
  <si>
    <t>Heterosexual, I Don't Know</t>
  </si>
  <si>
    <t>LPC renewal</t>
  </si>
  <si>
    <t>robert.lizardy@multco.us</t>
  </si>
  <si>
    <t>Adult Intensive Care Coordination</t>
  </si>
  <si>
    <r>
      <rPr/>
      <t xml:space="preserve">https://drive.google.com/open?id=1DAZECQ5Vz1U3btW6A-bQ5PO0mftjDXq7, </t>
    </r>
    <r>
      <rPr>
        <color rgb="FF1155CC"/>
        <u/>
      </rPr>
      <t>https://drive.google.com/open?id=1wn2pQli-R7LWCQyquaIHMndmK94K1WBl</t>
    </r>
  </si>
  <si>
    <r>
      <rPr/>
      <t xml:space="preserve">Lewis &amp; Clark Graduate School - Clinical Supervision Training - 30 CEUs - </t>
    </r>
    <r>
      <rPr>
        <color rgb="FF1155CC"/>
        <u/>
      </rPr>
      <t>https://graduate.lclark.edu/calendars/events/event/357842-clinical-supervision-online</t>
    </r>
  </si>
  <si>
    <t>sadie.campbell@multco.us</t>
  </si>
  <si>
    <t xml:space="preserve">I am not sure, it is one of the trainings listed in the BH workforce grant email that was sent out to all BHD staff from Jen Gulzow. </t>
  </si>
  <si>
    <t>Office of Consumer Engagement</t>
  </si>
  <si>
    <t>Project Management Bootcamp - the link wont take me there from Jen's email to BHD staff</t>
  </si>
  <si>
    <t>$120 with the code of DISCOUNT20</t>
  </si>
  <si>
    <t>Ethics - Responsive Use of Self
https://susiesnyderlcsw.vipmembervault.com/products/courses/view/1033072</t>
  </si>
  <si>
    <t>Native American or Alaska Native, Black of African American, Latino or Hispanic</t>
  </si>
  <si>
    <t>Filling out for multiple staff members</t>
  </si>
  <si>
    <t xml:space="preserve">Registration ($1495 individually - $5,980 full team), Hotel costs ($176/night or $1002 for six nights, $4,008 for full team), and mileage reimbursement to drive to training. </t>
  </si>
  <si>
    <r>
      <rPr/>
      <t xml:space="preserve">The GVIF-BHRT team (Adolfo Jimenez - MHC, John Anderson - MHC, Y'Kirshia Davis - MHC, and Jerome Sloan - Supervisor) want to attend EMDR Consulting's EMDR Training that is two parts, one part in August 2024 and the second part in September 2024. The training will be facilitated by Darlene K. Wade, and give a full training on EMDR over six full days of training. Here is a link: </t>
    </r>
    <r>
      <rPr>
        <color rgb="FF1155CC"/>
        <u/>
      </rPr>
      <t>https://emdrconsulting.com/event/everett-wa-emdr-training-aug-sep-2024/#anchor-training-info</t>
    </r>
  </si>
  <si>
    <t>bill.osborne@multco.us</t>
  </si>
  <si>
    <t>CMHP - Diversion Courts and Commitment Program Unit, Aid and Assist, Bridge Treatment Team, Mental Health Court, Involuntary Commitment Program, Post Commitment Program</t>
  </si>
  <si>
    <t>ykirshia.davis@multco.us</t>
  </si>
  <si>
    <t>https://drive.google.com/open?id=16yTThKR8WnJu19MoQXp3R_NY9aOZQC07</t>
  </si>
  <si>
    <t>EMDR TRAINING: INTEGRATING EMDR INTO YOUR CLINICAL PRACTICE</t>
  </si>
  <si>
    <t xml:space="preserve">Registration ($1495 individually), Hotel costs ($176/night or $1002 for six nights), and travel costs (mileage reimbursement) to Seattle. </t>
  </si>
  <si>
    <t xml:space="preserve">GVIF-BHRT would like to attend EMDR Consulting's EMDR Training that is two parts, one part in August 2024 and the second part in September 2024. The training will be facilitated by Darlene K. Wade, and give a full training on EMDR over six full days of training. Here is a link: https://emdrconsulting.com/event/everett-wa-emdr-training-aug-sep-2024/#anchor-training-info. The rest of the team will be filling out this form individually. </t>
  </si>
  <si>
    <t>Recruiting Platform Costs/Funding - Infrastructure</t>
  </si>
  <si>
    <t>Mosaic Metier-$2,000</t>
  </si>
  <si>
    <t>Urban League- $1,500</t>
  </si>
  <si>
    <t>Early Childhood Mental Health Training
https://www.orimha.org/training-events
My supervisor wants me to take trainings 2-10 at $25.00 per class</t>
  </si>
  <si>
    <t>Emailed Anita to request link on this training, 4/25/24, ART.
Approved by Billie.</t>
  </si>
  <si>
    <t>Asian, Latino or Hispanic, White</t>
  </si>
  <si>
    <r>
      <rPr/>
      <t xml:space="preserve">$1,195 (Training cost)
$146 (Roundtrip flight cost)
Total = $ 1341+ per Diem Food Allowance (whatever amount is standard for county employees)
 $749 </t>
    </r>
    <r>
      <rPr>
        <color rgb="FF1155CC"/>
        <u/>
      </rPr>
      <t>Hyatt Place San Francisco/Downtown</t>
    </r>
  </si>
  <si>
    <r>
      <rPr/>
      <t xml:space="preserve">The Art of Coaching Teams: 
Training details: 
https://brightmorning.thinkific.com/courses/the-art-of-coaching-teams-July-2024-san-francisco
Flight Details: 
</t>
    </r>
    <r>
      <rPr>
        <color rgb="FF1155CC"/>
        <u/>
      </rPr>
      <t>https://www.google.com/travel/flights/booking?tfs=CBwQAhpFEgoyMDI0LTA3LTIyIiAKA1BEWBIKMjAyNC0wNy0yMhoDU0ZPKgJGOTIEMzM2MWoHCAESA1BEWHIMCAISCC9tLzBkNmxwGkUSCjIwMjQtMDctMjUiIAoDU0ZPEgoyMDI0LTA3LTI1GgNQRFgqAkY5MgQzMzYyagwIAhIIL20vMGQ2bHByBwgBEgNQRFhAAUgBcAGCAQsI____________AZgBAQ&amp;tfu=EgIIACIGCgEwCgEx&amp;hl=en&amp;gl=us&amp;curr=USD</t>
    </r>
  </si>
  <si>
    <t>White, Decline to answer</t>
  </si>
  <si>
    <r>
      <rPr/>
      <t xml:space="preserve">$1,195 (Training cost)
$146 (Roundtrip flight cost)
Total = $ 1341 + per Diem Food Allowance (whatever amount is standard for county employees)
 $749 </t>
    </r>
    <r>
      <rPr>
        <color rgb="FF1155CC"/>
        <u/>
      </rPr>
      <t>Hyatt Place San Francisco/Downtown</t>
    </r>
  </si>
  <si>
    <t>I am submitting this request for my team member / Team Lead, Ellene Smith
The Art of Coaching Teams: 
Training details: 
https://brightmorning.thinkific.com/courses/the-art-of-coaching-teams-July-2024-san-francisco
Flight Details: 
https://www.google.com/travel/flights/booking?tfs=CBwQAhpFEgoyMDI0LTA3LTIyIiAKA1BEWBIKMjAyNC0wNy0yMhoDU0ZPKgJGOTIEMzM2MWoHCAESA1BEWHIMCAISCC9tLzBkNmxwGkUSCjIwMjQtMDctMjUiIAoDU0ZPEgoyMDI0LTA3LTI1GgNQRFgqAkY5MgQzMzYyagwIAhIIL20vMGQ2bHByBwgBEgNQRFhAAUgBcAGCAQsI____________AZgBAQ&amp;tfu=EgIIACIGCgEwCgEx&amp;hl=en&amp;gl=us&amp;curr=USD</t>
  </si>
  <si>
    <r>
      <rPr/>
      <t xml:space="preserve">$1,195 (Training cost)
$146 (Roundtrip flight cost)
Total = $ 1341 + per Diem Food Allowance (whatever amount is standard for county employees)
 $749 </t>
    </r>
    <r>
      <rPr>
        <color rgb="FF1155CC"/>
        <u/>
      </rPr>
      <t>Hyatt Place San Francisco/Downtown</t>
    </r>
    <r>
      <rPr/>
      <t xml:space="preserve">
</t>
    </r>
  </si>
  <si>
    <t>I am submitting this request for my team member / Team Lead, Darline Hill.
The Art of Coaching Teams: 
Training details: 
https://brightmorning.thinkific.com/courses/the-art-of-coaching-teams-July-2024-san-francisco
Flight Details: 
https://www.google.com/travel/flights/booking?tfs=CBwQAhpFEgoyMDI0LTA3LTIyIiAKA1BEWBIKMjAyNC0wNy0yMhoDU0ZPKgJGOTIEMzM2MWoHCAESA1BEWHIMCAISCC9tLzBkNmxwGkUSCjIwMjQtMDctMjUiIAoDU0ZPEgoyMDI0LTA3LTI1GgNQRFgqAkY5MgQzMzYyagwIAhIIL20vMGQ2bHByBwgBEgNQRFhAAUgBcAGCAQsI____________AZgBAQ&amp;tfu=EgIIACIGCgEwCgEx&amp;hl=en&amp;gl=us&amp;curr=USD</t>
  </si>
  <si>
    <t>ramon.benton@multco.us</t>
  </si>
  <si>
    <t>General Training/Conference/Certificate Program</t>
  </si>
  <si>
    <t>https://www.aswb.org/exam/getting-ready-for-the-exam/online-practice-test/</t>
  </si>
  <si>
    <t>christopher.jenkins@multco.us</t>
  </si>
  <si>
    <t>$4,000+</t>
  </si>
  <si>
    <t>Post Commitment Program</t>
  </si>
  <si>
    <t>https://drive.google.com/open?id=1D1mHHBfZVnPHjs9ICu2V9SITAMCxL0vA</t>
  </si>
  <si>
    <t>NCORE 2024 -The National Conference on Race and Ethnicity</t>
  </si>
  <si>
    <t>nancy.flores.peterson@multco.us</t>
  </si>
  <si>
    <t xml:space="preserve">$25 per session for a total of $50 </t>
  </si>
  <si>
    <r>
      <rPr/>
      <t xml:space="preserve">ZERO to THREE IECMH Training Session 3: Reflective Supervision and Consultation (RS/C)
Monday, May 13, 2024
9:00 AM  10:30 AM
ZERO to THREE IECMH Training Session 4: Infant and Early Childhood Development
Monday, June 3, 2024
9:30 AM  10:30 AM
Website for more information: </t>
    </r>
    <r>
      <rPr>
        <color rgb="FF1155CC"/>
        <u/>
      </rPr>
      <t>https://www.orimha.org/training-events</t>
    </r>
  </si>
  <si>
    <t>teresa.becerra@multco.us</t>
  </si>
  <si>
    <t>Latino or Hispanic, 2 or more races</t>
  </si>
  <si>
    <t>CMHP - Diversion Courts and Commitment Program Unit, Records Team</t>
  </si>
  <si>
    <r>
      <rPr>
        <color rgb="FF1155CC"/>
        <u/>
      </rPr>
      <t>https://www.latinohealthequity.org/</t>
    </r>
    <r>
      <rPr/>
      <t xml:space="preserve"> Latino Health Equity Conference
Cultural Intersection: Postpartum Mental Health (in English)
Justicia Reproductiva en el contexto de Violencia Doméstica y Acoso Sexual (in Spanish)</t>
    </r>
  </si>
  <si>
    <t>saray.brito.santa.fe@multco.us</t>
  </si>
  <si>
    <r>
      <rPr/>
      <t xml:space="preserve">https://drive.google.com/open?id=1IGZW7P69Imb5NTc1UZArnjM3ooTNbedc
https://drive.google.com/open?id=1C-Q0yEMCGhtl5gbB84XoPD6c--DdDuf7, </t>
    </r>
    <r>
      <rPr>
        <color rgb="FF1155CC"/>
        <u/>
      </rPr>
      <t>https://drive.google.com/open?id=1TPkP2gX3aQoh9zR5ZvGKo02H2yuyb2o6</t>
    </r>
  </si>
  <si>
    <t>2024 National Latino Behavioral Health Conference in San Antonio, Texas</t>
  </si>
  <si>
    <t>https://drive.google.com/open?id=1C-Q0yEMCGhtl5gbB84XoPD6c--DdDuf7, https://drive.google.com/open?id=1TPkP2gX3aQoh9zR5ZvGKo02H2yuyb2o6</t>
  </si>
  <si>
    <t>$1,292 + the allowable per diem for dinner for 3 nights.
Include this additional $749 (3 nights) x 3 people = $2,247 $2,247.00</t>
  </si>
  <si>
    <r>
      <rPr/>
      <t xml:space="preserve">*Training Details:
People, Purpose, Passion: Promoting Equity, Family and Community: https://humanservices.ucdavis.edu/events/partnerships-well-being-institute
Wed., Jun 12th, 2024, 9:00am to 5:00pm
Thur., Jun 13th, 2024, 9:00am to 5:00pm
Fri., Jun 14th, 2024, 9:00am to 12:00pm
$375
*Flight Info: 
https://www.google.com/travel/flights/s/1yzivaEAATcDTPvw7
$365 roundtrip (Portland to Santa Ana)
*Hotel:
</t>
    </r>
    <r>
      <rPr>
        <color rgb="FF1155CC"/>
        <u/>
      </rPr>
      <t>https://www.marriott.com/event-reservations/reservation-link.mi?id=1711051825293&amp;key=GRP&amp;app=resvlink</t>
    </r>
    <r>
      <rPr/>
      <t xml:space="preserve">
$552 ($157 per night (3 nights) + fees) 
Please note, this link provides info for others hotels that may also be available nearby: https://humanservices.ucdavis.edu/events/partnerships-well-being-institute
*Per Diem Food Costs (whatever amount is allowable for dinner for 3 nights). The training includes breakfast and lunch for 3 days.
</t>
    </r>
  </si>
  <si>
    <t>zahra.abukar2@multco.us</t>
  </si>
  <si>
    <t>African, Black of African American</t>
  </si>
  <si>
    <t>https://drive.google.com/open?id=15UngzKYZjl0-lhuX5H9lWTbZSyS97gW5</t>
  </si>
  <si>
    <t>Reimbursement for initial Licensure registration to register as a Registered Associate with OPLPCT</t>
  </si>
  <si>
    <t>https://drive.google.com/open?id=1D5auI4VWOFVSz9OWOWJkwZDQwnA-keyd</t>
  </si>
  <si>
    <t>ZERO to THREE IECMH Training session 2-10</t>
  </si>
  <si>
    <t>Approved by Billie.
5/14/24, Received email from Zahra, "I have previously been approved for 9 sessions totaling ($225) but I was only able to register for 7 sessions totaling ($175) due to the course no longer being available." Updated amount to $175. ART, 5/15/24.</t>
  </si>
  <si>
    <r>
      <rPr/>
      <t xml:space="preserve">https://drive.google.com/open?id=137R2V8Mt5uUUxKyUtKF123gfkRNY0PpY, </t>
    </r>
    <r>
      <rPr>
        <color rgb="FF1155CC"/>
        <u/>
      </rPr>
      <t>https://drive.google.com/open?id=1BCD5qxpolGOGc2pvZA1-COJvS_70qhDb</t>
    </r>
  </si>
  <si>
    <r>
      <rPr/>
      <t xml:space="preserve"> DC:0–5™ Diagnostic Classification of Mental Health and Developmental Disorders of Infancy and Early Childhood Plus Required </t>
    </r>
    <r>
      <rPr>
        <color rgb="FF1155CC"/>
        <u/>
      </rPr>
      <t>Manual</t>
    </r>
  </si>
  <si>
    <t>4/29/24, Emailed Zahra to request correct link. The one provided does not work.
Approved by Billie.
5/16/24 Email from Billie, "NOT APPROVED.  Please cancel this request.  Zahra has paid for this on her own already and is going to be reimbursed"
This was approved for payment/reimbursement with grant funding. JG 7/2/24</t>
  </si>
  <si>
    <t>$5,000 or more</t>
  </si>
  <si>
    <t>2024 NASW National Conference</t>
  </si>
  <si>
    <t>antonio.centurion@multco.us</t>
  </si>
  <si>
    <t xml:space="preserve">Extended Early Bird Registration
Extended to May 31, 2024
$485
Plus round trip ticket, hotel room &amp; meals </t>
  </si>
  <si>
    <t>Addictions - PATH</t>
  </si>
  <si>
    <t xml:space="preserve">2024 National Latino Behavioral Health Conference
https://nned.net/12852/#:~:text=The%202024%20National%20Latino%20Behavioral,healing%20practices%20to%20expand%20and 
</t>
  </si>
  <si>
    <t>ayla.terry-mitchell@multco.us</t>
  </si>
  <si>
    <t>https://drive.google.com/open?id=1SehF3QJr-_nuBiXnNTEuLlOJ71ljq8_a, https://drive.google.com/open?id=1tRIwXZQkyFsfanhGZo3uZ9N8nCPV0oKK</t>
  </si>
  <si>
    <t>Clinical Supervision, James Gurule LPC, Lewis &amp; Clark College</t>
  </si>
  <si>
    <t>https://drive.google.com/open?id=19_HU9hoFYlGWj69v96JflVcaWE4qV3p-</t>
  </si>
  <si>
    <t>Clinical Social Work License renewal (because of timing of CEUs I could not request this payment ahead of time, and have to request reimbursement instead)</t>
  </si>
  <si>
    <t>Latine Training series for SBMH 6 sessions</t>
  </si>
  <si>
    <t>eloise.holdship@multco.us</t>
  </si>
  <si>
    <t>General Registration – $150, February 1 – May 20.</t>
  </si>
  <si>
    <t>Law and Mental Health Conference https://www.lawconferences.org/</t>
  </si>
  <si>
    <t>5/2/24: Per Billie, Waiting on a coupon Code- Eloise Holdship
5/7/2024: Per Billie, Eloise from last week is approved as well</t>
  </si>
  <si>
    <r>
      <rPr/>
      <t xml:space="preserve">
clinical supervision training for those who work with transgender and/or non binary youth.     
</t>
    </r>
    <r>
      <rPr>
        <color rgb="FF1155CC"/>
        <u/>
      </rPr>
      <t>https://graduate.lclark.edu/calendars/events/event/357686-clinical-supervision-of-mental-health-providers</t>
    </r>
  </si>
  <si>
    <r>
      <rPr/>
      <t xml:space="preserve">Suicide Assessment and Management and Treatment 
</t>
    </r>
    <r>
      <rPr>
        <color rgb="FF1155CC"/>
        <u/>
      </rPr>
      <t>https://graduate.lclark.edu/calendars/events/event/357537-suicide-assessment-treatment-and-management-a</t>
    </r>
  </si>
  <si>
    <t>$25/hour for 16/hours weekly starting 9.01.24 until 6.30.24</t>
  </si>
  <si>
    <t>5/2/24: Billie to follow up- Maggie Manning</t>
  </si>
  <si>
    <t>linda.santos-martinez@multco.us</t>
  </si>
  <si>
    <t xml:space="preserve">2024 National Latino Behavioral Health Conference
</t>
  </si>
  <si>
    <r>
      <rPr/>
      <t xml:space="preserve">"Unlocking Growth Potential: Future of Healthcare Leadership"
May 17th at the Sheraton Hotel near the Portland Airport! 10am to 3pm.
</t>
    </r>
    <r>
      <rPr>
        <color rgb="FF1155CC"/>
        <u/>
      </rPr>
      <t>https://oregonache.org/meetinginfo.php</t>
    </r>
  </si>
  <si>
    <t>https://drive.google.com/open?id=15-C8wG7kh6tzO2pgTYjHamj0d69NKaIO</t>
  </si>
  <si>
    <t>Association of Social Work Boards</t>
  </si>
  <si>
    <t>HOLD</t>
  </si>
  <si>
    <t>carlos.benitez@multco.us</t>
  </si>
  <si>
    <t>Conference registration fee is 510.00 but it is out of state and will require travel and lodging</t>
  </si>
  <si>
    <t>Multnomah Intensive Transition Team</t>
  </si>
  <si>
    <t xml:space="preserve">The 2024 National Latino Behavioral Health Conference </t>
  </si>
  <si>
    <t>5/2/24: Billie to follow up- Carlos Benitez</t>
  </si>
  <si>
    <t>andrea.casey@multco.us</t>
  </si>
  <si>
    <t xml:space="preserve">Listener Virtual Option $639 </t>
  </si>
  <si>
    <t>https://drive.google.com/open?id=17en1EL2J3Oa547Ymyvpwaoc5fyyvh-6kbaGkT0eo354</t>
  </si>
  <si>
    <t>10th Edition of International Conference on Neurology and Brain Disorders (https://neurologycongress.com/)</t>
  </si>
  <si>
    <t>christine.arrington@multco.us</t>
  </si>
  <si>
    <t>2024 Law &amp; Mental Health Conference</t>
  </si>
  <si>
    <t>kristen.houser@multco.us</t>
  </si>
  <si>
    <t>Law and Mental Health Conference</t>
  </si>
  <si>
    <t>Bisexual, Queer</t>
  </si>
  <si>
    <r>
      <rPr/>
      <t xml:space="preserve">Emotional Freedom Techniques (EFT) for Trauma: Tapping to Transform Treatment Outcomes in Clinical Practice; </t>
    </r>
    <r>
      <rPr>
        <color rgb="FF1155CC"/>
        <u/>
      </rPr>
      <t>https://catalog.pesi.com/item/emotional-freedom-techniques-eft-trauma-tapping-transform-treatment-outcomes-clinical-practice-131309#tabCredit</t>
    </r>
  </si>
  <si>
    <r>
      <rPr/>
      <t xml:space="preserve">Culturally Responsive Clinical Supervision: Ethical and Trauma-Informed Multicultural Supervision Strategies; </t>
    </r>
    <r>
      <rPr>
        <color rgb="FF1155CC"/>
        <u/>
      </rPr>
      <t>https://catalog.pesi.com/item/culturally-responsive-clinical-supervision-ethical-traumainformed-multicultural-supervision-strategies-123352#tabCredit</t>
    </r>
  </si>
  <si>
    <r>
      <rPr/>
      <t xml:space="preserve">Suicide &amp; Self-Harm: Stopping the Pain; </t>
    </r>
    <r>
      <rPr>
        <color rgb="FF1155CC"/>
        <u/>
      </rPr>
      <t>https://catalog.pesi.com/item/suicide-selfharm-stopping-pain-111935#tabCredit</t>
    </r>
  </si>
  <si>
    <r>
      <rPr/>
      <t xml:space="preserve">Rewire the Anxious Brain: Neuroscience-Informed Treatment of Anxiety, Panic and Worry; </t>
    </r>
    <r>
      <rPr>
        <color rgb="FF1155CC"/>
        <u/>
      </rPr>
      <t>https://catalog.pesi.com/item/rewire-anxious-brain-neuroscienceinformed-treatment-anxiety-panic-worry-126761#tabCredit</t>
    </r>
  </si>
  <si>
    <t>499/per person plus travel/hotel and per diem</t>
  </si>
  <si>
    <r>
      <rPr/>
      <t xml:space="preserve">I would like to request to send all of our case managers and supervisor on the K12 team to this conference. </t>
    </r>
    <r>
      <rPr>
        <color rgb="FF1155CC"/>
        <u/>
      </rPr>
      <t xml:space="preserve">https://app.glueup.com/event/fresh-air-fond-memories-and-a-foundation-for-learning-99854/
</t>
    </r>
    <r>
      <rPr/>
      <t>"9 Case Managers and 1 Supervisor"</t>
    </r>
  </si>
  <si>
    <t>https://www.blackhealthconnect.com/blackhealthcon</t>
  </si>
  <si>
    <t>5/9/2024/5/13/2024</t>
  </si>
  <si>
    <t>kelly.fitzpatrick@multco.us</t>
  </si>
  <si>
    <r>
      <rPr/>
      <t xml:space="preserve">https://drive.google.com/open?id=156g-3TXRWgP-868P_mR_RT64A3PifmjE, </t>
    </r>
    <r>
      <rPr>
        <color rgb="FF1155CC"/>
        <u/>
      </rPr>
      <t>https://drive.google.com/open?id=1TY05yBE6hyySBgimvm_Nrn42m73oO0T5</t>
    </r>
  </si>
  <si>
    <r>
      <rPr>
        <rFont val="Arial"/>
        <color rgb="FF000000"/>
      </rPr>
      <t>Peerpocalypse 2024</t>
    </r>
    <r>
      <rPr>
        <rFont val="Arial"/>
        <color theme="1"/>
      </rPr>
      <t xml:space="preserve"> - reimbursement for conference online fee</t>
    </r>
  </si>
  <si>
    <t>raina.bliven@multco.us</t>
  </si>
  <si>
    <r>
      <rPr/>
      <t xml:space="preserve">Project Management Foundations Workshop </t>
    </r>
    <r>
      <rPr>
        <color rgb="FF1155CC"/>
        <u/>
      </rPr>
      <t>https://projectmanagementacademy.net/project-management-foundations</t>
    </r>
  </si>
  <si>
    <t>Unknown</t>
  </si>
  <si>
    <t>https://drive.google.com/open?id=1GPIHDsoECKWh3JuT6Vx2oBbZgD74nIlU</t>
  </si>
  <si>
    <t>HCCA Compliance 101, Fifth Edition Print (book)</t>
  </si>
  <si>
    <t>Our SBMH Leadership Team (Senior Manager, Supervisors and Leads) would like to offer a 2-day training in September, focused on the Indigenous Latinx populations, and their perceptions and understandings of mental health conditions and treatment. We will compare and contrast indigenous healing methods with Western, evidence-based methods, to explore and understand how we can reconcile these understandings to best treat our Indigenous families and youth. The presenters will be Estela Román, who is a Curandera, a traditional healer, and Maestra from Temixco, Morelos, Mexico, and it will be co-presented and facilitated by Erika Mosqueda Franco, SBMH Clinician who identifies as Indigenous Mexican.</t>
  </si>
  <si>
    <r>
      <rPr>
        <color rgb="FF1155CC"/>
        <u/>
      </rPr>
      <t>https://drive.google.com/open?id=1jWzZ2BpGdpC-6eQ_dSDvywrEiGULSnoL</t>
    </r>
    <r>
      <rPr/>
      <t xml:space="preserve">, https://drive.google.com/open?id=1h09rZAPWrpVm5hayjIzpQus_u2ckA7up, </t>
    </r>
    <r>
      <rPr>
        <color rgb="FF1155CC"/>
        <u/>
      </rPr>
      <t>https://drive.google.com/open?id=1qoEJV63rtk7qQGfixTBGjPHEUQeEG3Wd</t>
    </r>
  </si>
  <si>
    <t>Traumatic Stress Studies Certificate Program and Traumatic Stress Group Supervision and Consultation Program and Trauma Informed Neurofeedback Program</t>
  </si>
  <si>
    <t>miles.richmond@multco.us</t>
  </si>
  <si>
    <t>https://drive.google.com/open?id=1XLJzbZt3RrmaLEWkMLHzQzk_S4EGpQaw</t>
  </si>
  <si>
    <t>Clearly Clinical yearly membership for CEU's.</t>
  </si>
  <si>
    <t xml:space="preserve">$30-40, depending on where the book is purchased from. </t>
  </si>
  <si>
    <r>
      <rPr/>
      <t xml:space="preserve">I would like to request that this book be ordered for my professional development. "Culturally Responsive Teaching and The Brain: Promoting Authentic Engagement and Rigor Among Culturally and Linguistically Diverse Students" by Zaretta Hammond 
</t>
    </r>
    <r>
      <rPr>
        <color rgb="FF1155CC"/>
        <u/>
      </rPr>
      <t>https://crtandthebrain.com/book/</t>
    </r>
  </si>
  <si>
    <t>leticia.ochoa@multco.us</t>
  </si>
  <si>
    <t xml:space="preserve">Here's what I have so far:
Training details:
https://nlbha.org/2024registration/
National Latino Behavioral Health Conference
$485
 Friday 8/23 7:45 am - 5:00 pm
 Saturday 8/24 7:45 am - 5:00 pm
Flights: $477.20 (PDX to SAT roundtrip)
https://www.united.com/en/us/traveler/choose-travelers?cartId=6958F48D-F366-4ECE-8F15-6235D1D7CFD2&amp;tqp=R
Hotel:  $1052.64 ($245 per night plus taxes and fees)  I am willing to share a room with co-worker Savannah Paz.
 https://www.reservations.com/hotel/hyatt-regency-riverwalk?rc-ar=08-22-2024&amp;rc-de=08-25-2024&amp;rc-ro=1&amp;rc-rm=2
Food:
Allowable per diem for 2 full days and an additional per diem for dinner for two days.  The conference will provide breakfast and lunch for two days.
</t>
  </si>
  <si>
    <t xml:space="preserve">Latino Behavioral Health Conference </t>
  </si>
  <si>
    <t>heather.christiansen@multco.us</t>
  </si>
  <si>
    <t>Staff Training Subsidies (Training, CEU, Conferences, Retreats)</t>
  </si>
  <si>
    <t>https://drive.google.com/open?id=1N0tZ71NP61XRCGNZ9wfjW6r5PfEpY3r-</t>
  </si>
  <si>
    <t>PASS Summit - https://passdatacommunitysummit.com/</t>
  </si>
  <si>
    <t>https://drive.google.com/open?id=1PKqdBx1Rah-bv2BWhM_sufFeGbLujIIf</t>
  </si>
  <si>
    <t>Don't Hit My Mommy</t>
  </si>
  <si>
    <t>$1,900.00 for conference plus hotel</t>
  </si>
  <si>
    <r>
      <rPr/>
      <t xml:space="preserve">American Psychological Association 2024 Conference (Seattle)  </t>
    </r>
    <r>
      <rPr>
        <color rgb="FF1155CC"/>
        <u/>
      </rPr>
      <t>https://convention.apa.org/</t>
    </r>
  </si>
  <si>
    <t xml:space="preserve">Training details:
https://nlbha.org/2024registration/
National Latino Behavioral Health Conference
$485
 Friday 8/23 7:45 am - 5:00 pm
 Saturday 8/24 7:45 am - 5:00 pm
Flights: $477.20 (PDX to SAT roundtrip)
https://www.united.com/en/us/traveler/choose-travelers?cartId=6958F48D-F366-4ECE-8F15-6235D1D7CFD2&amp;tqp=R
Hotel:  $1052.64 ($245 per night plus taxes and fees)  I am willing to share a room with co-worker Leticia Ochoa.
</t>
  </si>
  <si>
    <t>kate.thomas@multco.us</t>
  </si>
  <si>
    <t>APA conference ($595 ), All Day Workshop ($170), 3 nights Hotel ($329 x3), Mileage for 360 miles driving, Perdiem for 3 days.</t>
  </si>
  <si>
    <t>APA Conference in Seattle (https://convention.apa.org/attend/pricing), Hotel, meals and transportation costs</t>
  </si>
  <si>
    <t>jonathan.hankins@multco.us</t>
  </si>
  <si>
    <t>Bisexual, Gay, Queer, Additional Category (not listed)</t>
  </si>
  <si>
    <t>$1375 - Includes airfare, lodging, and conference registration. (Doesn't include ground transportation or per diem costs.)</t>
  </si>
  <si>
    <t>https://drive.google.com/open?id=1aE-ijtpXGZn6RLX7NUHW1m2_GSJE_1Bq</t>
  </si>
  <si>
    <t>Partnerships for Well-Being Institute - UC Davis</t>
  </si>
  <si>
    <r>
      <rPr/>
      <t xml:space="preserve">Northwest Early Learning &amp; Pyramid Summit
11/13/24 – 11/14/24
9:00 AM-2:30 PM PT
Summit Registration
The 2024 Northwest Early Learning and Pyramid Summit invites early childhood administrators, coaches, behavior specialists, and state teams to come together for in-depth learning and networking to promote young children's social emotional development and equity in early learning.
Link to registration page: 
</t>
    </r>
    <r>
      <rPr>
        <color rgb="FF1155CC"/>
        <u/>
      </rPr>
      <t>https://web.cvent.com/event/4ffc2832-47f4-4c5a-8fa1-5a071b4e9267/regPage:70382a4f-a3e3-4f9d-8ade-6c961ec6662b</t>
    </r>
    <r>
      <rPr/>
      <t xml:space="preserve">
</t>
    </r>
  </si>
  <si>
    <t>scott.williams@multco.us</t>
  </si>
  <si>
    <t xml:space="preserve">        $499 and cost of travel, hotel and per diem for Scott Williams to join the team </t>
  </si>
  <si>
    <t>https://app.glueup.com/event/fresh-air-fond-memories-and-a-foundation-for-learning-99854/</t>
  </si>
  <si>
    <t>5/17/24, Changed email from Yolanda to Scott.
Approved by Billie.</t>
  </si>
  <si>
    <r>
      <rPr/>
      <t xml:space="preserve">Ethics Responsive Use of Self </t>
    </r>
    <r>
      <rPr>
        <color rgb="FF1155CC"/>
        <u/>
      </rPr>
      <t>https://susiesnyderlcsw.vipmembervault.com/products/courses/view/1033072</t>
    </r>
  </si>
  <si>
    <t>rocio.handal-rodriguez@multco.us</t>
  </si>
  <si>
    <t xml:space="preserve">1125/ the cost is 375 and this is for me and two other team members. </t>
  </si>
  <si>
    <t>https://drive.google.com/open?id=15slDilUaqId5EfHkLomCiqxH-yX7Ydwh</t>
  </si>
  <si>
    <r>
      <rPr/>
      <t xml:space="preserve">I want to attend the attend the Northwest Early Learning &amp; Pyramid Summit. </t>
    </r>
    <r>
      <rPr>
        <color rgb="FF1155CC"/>
        <u/>
      </rPr>
      <t>https://web.cvent.com/event/4ffc2832-47f4-4c5a-8fa1-5a071b4e9267/summary</t>
    </r>
  </si>
  <si>
    <t>megan.chapman@multco.us</t>
  </si>
  <si>
    <t>APS Staff Retreat</t>
  </si>
  <si>
    <t>jason.wyman@multco.us</t>
  </si>
  <si>
    <t>Payment/Reimbursement of Credential/Licensure</t>
  </si>
  <si>
    <t>https://drive.google.com/open?id=1WQ1bZXsekYEfhcdBZXaImh5qEDq6VH76</t>
  </si>
  <si>
    <t xml:space="preserve">LCSW Renewal Reimbursement </t>
  </si>
  <si>
    <t>https://drive.google.com/open?id=1UKscp_6kIYOK1Vh2pzs9wlEMuYDk4q_x</t>
  </si>
  <si>
    <t xml:space="preserve">CSWA Renewal </t>
  </si>
  <si>
    <t>$1,500 for Urban League-https://jobs.ulpdx.org/payments/new?p=585b4908-d865-40ba-b662-c952c51cbeae</t>
  </si>
  <si>
    <t>Total is 399.40</t>
  </si>
  <si>
    <t>https://drive.google.com/open?id=1Lethae_GWAvoEpvceOBHqPG7eudNayZe</t>
  </si>
  <si>
    <t>I am submitting this on behalf of my staff, Keri Ault.  This is to cover trainings needed for her licensure (Ethics as well as Depression and Suicide).  This is also to cover her licensure renewal.</t>
  </si>
  <si>
    <t>lisa.bridgewater@multco.us</t>
  </si>
  <si>
    <t>$380 for 3 days or $225 single day</t>
  </si>
  <si>
    <t>https://drive.google.com/open?id=1TplXC2CO7h-6KFDEQvhSZR5dD6wjBFSy</t>
  </si>
  <si>
    <t>NWIAS 49th Annual Conference
August 21-23, 2024
Holiday Inn Columbia Riverfront Portland, Oregon</t>
  </si>
  <si>
    <t>alan.splitter@multco.us</t>
  </si>
  <si>
    <t>$1375 requested, Event - $650, Travel - $375, lodging - $350</t>
  </si>
  <si>
    <r>
      <rPr/>
      <t xml:space="preserve">Race Forward - Facing Race </t>
    </r>
    <r>
      <rPr>
        <color rgb="FF1155CC"/>
        <u/>
      </rPr>
      <t>https://facingrace.raceforward.org/</t>
    </r>
  </si>
  <si>
    <r>
      <rPr/>
      <t xml:space="preserve">Cordelia Kraus external trainer - </t>
    </r>
    <r>
      <rPr>
        <color rgb="FF1155CC"/>
        <u/>
      </rPr>
      <t xml:space="preserve">Invitation </t>
    </r>
    <r>
      <rPr/>
      <t>to Change Substance abuse training</t>
    </r>
  </si>
  <si>
    <t>kathy.mccarter@multco.us</t>
  </si>
  <si>
    <t>Staff Training Subsidies (Training, CEU, Books, Conferences, Retreats)</t>
  </si>
  <si>
    <t>Mental Health Court</t>
  </si>
  <si>
    <t>https://drive.google.com/open?id=1c5LJ51ecGzNfeqbSYijLy4AIJn0x6fOb</t>
  </si>
  <si>
    <t>Ethics and Boundaries for In home services</t>
  </si>
  <si>
    <t>Gay, Queer</t>
  </si>
  <si>
    <t>https://drive.google.com/open?id=16uAcylCWxHsOfiyKPm-8xeXt89CVW-9w</t>
  </si>
  <si>
    <t>Queer and Trans Internal Family Systems Training: https://www.qtifs.com/</t>
  </si>
  <si>
    <t>Biofeedback Certification from the Biofeedback International Alliance/Mentoring: (19 hours required beyond what if offered with the TRF Certification): $2,375.00
Neuroanatomy course that is required for certification.  https://www.bostonneurodynamics.com/functional-neuroanatomy-course/  $530
https://www.bcia.org/nf-entry-level</t>
  </si>
  <si>
    <t xml:space="preserve">$120 for The Oregon Association of Black Social Workers </t>
  </si>
  <si>
    <t>The Oregon Association of Black Social Workers  is a new membership fee to complete the application for the chapter.</t>
  </si>
  <si>
    <r>
      <rPr/>
      <t xml:space="preserve">CBT for suicide prevention in youth through the Beck Institute. Evidence Based and recommended through Zero Suicide initiative. 
</t>
    </r>
    <r>
      <rPr>
        <color rgb="FF1155CC"/>
        <u/>
      </rPr>
      <t>https://learn.beckinstitute.org/s/product/cbt-for-suicide-prevention-in-youth/01t6S00000AsARnQAN</t>
    </r>
  </si>
  <si>
    <t>kathlyn.diaz@multco.us</t>
  </si>
  <si>
    <t>https://drive.google.com/open?id=1y7oyfu4EOvE71-yWikDb2yBZXBeWXVWottOXZXKpJtA</t>
  </si>
  <si>
    <t>National Case Manager Conference</t>
  </si>
  <si>
    <t>cynthia.m.lambert@multco.us</t>
  </si>
  <si>
    <t>Rough estimate: $1696.00</t>
  </si>
  <si>
    <r>
      <rPr/>
      <t xml:space="preserve">National Association of Case Management 29th Annual Conference: </t>
    </r>
    <r>
      <rPr>
        <color rgb="FF1155CC"/>
        <u/>
      </rPr>
      <t>https://app.glueup.com/event/fresh-air-fond-memories-and-a-foundation-for-learning-99854/</t>
    </r>
  </si>
  <si>
    <t>200.00 and already paid for it.  So requesting reimbursement.  Thank you</t>
  </si>
  <si>
    <t>Papermaking as Therapeutic Art and Social Action [In Person]</t>
  </si>
  <si>
    <t>Emailed 5/30/24 to request supporting documentation. Link provided doesn't work.  //  Receipt received &amp; forwarded to Billie, 5/30/24, -ART. //  Approved by Billie.</t>
  </si>
  <si>
    <t>Requesting 3 paid part-time internships: one summer practicum 100 hours total, two school year internships 16 hours weekly from September to June</t>
  </si>
  <si>
    <t xml:space="preserve">The full amount of the training, travel, per diem etc. </t>
  </si>
  <si>
    <t>$768.00 for the training course and training manual</t>
  </si>
  <si>
    <t>https://drive.google.com/open?id=16COg7CQtZR0siExNVLLgAgw92VqFSkf_</t>
  </si>
  <si>
    <t xml:space="preserve">Autism Diagnostic Observation Schedule, Second Edition (ADOS-2) -         Live Webinar: ADOS-2 Clinical Workshop on July 15-16, 2024 Link: https://www.wpspublish.com/product/schedule/index/
The The ADOS-2 Manual is also required for this training, which can be purchased on the same website. </t>
  </si>
  <si>
    <t>scott.vu@multco.us</t>
  </si>
  <si>
    <t>Registration ($975), airfare, hotel and per diem.  THANK YOU!</t>
  </si>
  <si>
    <t>American Public Health Association 2024 Annual Meeting https://www.apha.org/Events-and-Meetings/Annual</t>
  </si>
  <si>
    <t>shaneesta.sanfilippo@multco.us</t>
  </si>
  <si>
    <t>Law &amp; Mental Health Conference
June 10-12, 2024</t>
  </si>
  <si>
    <r>
      <rPr/>
      <t xml:space="preserve">Addressing the Trauma of Suicide and Overdose Loss: Meaning Focused Therapeutic Techniques Link to register: </t>
    </r>
    <r>
      <rPr>
        <color rgb="FF1155CC"/>
        <u/>
      </rPr>
      <t>https://www.portlandinstitute.org/address-trauma-of-suicide-and-overdose-loss</t>
    </r>
  </si>
  <si>
    <t xml:space="preserve">this is on behalf of </t>
  </si>
  <si>
    <t>$4750 (please note this request is on behalf of BH Call Center)</t>
  </si>
  <si>
    <t>https://www.apha.org/Events-and-Meetings/Annual/Registration-Information</t>
  </si>
  <si>
    <t>https://docs.google.com/document/d/1B_l3fmQibEgqK3lWDmyr7SyeTONp-HhQNJ2H16fWmQU/edit?usp=sharing</t>
  </si>
  <si>
    <t xml:space="preserve">$2,613 plus per dium for food =$1,970 (training) +$120x3 = 360.00 (Hampton in Medford) + $283 (526 miles round trip) </t>
  </si>
  <si>
    <t>SafeTalk T4T in Medford on October 21 &amp; 22 - drive down on 20th back on 23rd
https://legacy.livingworks.net/training-and-trainers/find-a-training-workshop/view/25685</t>
  </si>
  <si>
    <t>Approved by Billie. //  Received email from Kate on 8/29/24, "Due to personal responsibilities, I'm not going to be able to pursue the Safetalk training. Please cancel this request so the money can be assigned to someone else. Kate Thomas, MS". Cancelled, ART.</t>
  </si>
  <si>
    <t>https://drive.google.com/open?id=1jaoMGNgOx4LtyMSB-M7WsFpGNll3RvOP</t>
  </si>
  <si>
    <t>Smartsheet Engage Seattle 2024</t>
  </si>
  <si>
    <t>Trauma informed expressive arts therapy</t>
  </si>
  <si>
    <t>casey.kendall@multco.us</t>
  </si>
  <si>
    <t>https://drive.google.com/open?id=1TjN5TIFj8iG7ixyqvydN5D2DTFH8rIt0</t>
  </si>
  <si>
    <t>Clearly Clinical Subscription</t>
  </si>
  <si>
    <t>Approved by Billie.
Receipt saved here: H:\QM\Workforce\Invoices - Receipts</t>
  </si>
  <si>
    <t>ADOS-2, Autism diagnosis training. https://www.wpspublish.com/product/schedule/index/</t>
  </si>
  <si>
    <t xml:space="preserve">We are requesting funds for the CEU application for the "Gender Affirming Diagnostic Practices" held on 5/18/23. </t>
  </si>
  <si>
    <t>Invoice saved here: H:\QM\Workforce\Invoices
Approved by Billie.</t>
  </si>
  <si>
    <t>nidal.jianni@multco.us</t>
  </si>
  <si>
    <r>
      <rPr/>
      <t xml:space="preserve">The 29th Annual Case Management Conference in Denver Colorado
</t>
    </r>
    <r>
      <rPr>
        <color rgb="FF1155CC"/>
        <u/>
      </rPr>
      <t>https://app.glueup.com/event/fresh-air-fond-memories-and-a-foundation-for-learning-99854/agenda.html</t>
    </r>
  </si>
  <si>
    <t>joy.wallace@multco.us</t>
  </si>
  <si>
    <t>https://drive.google.com/open?id=1LM95SzT8pRyTEfKGjPRL3spTYY689GEm, https://drive.google.com/open?id=1jWY8zlVZLRDGPt3tnU49d9nn1QfHe0dn</t>
  </si>
  <si>
    <t>National Association of Case Manager 29th Annual Conference and Training</t>
  </si>
  <si>
    <t>jamiquan.rudd@multco.us</t>
  </si>
  <si>
    <t>Clinical Supervision (Training or Payment for Supervision)</t>
  </si>
  <si>
    <t xml:space="preserve">The hourly cost of supervision. I’m not sure of the cost exactly. </t>
  </si>
  <si>
    <t>6/12/24, Per Billie,  Dr. Rosemarie Hemmings, Black Therapist &amp; Company LLC is currently in the process of obtaining a contract. This may take about a month or so. Will approve once the contract is signed &amp; executed. //  7/16/24: Per Billie, "We are close, Alicia!  Not yet there but close! "</t>
  </si>
  <si>
    <t>Myself, Robert Asinjo, and Megan Crouch attend the annual OSECE conference as part of our IPS supported employment fidelity.  The registration for the conference is free however this year it is in Seaside so we'll need lodging.  I am requesting BHWi funds to cover our travel costs (lodging, per diem, etc).  Hotel costs look to be around $120/night.  We'll be there for 2 nights.  So the lodging costs would be about $720.</t>
  </si>
  <si>
    <t>Annual OSECE Supported Employment conference</t>
  </si>
  <si>
    <t>Approved by Billie. //  8/20/2024. Email received from Angela, "Today we were notified that the OSECE conference has been canceled.  I have notified HD Travel to cancel the T&amp;T request for myself, Robert Asinjo, and Megan Crouch. "</t>
  </si>
  <si>
    <t>milo.venson@multco.us</t>
  </si>
  <si>
    <t>Black of African American, White, 2 or more races, 2 or more races - not Hispanic</t>
  </si>
  <si>
    <t>GLMA's 42nd Conference on LGBTQ+ Health https://glma.org/registration.php</t>
  </si>
  <si>
    <t>Approved by Jen.</t>
  </si>
  <si>
    <t>Foundations of Motivational Interviewing https://www.pcc.edu/schedule/fall/hmb/ceu3640/</t>
  </si>
  <si>
    <t>Approved by Jen.  //  10/14/2024, Email received from Milo, " I was unable to schedule. I am no longer available to take this class due to scheduling conflicts so please remove this request accordingly."</t>
  </si>
  <si>
    <t>LPC credential</t>
  </si>
  <si>
    <t>https://drive.google.com/open?id=133QBDysZAfDNTui6ZGHyAFuFU1zmsPNL</t>
  </si>
  <si>
    <t>MBSR Mentorship Administration Fee for Qualification        $180
MBSR 18 sessions of Individual Mentorship for Qualification        $2,790
I've completed the first two steps of the Train the Trainer for Mindfulness Based Stress Reduction. This is phase 3, which includes mentorship as I deliver the content (https://cih.ucsd.edu/mbpti/mbsr-mentorship)</t>
  </si>
  <si>
    <t>alicia.palmer@multco.us</t>
  </si>
  <si>
    <r>
      <rPr/>
      <t xml:space="preserve">$200 for the courses, $219 lodging per day, plus fees at the Riverhouse on the Deschutes- $740.12
Hotel near the event, $469 fees included (total including courses $669):
</t>
    </r>
    <r>
      <rPr>
        <color rgb="FF1155CC"/>
        <u/>
      </rPr>
      <t>https://www.expedia.com/Bend-Hotels-Red-Lion-Inn-Suites-Deschutes-River-Bend.h19409.Hotel-Information?chkin=2024-09-24&amp;chkout=2024-09-27&amp;x_pwa=1&amp;rfrr=HSR&amp;pwa_ts=1718657163848&amp;referrerUrl=aHR0cHM6Ly93d3cuZXhwZWRpYS5jb20vSG90ZWwtU2VhcmNo&amp;useRewards=false&amp;rm1=a2&amp;regionId=6051534&amp;destination=Bend%2C+Oregon%2C+United+States+of+America&amp;destType=MARKET&amp;neighborhoodId=553248635976478670&amp;selected=19409&amp;latLong=45.4978%2C-122.6937&amp;sort=RECOMMENDED&amp;top_dp=139&amp;top_cur=USD&amp;gclid=Cj0KCQjwvb-zBhCmARIsAAfUI2sGRfWfyGFjDqghhydh3oDGm_wIMcJZhRvTvZTmk0FY9UFtL96Sn8caAkkqEALw_wcB&amp;mctc=10&amp;mdpcid=US.META.HPA.HOTEL-CORESEARCH-ROOMBUNDLE-desktop.HOTEL&amp;mdpdtl=HTL.19409.20240924.20240927.DDF.99.CID.21118686848.AUDID..RRID.bex_us_desktop&amp;userIntent=&amp;selectedRoomType=214940870&amp;selectedRatePlan=385706266&amp;searchId=7e59886b-5d3f-4056-bf64-9ba77dbf8a47</t>
    </r>
  </si>
  <si>
    <r>
      <rPr/>
      <t xml:space="preserve">2024 Behavioral Health Training Summit- Trauma, Dissociation, and Psychosis: CBT and Other Approaches to Understanding and Recovery (9/24/24), Nurtured Heart(9/25/24), and Youth Mental Health First Aid (MHFA)(9/26/24), and lodging. 
</t>
    </r>
    <r>
      <rPr>
        <color rgb="FF1155CC"/>
        <u/>
      </rPr>
      <t>http://www.aocmhp.org/2024-behavioral-health-training-summit/</t>
    </r>
  </si>
  <si>
    <t>adolfo.jimenez@multco.us</t>
  </si>
  <si>
    <t>https://www.naadac.org/annualconference</t>
  </si>
  <si>
    <t>melvin.l.hawkins@multco.us</t>
  </si>
  <si>
    <t>Care Coordination Unit, Wraparound</t>
  </si>
  <si>
    <t>https://drive.google.com/open?id=1Ul1dSLqU5MRG8tvINKPAcG2anZkDbXhG</t>
  </si>
  <si>
    <t>https://www.naadac.org/annualconference  ( NAADAC 2024 annual Conference &amp; Hill Day</t>
  </si>
  <si>
    <t>john.k.anderson@multco.us</t>
  </si>
  <si>
    <t>Black of African American, Latino or Hispanic</t>
  </si>
  <si>
    <t>NAADAC 2024 Annual Conference &amp; Hill Day: Learn, Connect, Advocate, Succeed</t>
  </si>
  <si>
    <t>patricia.ford@multco.us</t>
  </si>
  <si>
    <t>sarah.stanzione@multco.us</t>
  </si>
  <si>
    <t>https://drive.google.com/open?id=1o5jw_H50omyRGZkm63_KaS2sl-8MJsIj</t>
  </si>
  <si>
    <r>
      <rPr/>
      <t xml:space="preserve">41st annual National Association of Dually Diagnosed (NADD) conference. </t>
    </r>
    <r>
      <rPr>
        <color rgb="FF1155CC"/>
        <u/>
      </rPr>
      <t>https://thenadd.org/41st_annual/</t>
    </r>
  </si>
  <si>
    <t>meggan.mcevoy@multco.us</t>
  </si>
  <si>
    <t xml:space="preserve">NAADAC 2024 --   naadc.org/annual conference </t>
  </si>
  <si>
    <r>
      <rPr/>
      <t xml:space="preserve">NAADAC 2024 Annual Conference &amp; Hill Day :  </t>
    </r>
    <r>
      <rPr>
        <color rgb="FF1155CC"/>
        <u/>
      </rPr>
      <t>naadac.org/annualconference</t>
    </r>
  </si>
  <si>
    <t>https://drive.google.com/open?id=1gKiqr1WHMv_M3CBvQhblZkLadfhgg7xs</t>
  </si>
  <si>
    <t>ASL/Deaf culture at PCC</t>
  </si>
  <si>
    <t>caroline.radulski@multco.us</t>
  </si>
  <si>
    <t>https://drive.google.com/open?id=1-4e4hCoughYfpV16lm2R_Y8kra9fUGNa</t>
  </si>
  <si>
    <t>Payment Reimbursement for LPC Application Fee</t>
  </si>
  <si>
    <t>https://drive.google.com/open?id=1O9sahkf5IRlHZLJEk3CGcNn85FlEZpl8</t>
  </si>
  <si>
    <t>Spring CEU costs for the application for NASW</t>
  </si>
  <si>
    <t>elizabeth.sanders@multco.us</t>
  </si>
  <si>
    <t xml:space="preserve">QMHA recertification through Certemy; all other steps are complete. </t>
  </si>
  <si>
    <t>https://drive.google.com/open?id=1I_1OZSs8AG2630MViwBpNARbMPrgUhfB</t>
  </si>
  <si>
    <t xml:space="preserve">renewal of occupational therapy license </t>
  </si>
  <si>
    <t>Approved by Jen</t>
  </si>
  <si>
    <t>kay.shepherd@multco.us</t>
  </si>
  <si>
    <r>
      <rPr>
        <color rgb="FF1155CC"/>
        <u/>
      </rPr>
      <t>https://drive.google.com/open?id=1bgcS54YOSB6maHMjuYjxFVz4wA5xq0TF</t>
    </r>
    <r>
      <rPr/>
      <t>, https://drive.google.com/open?id=1sukKQzK4z_ZCRrlARIf3KjpQQ_lCioCY, https://drive.google.com/open?id=12c4IeqZMX6TfQOYdj_zjYMM-Ll2WOhjS</t>
    </r>
  </si>
  <si>
    <t>Mental Health America Conference</t>
  </si>
  <si>
    <t>steph.spann@multco.us</t>
  </si>
  <si>
    <t>Approx:  $1500 for conference / hotel and airfare</t>
  </si>
  <si>
    <r>
      <rPr>
        <color rgb="FF1155CC"/>
        <u/>
      </rPr>
      <t>link</t>
    </r>
    <r>
      <rPr/>
      <t xml:space="preserve"> 2-Day Workshop: Polyvagal Theory in Action: Creating Safety &amp; Connection with Trauma Clients Speaker: Deborah Dana, LCSW, LICSW
Duration: 2 Full Days   Product Code: LIP054770 Brochure Code: SPT91799
Media Type: In-Person Seminar - Also available: Live Webcast
Location: DoubleTree by Hilton Hotel Portland - South Portland, Maine
Thu, Aug 15, 2024 - 08:00am to Fri, Aug 16, 2024 - 04:00pm EDT - DoubleTree by Hilton Hotel Portland - South Portland, Maine  $459.99 - Early Bird ($40.00 off) Normal Price:Standard - $499.99 Ends 07/26/2024
Thu, Aug 15, 2024 - 08:00am to Fri, Aug 16, 2024 - 04:00pm EDT - DoubleTree by Hilton Hotel Portland - South Portland, Maine The Complex PTSD Treatment Manual (Book)  (In stock) Normal Price: $29.99 - Price: $22.99
Clinical Applications of the Polyvagal Theory (Book)  (In stock) Normal Price: $39.95 - Price: $32.99</t>
    </r>
  </si>
  <si>
    <t>https://drive.google.com/open?id=1KDIcTo0vKQlZdSoGiCH6gD3M5VPZRlNJ</t>
  </si>
  <si>
    <t>Workshops by Vicente Murgado, PsyD</t>
  </si>
  <si>
    <t>tamaradl@multco.us</t>
  </si>
  <si>
    <t>Unknown, completing form on behalf of someone</t>
  </si>
  <si>
    <t>Unknown, completing form on behalf of someone else</t>
  </si>
  <si>
    <t>N/A</t>
  </si>
  <si>
    <t>darline.hill@multco.us</t>
  </si>
  <si>
    <t>$2586 total    ($700 airfare; $687 hotel; $779 conference; $90 taxes; $210 per diem; $120 baggage)</t>
  </si>
  <si>
    <r>
      <rPr>
        <color rgb="FF1155CC"/>
        <u/>
      </rPr>
      <t>https://www.naadac.org/annualconference</t>
    </r>
    <r>
      <rPr/>
      <t xml:space="preserve">  ( NAADAC 2024 annual Conference &amp; Hill Day</t>
    </r>
  </si>
  <si>
    <t>Darline Hill</t>
  </si>
  <si>
    <t>lawrence.caplan@multco.us</t>
  </si>
  <si>
    <t>https://www.oregon.gov/blsw/pages/renewalsstatuschange.aspx</t>
  </si>
  <si>
    <t>Lawrence Caplan</t>
  </si>
  <si>
    <t>7/17/24 Asked Lawrence for the name of the training class. //  Approved by Jen.</t>
  </si>
  <si>
    <r>
      <rPr>
        <color rgb="FF1155CC"/>
        <u/>
      </rPr>
      <t>https://store.gallup.com/p/en-us/10108/cliftonstrengths-top-5?c=1</t>
    </r>
    <r>
      <rPr/>
      <t xml:space="preserve">
CliftonStrengths Top 5</t>
    </r>
  </si>
  <si>
    <t>OABHI</t>
  </si>
  <si>
    <t>sarah.kaucic@multco.us</t>
  </si>
  <si>
    <t>Fundamentals of Law for Health Informatics and Information Management, 4th Edition  by
Melanie S. Brodnik, PhD, MS, RHIA, FAHIMA
Laurie A. Rinehart-Thompson, JD, RHIA, CHP, FAHIMA
Rebecca B. Reynolds, EdD, MHA, RHIA, FAHIMA
(https://my.ahima.org/store/product?id=66988)</t>
  </si>
  <si>
    <t>Sarah Kaucic</t>
  </si>
  <si>
    <t>Health Information Management Case Studies, 3rd Edition
by
Dianna Foley, RHIA, CCS, CHPS  (https://my.ahima.org/store/product?id=66985)</t>
  </si>
  <si>
    <t>HIPAA by Example, Second Edition
by
Mary C. Thomason, MSA, RHIA, CHPS, CISSP  
 (https://my.ahima.org/store/product?id=60809)</t>
  </si>
  <si>
    <t>dzenana.durajlic.elezovic@multco.us</t>
  </si>
  <si>
    <t>$1,796 (4 registration fees x $449)</t>
  </si>
  <si>
    <t>Addictions - Contracts</t>
  </si>
  <si>
    <r>
      <rPr/>
      <t xml:space="preserve">9th Annual Northwest Institute of Addictions Studies Conference, August 21 -23, 2024
Holiday Inn Portland - Columbia Riverfront, an IHG Hotel
909 North Hayden Island Drive
Portland, OR 97217
</t>
    </r>
    <r>
      <rPr>
        <color rgb="FF1155CC"/>
        <u/>
      </rPr>
      <t>https://2024conference.nwias.com/event/2024conference/summary</t>
    </r>
  </si>
  <si>
    <t>Alex, Leeding, Natalie Amar, Angela Christenson, Dzenana Durajlic Elezovic</t>
  </si>
  <si>
    <t>maren.zieba@multco.us</t>
  </si>
  <si>
    <r>
      <rPr/>
      <t xml:space="preserve">Smartsheet Engage Conference - Oct. 7 or 8-10, 2024, Seattle, WA
</t>
    </r>
    <r>
      <rPr>
        <color rgb="FF1155CC"/>
        <u/>
      </rPr>
      <t>https://www.smartsheet.com/engage/seattle?utm_source=smartsheet&amp;utm_medium=bulletin&amp;utm_campaign=blt5192d&amp;refid=inapp2</t>
    </r>
  </si>
  <si>
    <t>Maren Zieba</t>
  </si>
  <si>
    <t>aimee.griffin@multco.us</t>
  </si>
  <si>
    <t xml:space="preserve">$240 for conference registration plus funds for travel, lodging and meals
Conference is from Sunday at 8:30am to Tuesday night at 6:15pm
4 nights hotel lodging (saturday through wednesday) - gsa daily lodging rate for santa clara county is $245 x 4 = 980
airfare ? $300 ?
meals: gsa rate for santa clara county is $74 per day x 4 = 296
Rental car or Uber?? $300
Total (not knowing how much airfare/car rental/uber will be: $2,116
</t>
  </si>
  <si>
    <t>Direct Clinical Services Unit, Early Childhood Services (EC), Preschool for All - (PFA)</t>
  </si>
  <si>
    <t>Stanford Neurodiversity Summit https://med.stanford.edu/neurodiversity/SNS2024.html</t>
  </si>
  <si>
    <t>Aimee Griffin</t>
  </si>
  <si>
    <t>clair.raujol@multco.us</t>
  </si>
  <si>
    <t xml:space="preserve">Requesting registration fee, per diem and lodging costs to attend the training at the Riverhouse on the Deschutes (Bend, OR). Room block rates are currently $219/night. It's a little unclear on the AOCMHP website if there is an actual registration fee. One page states that there is a fee, while the next doesn't provide any actual fee costs. I believe registration is free, with the only cost being lodging/per diem. </t>
  </si>
  <si>
    <t>Addiction and Prevention Program Unit, Addictions - Prevention</t>
  </si>
  <si>
    <r>
      <rPr/>
      <t xml:space="preserve">AOCMHP Behavioral Health Training Summit. </t>
    </r>
    <r>
      <rPr>
        <color rgb="FF1155CC"/>
        <u/>
      </rPr>
      <t>http://www.aocmhp.org/2024-behavioral-health-training-summit/</t>
    </r>
  </si>
  <si>
    <t>Clair Raujol</t>
  </si>
  <si>
    <t>7/23/24: Received link from Billie that provides cost information for this training. Forwarded to Clair to obtain amount needed for this request.  https://aocmhp.jotform.com/241556994662066
Approved by Billie. //  7/25/24 received email from Clair, "You can delete this request for use of BHWi grant funds. Thanks again, Clair."</t>
  </si>
  <si>
    <t>lynn.sussman@multco.us</t>
  </si>
  <si>
    <t>https://drive.google.com/open?id=1KVTSWo0d9KsSZ83S2Ms60J4GVkqzQOgu, https://drive.google.com/open?id=1CDKWsSL17TfqeNgmsmkruiN0JcZ67MtA</t>
  </si>
  <si>
    <t>AOCMHP Behavioral Health Training Summit</t>
  </si>
  <si>
    <t>Lynn Sussman</t>
  </si>
  <si>
    <t>kimberly.frazier@multco.us</t>
  </si>
  <si>
    <t>Registration, lodging and per diem. Lodging costs are $219/night with block rates. It is unclear but it appears registration is free.</t>
  </si>
  <si>
    <r>
      <rPr/>
      <t xml:space="preserve">Behavioral Health Training Summit </t>
    </r>
    <r>
      <rPr>
        <color rgb="FF1155CC"/>
        <u/>
      </rPr>
      <t>http://www.aocmhp.org/2024-behavioral-health-training-summit/</t>
    </r>
  </si>
  <si>
    <t>Kimberly Frazier with the Behavioral Health Wellness and Prevention Team</t>
  </si>
  <si>
    <t>7/23/24: Asked Kim for amount being requested. Response received: "Yes, once our team decides on who will attend what training I will give you a number, as that will also reflect how many nights I will be there too."
Appoved by Billie.</t>
  </si>
  <si>
    <t>hitomi.izawa@multco.us</t>
  </si>
  <si>
    <t xml:space="preserve">Training cost is $3750 with additional funding needed for air travel and hotel to Denver, Colorado. Possible funding needed for overtime, studying and travel. </t>
  </si>
  <si>
    <t>https://legacy.livingworks.net/training-and-trainers/find-a-training-workshop/view/25674</t>
  </si>
  <si>
    <t>myself</t>
  </si>
  <si>
    <t>7/23/24: Attached link reads "Sold Out" Waiting to hear back from Hitomi.  // Response received, "rescind it."</t>
  </si>
  <si>
    <t>kate.hammond@multco.us</t>
  </si>
  <si>
    <t>https://drive.google.com/open?id=1dp8kDPFoeMYNoIFERTIxuw9OxzTrDk7S</t>
  </si>
  <si>
    <t>Suicide Screening for People with ASD-IDD/MH</t>
  </si>
  <si>
    <t>Kate Hammond</t>
  </si>
  <si>
    <t>celia.throop@multco.us</t>
  </si>
  <si>
    <t>75 plus travel costs</t>
  </si>
  <si>
    <t>https://drive.google.com/open?id=1x27GL3GnbzYyfXhYd8Y2ciUs0V-ogqgj</t>
  </si>
  <si>
    <r>
      <rPr/>
      <t xml:space="preserve">CISM training at AOCMHP </t>
    </r>
    <r>
      <rPr>
        <color rgb="FF1155CC"/>
        <u/>
      </rPr>
      <t>http://www.aocmhp.org/2024-behavioral-health-training-summit/</t>
    </r>
  </si>
  <si>
    <t>AOCMHP training</t>
  </si>
  <si>
    <t>mark.w.summit@multco.us</t>
  </si>
  <si>
    <t>Gender Expansive or Gender Non-Conforming or Genderqueer</t>
  </si>
  <si>
    <t>thenationalcouncil.org</t>
  </si>
  <si>
    <t>Introductory/Refresher Virtual Motivational Interviewing Training</t>
  </si>
  <si>
    <t xml:space="preserve">Mark Summit, EASA </t>
  </si>
  <si>
    <t>7/25/24 Chatted Mark to obtain a link that works. Provided and added. Approved by Billie.</t>
  </si>
  <si>
    <t>For entire unit, not one specific person</t>
  </si>
  <si>
    <t>https://drive.google.com/open?id=1p_BRawW7DT1LapMCsmPQNhFn0BLdhJcn</t>
  </si>
  <si>
    <t>https://web.cvent.com/event/4ffc2832-47f4-4c5a-8fa1-5a071b4e9267/summary</t>
  </si>
  <si>
    <t>Ayla Terry Mitchell, Carla canseco-maca,  Daniela Evangelista, Zahra Abukar, Aimee Griffin, 4 new hires, Nancy Flores Peterson, Hez Rinn, Areatae McGhee, Alan Splitter, Sequoia Patterson Johnson, Ramon Benton, Rachael Jackson, Rose Yvenie Alexendre, Abrianna Williams, Alex Garcia, Keyonia Williams, Rocio Handal Rodriguez, Anita Bailey Huff</t>
  </si>
  <si>
    <t>https://store.gallup.com/p/en-us/10108/cliftonstrengths-top-5?c=1</t>
  </si>
  <si>
    <t>OABHI staff</t>
  </si>
  <si>
    <t>Roughly $500 to $600</t>
  </si>
  <si>
    <t>https://iddmhsummit.com/</t>
  </si>
  <si>
    <t>Kathlyn Diaz, K12 Case Management Program, DCS</t>
  </si>
  <si>
    <t xml:space="preserve">$1,000 for the space ($250/hour for four hours) plus $500 estimated cost in mileage reimbursement (if staff request). </t>
  </si>
  <si>
    <t>CMHP - Diversion Courts and Commitment Program Unit, CMHP - Safety Net Services Unit</t>
  </si>
  <si>
    <t>https://drive.google.com/open?id=16K4vmPszcnBXSShYsPA9GUNfpsxXU_jh</t>
  </si>
  <si>
    <r>
      <rPr/>
      <t xml:space="preserve">We would like to take the CMHP leadership team to Leach Botanical Garden in Portland for a half-day retreat. Attaching flyer for other reference of the space. Space website: </t>
    </r>
    <r>
      <rPr>
        <color rgb="FF1155CC"/>
        <u/>
      </rPr>
      <t>https://www.leachgarden.org/</t>
    </r>
  </si>
  <si>
    <t>The funding is for CMHP managers and supervisors.</t>
  </si>
  <si>
    <t>https://www.praxiscet.com/events/dbt-psychosis-sep-2024/</t>
  </si>
  <si>
    <t>DBT Skills for Psychosis</t>
  </si>
  <si>
    <t>Mark Summit, EASA</t>
  </si>
  <si>
    <t>Approved by Jen &amp; Billie.</t>
  </si>
  <si>
    <t>Quality Assurance and Compliance Unit, Quality Management Unit</t>
  </si>
  <si>
    <t>https://my.corporatecompliance.org/s/community-event?id=a1m5f000002SauAAAS</t>
  </si>
  <si>
    <t xml:space="preserve"> HCCA August Healthcare Compliance Essentials Workshop
</t>
  </si>
  <si>
    <t>Kelerie Heiser</t>
  </si>
  <si>
    <r>
      <rPr/>
      <t xml:space="preserve">Compliance Auditing &amp; Monitoring Conference </t>
    </r>
    <r>
      <rPr>
        <color rgb="FF1155CC"/>
        <u/>
      </rPr>
      <t>https://my.corporatecompliance.org/s/community-event?id=a1mUQ000000OJKrYAO</t>
    </r>
    <r>
      <rPr/>
      <t xml:space="preserve"> </t>
    </r>
  </si>
  <si>
    <t>Billie Gibbs</t>
  </si>
  <si>
    <t>https://iddmhsummit.com/register/</t>
  </si>
  <si>
    <t>Joy Wallace: K-12 Program, BHD</t>
  </si>
  <si>
    <t>emma.cantlin@multco.us</t>
  </si>
  <si>
    <t>Asian, White</t>
  </si>
  <si>
    <t>$42.56- $61.86</t>
  </si>
  <si>
    <t>https://drive.google.com/open?id=1RNIklsjAa-SMl2zZiAfvFX5Bo4BkS-7G</t>
  </si>
  <si>
    <t xml:space="preserve">Introduction to Healthcare Management Book </t>
  </si>
  <si>
    <t xml:space="preserve">Emma Cantlin - Quality Management and Records Intern </t>
  </si>
  <si>
    <t>Native American or Alaska Native, Latino or Hispanic</t>
  </si>
  <si>
    <t>Culturally Specific/Equity Specific Training, CEUs or Conferences</t>
  </si>
  <si>
    <t>https://docs.google.com/forms/d/e/1FAIpQLSePWPPSpyxDPTj3jLS8B0iv8MIDSvZIwPdiukxtECGJ0fyIjQ/viewform</t>
  </si>
  <si>
    <t>Adolfo Jimenez/ GVIF-BHRT</t>
  </si>
  <si>
    <t>heather.mirasol@multco.us</t>
  </si>
  <si>
    <t>$65 - reg/training fee</t>
  </si>
  <si>
    <t>Introductory/Refresher Virtual SBIRT Training - August 22, 2024: https://thenationalcouncil-org.zoom.us/webinar/register/WN_6a7T_UhmSNKlLQk5OtQJAg?mkt_tok=NzczLU1KRi0zNzkAAAGUjzrXTPvlm3xHI8rMh7Mgi_5k17p2g4uLvzD1FWahqnwXpbI7toE-S-R4vL5PUgiXnp8wAsUJSAxlnM1xMs500hm9RQR_D67n58lA6eXJEiw7#/registration</t>
  </si>
  <si>
    <t>Heather Mirasol</t>
  </si>
  <si>
    <t>https://thenationalcouncil-org.zoom.us/webinar/register/WN_6a7T_UhmSNKlLQk5OtQJAg#/registration</t>
  </si>
  <si>
    <t>Screening, Brief Intervention and Referral to Treatment (SBIRT) Training</t>
  </si>
  <si>
    <t>Erin Fisher</t>
  </si>
  <si>
    <t>This submission is for a 6 hr Play Therapy CEU training that will cover the most updated theory and practice in play therapy for the school-aged population. The training will be facilitated by 2 therapists who specialize in play therapy.</t>
  </si>
  <si>
    <t>School-Based Mental Health</t>
  </si>
  <si>
    <t>https://drive.google.com/open?id=1pOApxGKKA_yZCYM1gqcPrYaLXyZ0dBXF</t>
  </si>
  <si>
    <t>Introductory/Refresher Virtual SBIRT training</t>
  </si>
  <si>
    <t>Hitomi Izawa</t>
  </si>
  <si>
    <t>Approximately 475 for registration &amp; 300 for hotel</t>
  </si>
  <si>
    <t>https://ptaccollaborative.org/conference/</t>
  </si>
  <si>
    <t>Kathy Mccarter</t>
  </si>
  <si>
    <t>Billie to email approval</t>
  </si>
  <si>
    <t>nadia.takla@multco.us</t>
  </si>
  <si>
    <t>CMHP - Diversion Courts and Commitment Program Unit, Quality Management Unit</t>
  </si>
  <si>
    <t>HCCA Behavioral Health Compliance Conference, https://my.corporatecompliance.org/s/community-event?id=a1mUQ0000011pzBYAQ</t>
  </si>
  <si>
    <t>Nadia Takla</t>
  </si>
  <si>
    <t>$1450 for registration and hotel, travel cost and per diem TBD</t>
  </si>
  <si>
    <t>2024 International PTACC Training Summit, https://ptaccollaborative.org/conference/</t>
  </si>
  <si>
    <t>Billie to email approval.  10/1/2024, Received email from Billie, "Alicia- please change to staff cancellation on our tracker. "</t>
  </si>
  <si>
    <t>HCCA Behavioral Health Compliance Conference - https://my.corporatecompliance.org/s/community-event?id=a1mUQ0000011pzBYAQ</t>
  </si>
  <si>
    <t>HCCA Behavioral Health Compliance Conference</t>
  </si>
  <si>
    <t>$3900 CAD which is currently ~$2,814.96 as of today</t>
  </si>
  <si>
    <t>https://drive.google.com/open?id=1m9q0qnIOfcDraDZWojyFcMwQx_hF_Z6n</t>
  </si>
  <si>
    <r>
      <rPr/>
      <t xml:space="preserve">Compassionate Inquiry by Gabor Mate, </t>
    </r>
    <r>
      <rPr>
        <color rgb="FF1155CC"/>
        <u/>
      </rPr>
      <t>https://compassionateinquiry.com/</t>
    </r>
  </si>
  <si>
    <t>Eric Follis</t>
  </si>
  <si>
    <t>HCCA Behavioral Health Compliance Conference(https://my.corporatecompliance.org/s/community-event?id=a1mUQ0000011pzBYAQ)</t>
  </si>
  <si>
    <t>Sara Simmers</t>
  </si>
  <si>
    <t>Billie to approve</t>
  </si>
  <si>
    <t>crystal.gallaher@multco.us</t>
  </si>
  <si>
    <t>$515 for conference and $115 for dinner</t>
  </si>
  <si>
    <t xml:space="preserve">https://web.cvent.com/event/4c1ca16d-a8a2-4d71-86a5-0843e1e53335/websitePage:3e9d0150-48d0-4019-815e-bcb7e9f2cbaa </t>
  </si>
  <si>
    <t>Crystal Gallaher</t>
  </si>
  <si>
    <t>sahaya.myles@multco.us</t>
  </si>
  <si>
    <t>https://drive.google.com/open?id=1rjyIzR9lad5HZzbEP7dSUp4o9Qr47tMs</t>
  </si>
  <si>
    <t>PTACC 2024 International Deflection and Pre- Arrest Diversion Summit</t>
  </si>
  <si>
    <t>Sahaya Myles</t>
  </si>
  <si>
    <t>deloris.griggs@multco.us</t>
  </si>
  <si>
    <t>Police, Treatment and Community Collaborative PTAAC</t>
  </si>
  <si>
    <t>Deloris Griggs</t>
  </si>
  <si>
    <t>$450 plus hotel and out of town travel. Hotel according to website is $246 plus taxes and fees per night.</t>
  </si>
  <si>
    <t>Anthony Jordan</t>
  </si>
  <si>
    <t>HCCA Behavioral Health Compliance Conference https://my.corporatecompliance.org/s/community-event?id=a1mUQ0000011pzBYAQ
Registration for 10 staff: 
Robert Conrad
Sara Simmers
Billie Gibbs
Nicole Cleary
Jen Gulzow
Billie Gibbs
Andrea Chiotti
Kelerie Heiser
Nadia Takla
Dieuson Alix</t>
  </si>
  <si>
    <t>Cancelled unitl new QM Supervisor</t>
  </si>
  <si>
    <t>dieuson.alix@multco.us</t>
  </si>
  <si>
    <t>https://my.corporatecompliance.org/s/community-event?id=a1mUQ0000011pzBYAQ</t>
  </si>
  <si>
    <t>Dieuson Alix</t>
  </si>
  <si>
    <t>Billie to email and approve</t>
  </si>
  <si>
    <t>nicole.cleary@multco.us</t>
  </si>
  <si>
    <t>https://drive.google.com/open?id=1c9GDvtQP6wd9AnIqxphkj2Z7juuhzQO2</t>
  </si>
  <si>
    <t>Nicole Cleary</t>
  </si>
  <si>
    <t>https://courses.shinebrightschool.com/bundles/shine-course-white-feminism-a-int-it</t>
  </si>
  <si>
    <t>Approved by Billie.  //  Per Billie's 9/25/2024 Email, "Alicia- please change this to staff cancellation on our tracker. ".</t>
  </si>
  <si>
    <t>https://drive.google.com/open?id=1NpiETIojjZ5q0Dc8vVJDsjDxwI9RTsm1</t>
  </si>
  <si>
    <t xml:space="preserve">CEU4Less subscription </t>
  </si>
  <si>
    <t>Anne Saraceno</t>
  </si>
  <si>
    <t>robert.conrad@multco.us</t>
  </si>
  <si>
    <t>Robert Conrad</t>
  </si>
  <si>
    <t>kelly.burgess@multco.us</t>
  </si>
  <si>
    <t>Conference: $450 + Hotel: $246/night + taxes &amp; fees  for 4 nights + Per Diem for 4 days</t>
  </si>
  <si>
    <t>PTACC 2024 International Deflection &amp; Pre-Arrest Diversion Summit</t>
  </si>
  <si>
    <t>Kelly Burgess</t>
  </si>
  <si>
    <t>Billie to email</t>
  </si>
  <si>
    <t>Youth IDD Mental Health Summit</t>
  </si>
  <si>
    <t>Anita Bailey-Huff</t>
  </si>
  <si>
    <t xml:space="preserve">$254 USD (website lists Canadian $$) </t>
  </si>
  <si>
    <t>Compassionate Inquiry https://compassionateinquiry.com/</t>
  </si>
  <si>
    <r>
      <rPr/>
      <t xml:space="preserve">The Climate Crisis In The Therapy Room  I already purchased mine.  So, seeking reimbursement.  Thank you.   </t>
    </r>
    <r>
      <rPr>
        <color rgb="FF1155CC"/>
        <u/>
      </rPr>
      <t>https://www.eventbrite.com/e/the-climate-crisis-in-the-therapy-room-4-ceu-clinician-training-tickets-952927360387?aff=oddtdtcreator</t>
    </r>
    <r>
      <rPr/>
      <t xml:space="preserve">
https://www.eventbrite.com/e/the-climate-crisis-in-the-therapy-room-4-ceu-clinician-training-tickets-952927360387?aff=oddtdtcreator</t>
    </r>
  </si>
  <si>
    <t>Ember Von Letkemann</t>
  </si>
  <si>
    <t>hotel, per diem, travel?</t>
  </si>
  <si>
    <t>PTACC 2024 International Deflection and Pre-Arrest Diversion Summit</t>
  </si>
  <si>
    <t>Astra Dao</t>
  </si>
  <si>
    <t>8/12/24 Per Jen, "I recommend placing Astra's request on hold since Billie will be coordinating that conference attendance."</t>
  </si>
  <si>
    <t>kam.taylor@multco.us</t>
  </si>
  <si>
    <t>https://drive.google.com/open?id=1SEyjLXscIUQnJw3zIkFzz8bQhYg1rYbJ</t>
  </si>
  <si>
    <t>Cost is for licensure testing and Board fees</t>
  </si>
  <si>
    <t>Kam Taylor</t>
  </si>
  <si>
    <t>"When Helping Hurts: Understanding the Impact of Compassion Fatigue" https://www.sharisenance.com/
Sharice will train virtually at our team meeting</t>
  </si>
  <si>
    <t>BH APS Team</t>
  </si>
  <si>
    <t xml:space="preserve">For position - Clinical Services Services KSA African American
</t>
  </si>
  <si>
    <t>8/13/24, Emailed Liz for position description, ART. //  Approved by Billie.</t>
  </si>
  <si>
    <t>https://oblpct.us.thentiacloud.net/webs/oblpct/service/#/renewal/66ab9b56bb45a7b771b4dadb/step-payment</t>
  </si>
  <si>
    <t xml:space="preserve">Chanel Walker-Harris </t>
  </si>
  <si>
    <r>
      <rPr/>
      <t>R-15423/#745851 PFA Mental Health Consultant - Latinx Culture/Spanish Language (</t>
    </r>
    <r>
      <rPr>
        <color rgb="FF1155CC"/>
        <u/>
      </rPr>
      <t>External</t>
    </r>
    <r>
      <rPr/>
      <t>)</t>
    </r>
  </si>
  <si>
    <t xml:space="preserve">PFA Early Childhood Mental Health </t>
  </si>
  <si>
    <t>8/13/24, Emailed Darcell for position description, ART. //  Approved by Billie.</t>
  </si>
  <si>
    <t>trina.connolly-fairchild@multco.us</t>
  </si>
  <si>
    <t xml:space="preserve">$350 CAD  </t>
  </si>
  <si>
    <r>
      <rPr/>
      <t xml:space="preserve">Compassionate Inquiry with Gabor Mate, listed in the email announcing this opportunity. 
</t>
    </r>
    <r>
      <rPr>
        <color rgb="FF1155CC"/>
        <u/>
      </rPr>
      <t>https://compassionateinquiry.com/</t>
    </r>
  </si>
  <si>
    <t>Trina Connolly-Fairchild</t>
  </si>
  <si>
    <t>Maira Blum</t>
  </si>
  <si>
    <t>8/13/24 Asked Maria for link to training. //  Approved by Billie.</t>
  </si>
  <si>
    <t>Unsure</t>
  </si>
  <si>
    <t>http://www.aocmhp.org/2024-behavioral-health-training-summit/</t>
  </si>
  <si>
    <t xml:space="preserve">2024 Behavioral Health Training Summit
</t>
  </si>
  <si>
    <t>Behavioral Health Wraparound Melvin Hawkins</t>
  </si>
  <si>
    <t>8/13/24 Emailed Melvin to confirm site.  /  Approved by Billie.</t>
  </si>
  <si>
    <r>
      <rPr/>
      <t xml:space="preserve">QM/ Records/ DSU 2024 Retreat Link to facilitator: </t>
    </r>
    <r>
      <rPr>
        <color rgb="FF1155CC"/>
        <u/>
      </rPr>
      <t>https://www.empressrules.net/about-empress-rules-copy.</t>
    </r>
    <r>
      <rPr/>
      <t xml:space="preserve"> We are thinking this will cost about $4,000 for location, food and facilitator.</t>
    </r>
  </si>
  <si>
    <t>QM/ Records/ DSU Team/Unit</t>
  </si>
  <si>
    <t>ellene.smith@multco.us</t>
  </si>
  <si>
    <t>Approximately $1,346.94 plus per diem advance ($125 for conference fees, $1,080.24 for hotel lodging at conference site, $141.70 mileage reimbursement, per diem advance)</t>
  </si>
  <si>
    <t>2024 Behavioral Health Training Summit (http://www.aocmhp.org/2024-behavioral-health-training-summit/) 
I am interested in registering for the following sessions: Managing Suicidal Behavior, Integrated Co-Occurring Deeper Dive Training Day 2, &amp; Mental Health First Aid for Youth</t>
  </si>
  <si>
    <t>Ellene Smith</t>
  </si>
  <si>
    <t>Clinical Practice Compliance Conference: https://www.hcca-info.org/conferences/specialized-knowledge/2024-clinical-practice-compliance-conference?_zs=0B0TR1&amp;_zl=b70W7</t>
  </si>
  <si>
    <t>amber.ramos@multco.us</t>
  </si>
  <si>
    <t>https://drive.google.com/open?id=1p6V1gkX1HLKAR9xDG4MyCeQk_jQaz-8s</t>
  </si>
  <si>
    <t>2024 Clinical Practice Compliance Conference</t>
  </si>
  <si>
    <t>Amber Ramos</t>
  </si>
  <si>
    <t>mossie.ogilvie@multco.us</t>
  </si>
  <si>
    <t>The cost is $595.</t>
  </si>
  <si>
    <r>
      <rPr/>
      <t xml:space="preserve">Clinical Practice Compliance Conference 
The cost is $595.
</t>
    </r>
    <r>
      <rPr>
        <color rgb="FF1155CC"/>
        <u/>
      </rPr>
      <t>https://www.hcca-info.org/conferences/specialized-knowledge/2024-clinical-practice-compliance-conference?_zs=0B0TR1&amp;_zl=b70W7</t>
    </r>
    <r>
      <rPr/>
      <t xml:space="preserve"> </t>
    </r>
  </si>
  <si>
    <t>Mossie Ogilvie</t>
  </si>
  <si>
    <t>NW Early Learning and Pyramid Summit.
 https://web.cvent.com/event/4ffc2832-47f4-4c5a-8fa1-5a071b4e9267/summary</t>
  </si>
  <si>
    <t>Brianna Nunez-Webb</t>
  </si>
  <si>
    <t>Appoved by Billie.</t>
  </si>
  <si>
    <t>damon.mosley@multco.us</t>
  </si>
  <si>
    <t>We would like to purchase 30 copies of 'This Book is Anti-Racist' as a means to provide more in-dept training surrounding Equity and Inclusion for BHRC teams. Total cost is $234.</t>
  </si>
  <si>
    <t>Behavioral Health Resource Center Staff, Advisory Council, Contracted Partners</t>
  </si>
  <si>
    <t>Northwest Early learning and pyramid summit 
 https://web.cvent.com/event/4ffc2832-47f4-4c5a-8fa1-5a071b4e9267/websitePage:e186bc08-9a8f-4358-be09-ca2aa7b5a794</t>
  </si>
  <si>
    <t>Abrianna Williams</t>
  </si>
  <si>
    <t>rosa.t.nguyen@multco.us</t>
  </si>
  <si>
    <t>https://www.hcca-info.org/conferences/specialized-knowledge/2024-clinical-practice-compliance-conference</t>
  </si>
  <si>
    <t>Billing and Coding</t>
  </si>
  <si>
    <t>Rosa Nguyen</t>
  </si>
  <si>
    <t xml:space="preserve">$100 for the training + travel expenses  (one night in hotel on 9/25 and gas to/from Bend) </t>
  </si>
  <si>
    <r>
      <rPr/>
      <t xml:space="preserve">Association of Oregon Community Mental Health Programs/2024 Behavioral Health Training Summit.   The session I want to attend:   Attachment Based Family Therapy (ABFT) (1 Day)
9/26/24  8:00 AM – 5:00 PM
Programming:  </t>
    </r>
    <r>
      <rPr>
        <color rgb="FF1155CC"/>
        <u/>
      </rPr>
      <t>http://www.aocmhp.org/2024-behavioral-health-training-summit/</t>
    </r>
    <r>
      <rPr/>
      <t xml:space="preserve">
Registration form:  https://aocmhp.jotform.com/241556994662066
</t>
    </r>
  </si>
  <si>
    <t>Meggan McEvoy</t>
  </si>
  <si>
    <t>75.00 the training and cost of the hotel.</t>
  </si>
  <si>
    <t>CMHP - Diversion Courts and Commitment Program Unit</t>
  </si>
  <si>
    <t>Behavioral Health Training Summit</t>
  </si>
  <si>
    <t>carla.m.navarrete@multco.us</t>
  </si>
  <si>
    <t>Clinical Practice Compliance Conference
https://www.hcca-info.org/conferences/specialized-knowledge/2024-clinical-practice-compliance-conference?_zs=0B0TR1&amp;_zl=b70W7</t>
  </si>
  <si>
    <t>Carla Navarrete</t>
  </si>
  <si>
    <t>lydia.giles@multco.us</t>
  </si>
  <si>
    <t>Bisexual, Gay, Questioning</t>
  </si>
  <si>
    <t>Addiction and Prevention Program Unit, Billing Team, Direct Clinical Services Unit</t>
  </si>
  <si>
    <t>Clinical Practice Compliance Conference</t>
  </si>
  <si>
    <t>Lydia Giles</t>
  </si>
  <si>
    <t>$100 for the training cost of class and not sure what cost is for travel to Bend, OR and cost of hotel for 3 nights at Riverhouse on the Deschutes in Bend, OR.</t>
  </si>
  <si>
    <r>
      <rPr>
        <color rgb="FF1155CC"/>
        <u/>
      </rPr>
      <t>https://aocmhp.jotform.com/241556994662066</t>
    </r>
    <r>
      <rPr/>
      <t xml:space="preserve">
Behavioral health Training Summit</t>
    </r>
  </si>
  <si>
    <t>Leticia Fowler</t>
  </si>
  <si>
    <t>bobbie.simmons@multco.us</t>
  </si>
  <si>
    <t>NAADAC 2024 Annual Conference &amp; Hill Day</t>
  </si>
  <si>
    <t>BOBBIE SIMMONS</t>
  </si>
  <si>
    <t>Approved by Jen G. //  12/12/2204, Denial email sent. // 12/12/2024, Approved, confirmed that Bobbi already attended. Asked for total cost involved. ART.</t>
  </si>
  <si>
    <t>https://drive.google.com/open?id=1046Rqw1JTXV3BoRvKHvtOKNq_LKtjc8q</t>
  </si>
  <si>
    <t>Approved by Jen G. //  9/20/2024 Email from Kelly asking to cancel.</t>
  </si>
  <si>
    <t>lizzy.culbertson@multco.us</t>
  </si>
  <si>
    <t>$875 known, maybe more for certification and one more class not offered through DayStar</t>
  </si>
  <si>
    <t>CADC Licensure https://www.mhacbo.org/en/certifications/#tab-112093</t>
  </si>
  <si>
    <t>Lizzy Culbertson</t>
  </si>
  <si>
    <t>8/19/2024 Email from Jen: ON HOLD PENDING JEN AND LIZZY MEETING.  /  8/26/24, Emailed from Jen G., " I changed it to "Staff Training Subsidies (Training, CEU, Books, Conferences, Retreats)" on the spreadsheet based on my conversation with her today. Please process the approval."</t>
  </si>
  <si>
    <t>African, Latino or Hispanic</t>
  </si>
  <si>
    <t>Tuition Assistance/Reimbursement</t>
  </si>
  <si>
    <t>EMDR Training</t>
  </si>
  <si>
    <t>Gun Violence Program</t>
  </si>
  <si>
    <t>10/29/2024, Per Jerome's email, "John was approved to use BHWi funds to attend an EMDR training in Seattle from 11/11/24 - 11/15/24. Unfortunately John has something come up in his personal life to where he is not 100% he will be able to attend the training. Is it possible to unregister him for this one and have him attend the same training at a later date?"  Bilie forwarded to Travel and Training.</t>
  </si>
  <si>
    <t>Pre-conference training on October 7, 2024 - Introduction to Smartsheet and Project Management $699
Registration fee $1,049 (there is a group discount $949 for group of 3+ in case someone else from the County is attending)
Accommodation - average cost per night $240 + taxes &amp; fees (based on event rate discount until Sunday, Sept. 15 — or while inventory lasts)
Flight - $116 (discount price)
Taxi costs (airport - hotel- airport) $100 
Per diem</t>
  </si>
  <si>
    <t>https://drive.google.com/open?id=13qVNdKUrJpyQd6asA5xtJ9EU3TJeay1D</t>
  </si>
  <si>
    <t xml:space="preserve">Smartsheet Engage Conference, Oct. 7-10, 2024 in Seattle, WA https://www.smartsheet.com/engage/seattle?utm_source=smartsheet&amp;utm_medium=bulletin&amp;utm_campaign=blt5192d&amp;refid=inapp2 
I believe attending the Smartsheet Engage conference in Seattle this October would be a valuable opportunity for professional development. I'm particularly interested in learning how Smartsheet can help us improve our current practices, one example is managing numerous trackers for various tasks. I believe the conference will provide insights into standardizing and upgrading our workflows, and I'm eager to share that knowledge with the team upon my return. 
My commitment to this field extends beyond the workplace; I've been independently pursuing a Project Management Associate Degree since September 2022, which I will complete in March 2025. To further enhance my skills, I'd like to attend the pre-conference training on Introduction to Smartsheet and Project Management on October 7, 2024.
</t>
  </si>
  <si>
    <t>I would like to attend the Smartsheet Engage conference in Seattle in October 2024</t>
  </si>
  <si>
    <t>jonathan.ramirez@multco.us</t>
  </si>
  <si>
    <t>https://drive.google.com/open?id=1P2VGHm-ByjlQS7UujLeE-3frQYYtmqK_</t>
  </si>
  <si>
    <t>Compassionate Inquiry</t>
  </si>
  <si>
    <t>Jonathan Ramirez</t>
  </si>
  <si>
    <t xml:space="preserve">We are having our EC team retreat next week (Mon/Tue the 26th and 27th).  Our team of 23 folx is comprised of a majority Black and Brown clinicians that provide culturally responsive and racially equitable early childhood mental health consultation to Head Starts.  Our team is fully dedicated to support Black and Brown businesses (which Louiza is) and we also want to have a beautiful, nourishing and healing space for our clinicians to start their school year.  The cost for the two day retreat (full days each day plus catering from the event space) will be approximately $2800 for the rental, $1000 for the staffing and $1500 for catering (total APPROX $5300).  Because this is coming up so fast, I do not have the final numbers yet but wanted to get the funding request in asap.  I am giving you higher amounts than I expect the actual invoice to be.  </t>
  </si>
  <si>
    <t>https://louizapdx.com/</t>
  </si>
  <si>
    <t>Early Childhood Mental Health Team</t>
  </si>
  <si>
    <t>https://drive.google.com/open?id=1zgekD8PkkwInU3ReggtpLv5_jALZJHvk</t>
  </si>
  <si>
    <t>CE4Less subscription/trianing platform</t>
  </si>
  <si>
    <t>Yolanda Gonzalez</t>
  </si>
  <si>
    <t>recruitment posting for position number #700069 - Mental Health Consultant</t>
  </si>
  <si>
    <t>https://drive.google.com/open?id=1OfOMY7KqYdu3W0MpMEwR2sXqczVRLg9I</t>
  </si>
  <si>
    <t>When Helping Hurts: https://www.sharisenance.com/workshoptopics</t>
  </si>
  <si>
    <t>BHD APS</t>
  </si>
  <si>
    <t>ASIST - https://www.eventbrite.com/e/asist-applied-suicide-intervention-skills-training-september-11th-12th-tickets-938970414787</t>
  </si>
  <si>
    <t>Estimated $3000</t>
  </si>
  <si>
    <t>Smartsheet Engage Conference. Link:  https://www.smartsheet.com/engage/seattle?utm_source=smartsheet&amp;utm_medium=bulletin&amp;utm_campaign=blt5192d&amp;refid=inapp2</t>
  </si>
  <si>
    <t>https://mail.google.com/mail/u/0/#chat/dm/2jKBdIAAAAE?compose=DmwnWrRlRjGCQpJqMWzLCsrvQlWNjrfFkWWHmzZldmDNKxkfmzHQpVbqVdPBjStlPjrTBBBPZbwG</t>
  </si>
  <si>
    <t>Alexandra Rieman/self</t>
  </si>
  <si>
    <t>https://drive.google.com/open?id=1rg2hPWF7qJl76Q3XFlp663rbW_Neng38</t>
  </si>
  <si>
    <t>2024 International Deflection &amp; Pre-Arrest Diversion Summit</t>
  </si>
  <si>
    <t>Cancelled 11/26/2024</t>
  </si>
  <si>
    <t>Received email from Billie, "cancel the one for just the $475, which I believe is the registration fee."</t>
  </si>
  <si>
    <t>https://drive.google.com/open?id=1kWgk94YgarsMcfwKNoE7qvKLQhN1vEhA</t>
  </si>
  <si>
    <t xml:space="preserve">Registered Health Information Technician (RHIT) Recertification </t>
  </si>
  <si>
    <t>natalie.amar@multco.us</t>
  </si>
  <si>
    <t>Middle Eastern, White</t>
  </si>
  <si>
    <t>$450 for conference registration + hotel cost (TBC)</t>
  </si>
  <si>
    <t>Addiction and Prevention Program Unit, Addictions - Contracts</t>
  </si>
  <si>
    <t>https://drive.google.com/open?id=1w00mmmIUZgf1Nz0vKOuJY0lR698NebOh</t>
  </si>
  <si>
    <t>The PTTACC 2024 International Deflection &amp; Pre-Arrest Diversion Summit</t>
  </si>
  <si>
    <t>AD Unit</t>
  </si>
  <si>
    <t>tosha.shelepova@multco.us</t>
  </si>
  <si>
    <t>Involuntary Commitment Program</t>
  </si>
  <si>
    <t>Link</t>
  </si>
  <si>
    <t xml:space="preserve">UDEMY license: </t>
  </si>
  <si>
    <t>Myself</t>
  </si>
  <si>
    <t>Denied</t>
  </si>
  <si>
    <t xml:space="preserve">Tosha needs to request OT to complete udemy courses outside of her work hours. </t>
  </si>
  <si>
    <t>Tosha Shelepova</t>
  </si>
  <si>
    <t>8/21/2024: Per Jen G. "The grant can't pay for OT in this way, just the udemy training itself."</t>
  </si>
  <si>
    <t>leigh.hedrick@multco.us</t>
  </si>
  <si>
    <t>registration $565, room $264-275/night for 6 nights, travel to Seattle</t>
  </si>
  <si>
    <r>
      <rPr/>
      <t xml:space="preserve">AACAP Annual meeting </t>
    </r>
    <r>
      <rPr>
        <color rgb="FF1155CC"/>
        <u/>
      </rPr>
      <t>https://aacap.confex.com/aacap/2024/meetinginfo.cgi</t>
    </r>
  </si>
  <si>
    <t>Leigh</t>
  </si>
  <si>
    <t>rose-yvenie.alexandre@multco.us</t>
  </si>
  <si>
    <t>Early Childhood Services (EC), Preschool for All - (PFA)</t>
  </si>
  <si>
    <t xml:space="preserve">https://web.cvent.com/event/4ffc2832-47f4-4c5a-8fa1-5a071b4e9267/summary </t>
  </si>
  <si>
    <t xml:space="preserve">Rose-Yvenie Alexandre </t>
  </si>
  <si>
    <t>https://college.lclark.edu/calendars/events/event/358474-clinical-supervision-online</t>
  </si>
  <si>
    <t>Jennifer Kotley</t>
  </si>
  <si>
    <t>8/26/2024, Per Jen G. "PENDING JENNIFER'S RESPONSE TO MY EMAIL". //  Approved by Jen G.</t>
  </si>
  <si>
    <t>LCSW Renewal Fee</t>
  </si>
  <si>
    <t>Jerome Sloan</t>
  </si>
  <si>
    <t>https://drive.google.com/open?id=1TCq8r7nqr_JnamA9sg2izj9gAcBMVO6M</t>
  </si>
  <si>
    <t>QMHA credentialing through MHACBO</t>
  </si>
  <si>
    <t>$880 CAD (This amount is ONLY reflects conference registration - I am also requesting support for associated airfare and room/board costs but I currently don't have these estimates).//  , Email from T&amp;T amount is $2,100.00. Updateing tracker to reflect update. ART.</t>
  </si>
  <si>
    <t>https://drive.google.com/open?id=1zV5lvNshiwSbxb8wwCqtEl97_ranxASR, https://drive.google.com/open?id=1ZTA82ylP3xShxqbZwphoM3ZDGAOi9XEk</t>
  </si>
  <si>
    <t>2nd Annual - Compassionate Inquiry Conference: Confluence 2024 (Bucharest, Romania) Website: https://compassionateinquiry.com/event/compassionate-inquiry-conference/</t>
  </si>
  <si>
    <t>Misao Eliahim</t>
  </si>
  <si>
    <t>rachael.jackson@multco.us</t>
  </si>
  <si>
    <t>Treating Racial Trauma &amp; Anti Racism
https://ebtrainingsolutions.com/event/2025-01-30/treating-racial-trauma-anti-racism-4-day-intensive</t>
  </si>
  <si>
    <t>Rachael Jackson</t>
  </si>
  <si>
    <t>BHWi doesn't cover out of the country trainings.</t>
  </si>
  <si>
    <t>Billie informed via 8/29/2024 emails to Rachael.</t>
  </si>
  <si>
    <t>Adolfo Jimenez</t>
  </si>
  <si>
    <t>8/27/24: Received chat from Adolfo, "As I reviewed the items, I realized that the total including hotel is $494." Asked me to update amount from, $595. to $494. // Approved by Billie.</t>
  </si>
  <si>
    <t>CARES NW, Direct Clinical Services Unit, Gun Violence Impacted Families BH Response Team (GVIF-BHRT), K-12, Preschool for All - (PFA)</t>
  </si>
  <si>
    <t>https://www.aswb.org/exam/</t>
  </si>
  <si>
    <t>Association of Social Work Boards(ASWB) Clinical Exam</t>
  </si>
  <si>
    <t>DCS/E. Scott Williams</t>
  </si>
  <si>
    <t>8/27/24, Chatted Scott to provide workable link., ART.  //  Approved by Billie.</t>
  </si>
  <si>
    <t>jordyn.pasiak@multco.us</t>
  </si>
  <si>
    <t>$470 and travel fees</t>
  </si>
  <si>
    <t>https://drive.google.com/open?id=1ratZHRlNa5UPjWa5xcekgrJ35nrooZMo</t>
  </si>
  <si>
    <t xml:space="preserve">2024 Annual Conference on Advancing School Mental Health </t>
  </si>
  <si>
    <t>Jordyn Pasiak</t>
  </si>
  <si>
    <t>$4170, group rate for 6 staff attending</t>
  </si>
  <si>
    <t>https://my.corporatecompliance.org/s/community-event?id=a1mUQ000000XfZ3YAK</t>
  </si>
  <si>
    <t>Mossie Ogilvie	mossie.ogilvie@multco.us Lydia Giles	lydia.giles@multco.us Amber Ramos	amber.ramos@multco.us Carla Navarrete	carla.m.navarrete@multco.us Rosa Nguyen 	rosa.t.nguyen@multco.us Kelerie Heiser	kelerie.heiser@multco.us</t>
  </si>
  <si>
    <t>8/27/24, Email from Billile, "Please disregard this.  Everyone submitted their own and has already been approved."</t>
  </si>
  <si>
    <t>$134 (possible mailing cost). Could it be mailed to 6243 SE Knight ST. Portland Oregon 97206</t>
  </si>
  <si>
    <t>https://drive.google.com/open?id=1iOySA3pT46j_8ttY9FV79lnhnUf9hn-M</t>
  </si>
  <si>
    <r>
      <rPr/>
      <t xml:space="preserve">I attended a training on parent training for autism. It was paid for through the BHD funds, # 440380. I have attached the CEU showing that I did attend. It was an excellent training, yet I didn't realize that the books were not included. I was hoping to have the books ordered, as I have a family with 3 children with autism who are asking for support today. I would need 2 books titled "parent training for disruptive behavior - RUBI". One book is the Clinical Manual and the other is Parent Handbook. The link for ordering is: </t>
    </r>
    <r>
      <rPr>
        <color rgb="FF1155CC"/>
        <u/>
      </rPr>
      <t>https://www.rubinetwork.org/store/</t>
    </r>
  </si>
  <si>
    <t>Kate Thomas, SBMH</t>
  </si>
  <si>
    <t>https://drive.google.com/open?id=18dXPoCniIRkvnQEIM08PYUUaqYcUsYlJ</t>
  </si>
  <si>
    <t xml:space="preserve">Submitting for reimbursement for LCSW License renewal. </t>
  </si>
  <si>
    <r>
      <rPr/>
      <t xml:space="preserve">Clinical Supervision: Foundations (15 hours)  
</t>
    </r>
    <r>
      <rPr>
        <color rgb="FF1155CC"/>
        <u/>
      </rPr>
      <t>https://therapistdevelopmentcenter.com/product/15-hours-clinical-supervision-foundations</t>
    </r>
    <r>
      <rPr/>
      <t xml:space="preserve">
</t>
    </r>
  </si>
  <si>
    <t>https://drive.google.com/open?id=1_v0M1FMHF-JYoAd-2qmIC-08v__lxr9d</t>
  </si>
  <si>
    <t>Treating Racial Trauma &amp; Anti-Racism</t>
  </si>
  <si>
    <t>career development</t>
  </si>
  <si>
    <t>Out of the country.</t>
  </si>
  <si>
    <t>Cancelled because it's in Jamaica.</t>
  </si>
  <si>
    <t>https://drive.google.com/open?id=1vwSqwvsALLC13WBrKV_CO-4-gxsQNGUI</t>
  </si>
  <si>
    <t xml:space="preserve">International Alliance of Academies of Childhood Disability </t>
  </si>
  <si>
    <t>Ramon Benton/ Early Childhood Program</t>
  </si>
  <si>
    <r>
      <rPr/>
      <t xml:space="preserve">Autism diagnosis training using an evidence based process. This will be an excellent adjunct to the parent support training for autism that I attended in August. I would like to attend the online training on October 2nd and 3rd. I would also require the ADOS kit. Here is the link for registration: 
</t>
    </r>
    <r>
      <rPr>
        <color rgb="FF1155CC"/>
        <u/>
      </rPr>
      <t>https://autism.ucsf.edu/ados-2-introductory-toddler-module-training-october-2nd-4th-2024-online</t>
    </r>
  </si>
  <si>
    <t>Kate Thomas</t>
  </si>
  <si>
    <t>Part-Time Internships</t>
  </si>
  <si>
    <t>Dandi De Bella, APS MSW Intern</t>
  </si>
  <si>
    <t>Approved by Billie.  //  8/29/2024, Received eamil from A. Hristic, "It looks like Glen also completed the form, so please disregard this request. Thx! A."  Cancelled, ART.</t>
  </si>
  <si>
    <t>Unknown at this time</t>
  </si>
  <si>
    <t>MSW Intern for BHD APS</t>
  </si>
  <si>
    <t>jenny.tsai@multco.us</t>
  </si>
  <si>
    <t>~$3300</t>
  </si>
  <si>
    <t>Jenny Tsai</t>
  </si>
  <si>
    <t>areatae.mcghee@multco.us</t>
  </si>
  <si>
    <r>
      <rPr/>
      <t xml:space="preserve">The 2024 Northwest Early Learning and Pyramid Summit - 
Location : Portland Marriott Downtown Waterfront </t>
    </r>
    <r>
      <rPr>
        <color rgb="FF1155CC"/>
        <u/>
      </rPr>
      <t>https://web.cvent.com/event/4ffc2832-47f4-4c5a-8fa1-5a071b4e9267/summary</t>
    </r>
  </si>
  <si>
    <t xml:space="preserve">Areatae McGhee, Preschool For All / Early Childhood </t>
  </si>
  <si>
    <t>~$700</t>
  </si>
  <si>
    <t>Anakaren needs to participate in a 5 day State training, to be an Investigator. Instead of having her drive back and forth to Salem, we'd like to use these funds to get her a hotel room.</t>
  </si>
  <si>
    <t>Anakaren Gutierrez &lt;anakaren.gutierrez@multco.us&gt;</t>
  </si>
  <si>
    <t>Approved by Billie.  //  10/16/2024 Email received from Jen G., "we can not pay for something that Travel and Training has denied as an allowable purchase." //  10/16/2024, Email received from Barbara Snow, "Ana did get an exception and permission from Derrick with regards to this."</t>
  </si>
  <si>
    <t>$1677 (conference: $550, airplane ticket :$441, Hotel (3 nights): $686</t>
  </si>
  <si>
    <r>
      <rPr/>
      <t xml:space="preserve">The 2024 Annual Conference on Advancing School Mental Health
</t>
    </r>
    <r>
      <rPr>
        <color rgb="FF1155CC"/>
        <u/>
      </rPr>
      <t>https://www.schoolmentalhealth.org/annual-conference/</t>
    </r>
  </si>
  <si>
    <t>Carmen Carreras</t>
  </si>
  <si>
    <t>ed.glasheen@multco.us</t>
  </si>
  <si>
    <t>Staff Retreat</t>
  </si>
  <si>
    <t>$1080.00 for catering SBMH in person Orientation on August 26,2024</t>
  </si>
  <si>
    <t xml:space="preserve">School Based Mental Health - </t>
  </si>
  <si>
    <t>Addiction Pharmacology on ZOOM (Core Course)</t>
  </si>
  <si>
    <t xml:space="preserve">Lizzy Culbertson, Mental Health Court </t>
  </si>
  <si>
    <t>Approved by Billile.</t>
  </si>
  <si>
    <t>Oct 7-Oct 10 plus travel/loding . Conference is $949 a person for groups of 3 or more.</t>
  </si>
  <si>
    <t>Smartsheets training in seattle</t>
  </si>
  <si>
    <t>Hilary, Carol and Carolyn</t>
  </si>
  <si>
    <t>$2000 estimated.  $1200/hotel, per diem, gas reimbursement</t>
  </si>
  <si>
    <t>https://drive.google.com/open?id=1FOedPhQNPopgQR44MjLHewHtcHJRqMST</t>
  </si>
  <si>
    <t>PTACC</t>
  </si>
  <si>
    <t>Jennifer Gulzow</t>
  </si>
  <si>
    <t>https://drive.google.com/open?id=1bP7J-lhRBA5igAAK98zd6Q6Y7i9Gc1tN</t>
  </si>
  <si>
    <t>Police, Treatment &amp; Community Collaborative Conference</t>
  </si>
  <si>
    <t xml:space="preserve">Sahaya Myles </t>
  </si>
  <si>
    <t>NA</t>
  </si>
  <si>
    <t>Residential Services</t>
  </si>
  <si>
    <t>Res Services</t>
  </si>
  <si>
    <t>The training series we (Keyonia Williams and I) would like to coordinate is Decolonizing Mental Health. We were able to host the trainer (Dr. Shawna Murray-Browne) for a one time introduction to this topic. Staff provided lots of positive feedback and have requested further training. Dr. Shawna proposed an ongoing series with multiple trainings, practical applications, best practices and coaching for staff and leadership to operationalize these practices.</t>
  </si>
  <si>
    <t>Direct Clinical Services</t>
  </si>
  <si>
    <r>
      <rPr/>
      <t xml:space="preserve">Black Queer and Trans Mental Health Series: my colleague Keyonia Williams and I have been working on coordinating this series for over a year now. We are so glad there is now funding available! We have witnessed, and staff have reported, there is a deep need for training re: Black Queer and Trans Mental Health and working with Black Queer and Trans children, youth and families. This series will include: a series of trainings for all staff (including the history of Black queer and trans people, training for all staff, specific training for Black staff, best practices, practical applications and coaching for staff and leadership to operationalize this work) Here is the website for the trainer, Randall Leonard: https://www.enbyconsulting.com/aboutus and </t>
    </r>
    <r>
      <rPr>
        <color rgb="FF1155CC"/>
        <u/>
      </rPr>
      <t>https://www.enbyconsulting.com/consulting-services</t>
    </r>
  </si>
  <si>
    <t>https://ptaccollaborative.org/conference/ Seattle, Wa</t>
  </si>
  <si>
    <t>Anthony Jordan/Addiction Unit</t>
  </si>
  <si>
    <t>Training Series with Dr. Shannon Wong Lerner focused on Unconscious Biases;
Black, Latinx, Asian, LGBTQIA+, Trans, Gender Non-Conforming and Intersectional Advocacy
and Coalition Building; Listening to Diverse Staff with Empathy and Belonging and 
How to Deal with DEI Resistance. Includes 1:1 consultation and coaching. Here is the website for the trainer, Dr. Shannon Long Werner: https://drshannonwl.com/speaking</t>
  </si>
  <si>
    <t>Approved by Billile.
But canceled by DCS staff - 4/9/25 (AVD)</t>
  </si>
  <si>
    <t>Black and Beyond the Binary Collective (B3C) Workshops. Black &amp; Beyond the Binary Collective builds the leadership, healing, and safety of Black-African transgender, queer, nonbinary, two-spirit, and intersex (TQN2SI+) Oregonians. As a local entity, the collective will provide training on the following topics: history of the transgender movement, better understanding of how to serve the Black queer and trans community in Portland, local resources, supporting Black queer and trans children, youth and families with intersectional identities and community safety, the impact of mental health services on the community. This will be a series of 3 workshops. The website for B3C:  https://www.blackbeyondthebinarycollective.org/</t>
  </si>
  <si>
    <t>Direct Clinical Service Unit</t>
  </si>
  <si>
    <t>Whatever has been approved previously for DCS for external position recruiting</t>
  </si>
  <si>
    <t>This funding is to pay for recruitment for a cultural KSA position R-15693/#701098 EC Mental Health Consultant- KSA Latino/e/Spanish (External)</t>
  </si>
  <si>
    <t>LCSW Exam Prep https://therapistdevelopmentcenter.com/products/national-lcsw-exam-prep</t>
  </si>
  <si>
    <t>Frances Flores Tapia</t>
  </si>
  <si>
    <t>Gender Expansive or Gender Non-Conforming or Genderqueer, Male or Man</t>
  </si>
  <si>
    <t>Basic Principles of Somatic Experiencing - Online September 19, 2024
https://events.blackthorn.io/en/3hCnqZ6/g/Mjk62em8He/online-basic-principles-of-somatic-experiencing-september-19-2024-4a4I3h3ktj/cart-v2</t>
  </si>
  <si>
    <t>Otoniel Calderon</t>
  </si>
  <si>
    <t>Per Billie's 9/6/24 email to Toni, "With this event being in on 9/19, I do not believe that our HD training folx will be able to process this for you in time.  We ask for at least 6 weeks as we are flooding them with requests. Since it is $75, would you like to pay for this yourself and then request reimbursement?  We typically don't use this option but I don't want you to miss out on the opportunity.  Let me know if that works for you, or if there is a later date you can attend this event."</t>
  </si>
  <si>
    <t>Various members of AA &amp; Spanish KSA's.</t>
  </si>
  <si>
    <t>$200 for a table that seats 8 + $15.26 payment processing fee = $215.26
https://www.eventbrite.com/e/2024-sickle-cell-live-awareness-dinner-tickets-911483570897</t>
  </si>
  <si>
    <t>Sickle Cell Awareness Dinner for 8 staff members 
https://sicklecelloregon.org/2024-sickle-cell-awareness-dinner/</t>
  </si>
  <si>
    <t>AA &amp; Spanish KSA's</t>
  </si>
  <si>
    <t>9/6/24: Per Billie's email to Carmen, "Unfortunately the BHWi grant cannot pay for a sponsorship, those need to go through the Directors Office.  Jessica and Barb can work with you on that, if approved."</t>
  </si>
  <si>
    <t xml:space="preserve">$400 plus tip </t>
  </si>
  <si>
    <t xml:space="preserve">We are requesting funds to purchase food for the already approved Indigenous People and Mental Health training for the SBMH team. The request is for September 11, 2024. 
We are looking at getting Package B under catering at Zabpinto Thai restaurant ($400 plus tip) https://www.zabpintothai.com/catering/ </t>
  </si>
  <si>
    <t xml:space="preserve">For the School Based Mental Health team for the Indigenous People and Mental Health training </t>
  </si>
  <si>
    <r>
      <rPr/>
      <t xml:space="preserve">Intro to internal family systems
</t>
    </r>
    <r>
      <rPr>
        <color rgb="FF1155CC"/>
        <u/>
      </rPr>
      <t>https://graduate.lclark.edu/calendars/events/event/350457-an-introduction-to-internal-family-systems-therapy</t>
    </r>
  </si>
  <si>
    <t>https://drive.google.com/open?id=1Qqxw4t3PgWCjjtmsng0oPXZT7i5-dgIB</t>
  </si>
  <si>
    <t>Certified ADHD Professional</t>
  </si>
  <si>
    <t xml:space="preserve">Acquire ADHD certification ; Chanel Walker-Harris </t>
  </si>
  <si>
    <t>Purchase of four books from HCCA for the team
Ethical Culture $60
Creating great Compliance Training in a Digital World $60
Compliance Risk Assessments $60
False Claims $80</t>
  </si>
  <si>
    <t>Approved by Jen, 7/1/24</t>
  </si>
  <si>
    <t>https://drive.google.com/open?id=1EL7O-rMr5Rvy02soyGjkopZrypcjpFem</t>
  </si>
  <si>
    <t>International Colloquium on Black Males in Education (globalcolloquium.org)</t>
  </si>
  <si>
    <t>Ramon Benton/Early Childhood Program</t>
  </si>
  <si>
    <t>https://drive.google.com/open?id=1Fy8bRLfSkR71Vd8-XDg0xUtwfJvHqzTv</t>
  </si>
  <si>
    <t>NSBA’s inaugural Advocacy &amp; Equity Institute (https://nsba.org/Events/Advocacy-and-Equity-Institute)</t>
  </si>
  <si>
    <t>12/12/2024, Denial email sent.  //  Overturned, Approved 12/12/2024. //  12/16/2024, Received email from Ayla, Ramon is on Administrative Leave. Cancelled this request. ART.</t>
  </si>
  <si>
    <t>https://drive.google.com/open?id=16MF3y_M6HolF17VDyYWg5CxBtAta3ERY</t>
  </si>
  <si>
    <t>South by South West EDU Conference (https://www.sxswedu.com/about/)</t>
  </si>
  <si>
    <t>12/12/2024, Denial email sent. //  12/12/2024, Email sent to Ramon from AVD, "clarify whether this conference provides CEUs."  //   12/16/2024, Received email from Ayla, Ramon is on Administrative Leave. Cancelled this request. ART.</t>
  </si>
  <si>
    <t>https://drive.google.com/open?id=1uFro9fwmN-ZcOHWOD6D1RisoKSqgRrl6</t>
  </si>
  <si>
    <t>Hawaiʻi International Summit on Preventing, Assessing &amp; Treating Trauma Across the Lifespan (https://www.ivatcenters.org/hawaii-summit#hawaii-agenda)</t>
  </si>
  <si>
    <t>Ramon Benton</t>
  </si>
  <si>
    <t>9/9/2024 Cancelled per Ayla. It's in Hawaii.</t>
  </si>
  <si>
    <t>https://drive.google.com/open?id=1rhra6jPx9p1W8cM4j8CReRnFBi7gF8bY</t>
  </si>
  <si>
    <t>Wired Differently/Trauma-Informed Schools Conference 
(https://innovativeschoolssummit.com/wired-differently-trauma-informed-schools-conference/)</t>
  </si>
  <si>
    <t>12/12/2024 Denial email sent.  //  12/12/2024 Approval correction email sent.</t>
  </si>
  <si>
    <r>
      <rPr/>
      <t xml:space="preserve">Clinical Supervision with Lewis and Clark.  It is local.  
</t>
    </r>
    <r>
      <rPr>
        <color rgb="FF1155CC"/>
        <u/>
      </rPr>
      <t>https://graduate.lclark.edu/calendars/events/event/359486-clinical-supervision-online</t>
    </r>
  </si>
  <si>
    <t>Call Center Crisis Line</t>
  </si>
  <si>
    <t>nicole.thompson@multco.us</t>
  </si>
  <si>
    <t>Black of African American, White, 2 or more races - not Hispanic</t>
  </si>
  <si>
    <t>NAADAC Annual Conference: 10/18-10/23 NAADAC 2024 is a six-day addiction-specific educational experience that will feature immersive training sessions presented by nationally recognized experts, a day of advocacy on Capitol Hill, poster presentations, an exhibit hall, special events, networking opportunities, and so much more!</t>
  </si>
  <si>
    <t>Nicole Thompson</t>
  </si>
  <si>
    <t>Quality Manager Position</t>
  </si>
  <si>
    <r>
      <rPr/>
      <t>https://legacy.livingworks.net/training-and-trainers/find-a-training-workshop/view/22467</t>
    </r>
  </si>
  <si>
    <t>ASIST 11</t>
  </si>
  <si>
    <r>
      <rPr/>
      <t xml:space="preserve">9/10/24, Chatted Hitomi to ask if this was the correct </t>
    </r>
    <r>
      <rPr>
        <color rgb="FF1155CC"/>
        <u/>
      </rPr>
      <t xml:space="preserve">link </t>
    </r>
    <r>
      <rPr/>
      <t>to the website training.  //  Approved by Billie.</t>
    </r>
  </si>
  <si>
    <t>$550 plus travel/hotel</t>
  </si>
  <si>
    <t>https://drive.google.com/open?id=1uGUw1e40NfSBT6bgGaNigxTKtFjihNxR</t>
  </si>
  <si>
    <t>National School Mental Health Conference</t>
  </si>
  <si>
    <t>ogle.com/document/d/1bA6YL1U-UsztjHCDw1-7E9mdy98tmbSgioroE14grKY/edit</t>
  </si>
  <si>
    <r>
      <rPr>
        <color rgb="FF1155CC"/>
        <u/>
      </rPr>
      <t xml:space="preserve"> Death Cafe </t>
    </r>
    <r>
      <rPr/>
      <t xml:space="preserve">
</t>
    </r>
    <r>
      <rPr>
        <color rgb="FF1155CC"/>
        <u/>
      </rPr>
      <t>https://docs.google.com/document/d/1bA6YL1U-UsztjHCDw1-7E9mdy98tmbSgioroE14grKY/edit</t>
    </r>
  </si>
  <si>
    <t>All of BHD</t>
  </si>
  <si>
    <t>https://drive.google.com/open?id=1LywXE0CfCkxdio2Mq_qYAmtGhm7yOzx3</t>
  </si>
  <si>
    <r>
      <rPr/>
      <t xml:space="preserve">Play Therapy Basics... and Beyond! 
</t>
    </r>
    <r>
      <rPr>
        <color rgb="FF1155CC"/>
        <u/>
      </rPr>
      <t>https://www.jamiewatsonconsulting.com/event-details/play-therapy-basics-and-beyond</t>
    </r>
  </si>
  <si>
    <t>Erika Larson</t>
  </si>
  <si>
    <t>https://drive.google.com/open?id=1MgPdh86FyXfsFOW8zOuO2v3A5X3Wl21J</t>
  </si>
  <si>
    <t xml:space="preserve">ASWB registration fee to take the LCSW exam. </t>
  </si>
  <si>
    <t>https://drive.google.com/open?id=1zJoDCc0xiy8LjIrBgZ1YGpk-Y0pf1tOg</t>
  </si>
  <si>
    <r>
      <rPr/>
      <t xml:space="preserve">ASWB practice test </t>
    </r>
    <r>
      <rPr>
        <color rgb="FF1155CC"/>
        <u/>
      </rPr>
      <t>https://www.aswb.org/exam/getting-ready-for-the-exam/online-practice-test/</t>
    </r>
  </si>
  <si>
    <r>
      <rPr/>
      <t xml:space="preserve">CAMS Trained™  </t>
    </r>
    <r>
      <rPr>
        <color rgb="FF1155CC"/>
        <u/>
      </rPr>
      <t>https://cams-care.com/training-certification/cams-trained/</t>
    </r>
  </si>
  <si>
    <t>School Based Mental Health - recruiting</t>
  </si>
  <si>
    <t>https://www.naswtexasconference.com/</t>
  </si>
  <si>
    <t>Approved by Billie.  //  10/21/2024 Email from Rachael Jackson, " Please go ahead and cancel this request for the November travel dates."</t>
  </si>
  <si>
    <t>https://drive.google.com/open?id=1Tu4KpsFYxugjnrIBELgUwfT3rk_Uz5a3</t>
  </si>
  <si>
    <r>
      <rPr/>
      <t xml:space="preserve">National Association of Black Social Workers 
</t>
    </r>
    <r>
      <rPr>
        <color rgb="FF1155CC"/>
        <u/>
      </rPr>
      <t>https://book.passkey.com/event/50861722/owner/12987/landing</t>
    </r>
    <r>
      <rPr/>
      <t xml:space="preserve">
</t>
    </r>
  </si>
  <si>
    <t xml:space="preserve">Rachael Jackson </t>
  </si>
  <si>
    <t>julia.brown@multco.us</t>
  </si>
  <si>
    <t>https://drive.google.com/open?id=1lG8QN7lV3_-tavQUn2p7q6sv7lHZq0zh, https://drive.google.com/open?id=1W3TUQEx9yI4zAb2ijpMJpysACf_anmrJ</t>
  </si>
  <si>
    <t>MHACBO QMHP-c recertification fee</t>
  </si>
  <si>
    <t>JB/Julia Brown</t>
  </si>
  <si>
    <t>Latino or Hispanic, White</t>
  </si>
  <si>
    <t>https://drive.google.com/open?id=1Sa08S2BvnDG0mHLvw5-_3nUzLON9_nRt</t>
  </si>
  <si>
    <t>AAPC Codify coding books and e-tools</t>
  </si>
  <si>
    <t>Requesting coverage for 36 sessions ($160 per session) totaling $5,760.</t>
  </si>
  <si>
    <t>https://drive.google.com/open?id=1gkn-mKW_y-E5SXREF6BCbZS0i0WjpHzl, https://drive.google.com/open?id=1QXR_ycrY2VVDUKEy1arjT-xQWXfa6g8t</t>
  </si>
  <si>
    <r>
      <rPr/>
      <t xml:space="preserve">I am currently enrolled in a year-long Compassionate Inquiry (CI) training by Dr. Gabor Mate (https://online.compassionateinquiry.com/). Due to the intensity of the program, all participants must engage in concurrent psychotherapy to fulfill certification requirements. 
I prefer to work with a culturally-specific provider who is also certified in Compassionate Inquiry. This would enhance experiential knowledge and help me develop the ability to implement Compassionate Inquiry in a manner that is culturally-sensitive to support BIPOC communities.
I am hope BH Workforce funds can cover this additional expense associated w/ the training. 
Vimalasara (Valerie) Mason-John - Requesting coverage for 36 sessions ($160 per session).
Please see the link below for more information:
</t>
    </r>
    <r>
      <rPr>
        <color rgb="FF1155CC"/>
        <u/>
      </rPr>
      <t>https://compassionateinquiry.com/directory/vimalasara-valerie-mason-john/</t>
    </r>
  </si>
  <si>
    <t>Approved by Billie. //  9/25/2024 emaill from Billie, "Alicia- please mark this one that Misao already requested as staff cancellation."</t>
  </si>
  <si>
    <t>barry.taylor@multco.us</t>
  </si>
  <si>
    <t>$4000-6000</t>
  </si>
  <si>
    <t>https://drive.google.com/open?id=1BEqF8QhsgFS0PC_o8RWMkfIaALIVczc_</t>
  </si>
  <si>
    <r>
      <rPr/>
      <t xml:space="preserve">NAADAC 2024 Annual Conference &amp; Hill Day: Learn, Connect, Advocate, Succeed </t>
    </r>
    <r>
      <rPr>
        <color rgb="FF1155CC"/>
        <u/>
      </rPr>
      <t>https://www.naadac.org/annualconference</t>
    </r>
  </si>
  <si>
    <t>Barry Taylor</t>
  </si>
  <si>
    <t>https://drive.google.com/open?id=10FQ3P4tWpVczQE1_5P_PYa8znsrmud4Y</t>
  </si>
  <si>
    <t>It's for a culturally specific book</t>
  </si>
  <si>
    <t>https://drive.google.com/open?id=1Rmzl-jAPzaasVIwFx2-E2YYlQIDNmPCJ</t>
  </si>
  <si>
    <t>NAADAC Annual Conference</t>
  </si>
  <si>
    <t>DaMon Mosley</t>
  </si>
  <si>
    <t>Native American or Alaska Native, White</t>
  </si>
  <si>
    <t>https://drive.google.com/open?id=11l0wpFMlqeyzIvvjny8VERTwMi2AumDw</t>
  </si>
  <si>
    <t>American Medical Association (AMA) CPT Assist library of coding articles</t>
  </si>
  <si>
    <r>
      <rPr>
        <rFont val="Arial"/>
        <color rgb="FF1155CC"/>
      </rPr>
      <t>R-15757</t>
    </r>
    <r>
      <rPr>
        <rFont val="verdana, sans-serif"/>
        <color rgb="FF1155CC"/>
      </rPr>
      <t xml:space="preserve"> </t>
    </r>
    <r>
      <rPr>
        <rFont val="Arial"/>
        <color rgb="FF444444"/>
      </rPr>
      <t xml:space="preserve"> &amp; </t>
    </r>
    <r>
      <rPr>
        <rFont val="Arial"/>
        <color rgb="FF1155CC"/>
      </rPr>
      <t xml:space="preserve"> </t>
    </r>
    <r>
      <rPr>
        <rFont val="Arial"/>
        <color rgb="FF1155CC"/>
      </rPr>
      <t>R-1575</t>
    </r>
  </si>
  <si>
    <t>Care Coordination- new teams</t>
  </si>
  <si>
    <t>Was left in pending — posts are no longer active. - AVD 12/5/24</t>
  </si>
  <si>
    <r>
      <rPr/>
      <t xml:space="preserve">Level One: Dynamic Psycho-Educational Training
</t>
    </r>
    <r>
      <rPr>
        <color rgb="FF1155CC"/>
        <u/>
      </rPr>
      <t xml:space="preserve">https://www.activateresiliency.com/start-training
</t>
    </r>
    <r>
      <rPr/>
      <t>STAR-T training: secondary trauma activates resiliency training</t>
    </r>
  </si>
  <si>
    <t>The entire BHD</t>
  </si>
  <si>
    <t>carla.canseco-maca@multco.us</t>
  </si>
  <si>
    <t>CARES NW</t>
  </si>
  <si>
    <t>https://drive.google.com/open?id=116o5xOX3g1fGhk1qd5Q-IRPYEZ5tppF6</t>
  </si>
  <si>
    <t>https://forms.gle/ZAhRj4nBPUw4QMhb8</t>
  </si>
  <si>
    <t>Carla Canseco-Maca</t>
  </si>
  <si>
    <r>
      <rPr/>
      <t xml:space="preserve">30 copies of the book Someone to Be With by Deidre Quinlan
</t>
    </r>
    <r>
      <rPr>
        <color rgb="FF1155CC"/>
        <u/>
      </rPr>
      <t>https://www.amazon.com/Someone-Be-Deidre-Quinlan/dp/1667891545/ref=sr_1_1?crid=2NX35MB7PKRO&amp;dib=eyJ2IjoiMSJ9.nwq7p5J9REw0YhhIdwlxV-bai_2sg6Vvw1zActdL9cTFLU6GvaHpFvJIz5iMmw8VDH6rtuIme7Qs_FRWriN9eQOMlQOiSIEVv6bEaWrFGmHchMDXGzkEx7fF6z2AuooAbTyzJ3MxBc34Psnp658h_qS2HtXdLHYcgXWywSF1i58id4IIE1soh9Dp3zUvhBXjIJUxIGT4KN0z5CQMrWBmVWJbeeVw3QmEk3QDd5Q9ufM.YI_Fh_KCVR_0L66ariJ16KIxKM3yymG96WurRZCVAMk&amp;dib_tag=se&amp;keywords=someone+to+be+with&amp;qid=1724958171&amp;sprefix=someone+to+be+with%2Caps%2C464&amp;sr=8-1</t>
    </r>
  </si>
  <si>
    <t>This is for the Early Childhood Mental Health team</t>
  </si>
  <si>
    <t>$2200 total.  $1800 will be used to pay the trainer.  The remaining money ($400)will be used for snacks and/or providing lunch on the final session as a way to close out the training.</t>
  </si>
  <si>
    <t>https://drive.google.com/open?id=1BpZwQtqQOwchW6MxUXAPqmYjqm7tV4_0</t>
  </si>
  <si>
    <t>Creating a Culture of Grief Care in Community Based Work- A 3 part series</t>
  </si>
  <si>
    <t>EASA team</t>
  </si>
  <si>
    <t>jay.auslander@multco.us</t>
  </si>
  <si>
    <t>cost of training and travel</t>
  </si>
  <si>
    <t>Jay Auslander</t>
  </si>
  <si>
    <t>https://drive.google.com/open?id=1Oj1oaVCNm2oNmVW6NMykmtmtlwpt6UPy</t>
  </si>
  <si>
    <t>renewal fee for a Clinical Social Work Associate (CSWA) in Oregon https://www.oregon.gov/blsw/pages/cswainformation.aspx#:~:text=CSWA%20Renewal&amp;text=%E2%80%8BRenewals%20are%20annually%20during,the%20left%20of%20your%20page.&amp;text=%E2%80%8BEnsure%20the%20CSWA%20is%20current%20at%20all%20times.</t>
  </si>
  <si>
    <t>https://drive.google.com/open?id=1SV_ki-wTW87fMzXy61BcvClgyUPXpIOo</t>
  </si>
  <si>
    <r>
      <rPr/>
      <t xml:space="preserve">Scholistico 
 </t>
    </r>
    <r>
      <rPr>
        <color rgb="FF1155CC"/>
        <u/>
      </rPr>
      <t>https://scholistico.com/product/art-therapy-practitioner-training-course/?gc_id=19846987424&amp;h_ad_id=651689032462&amp;gad_source=1&amp;gclid=CjwKCAjw0aS3BhA3EiwAKaD2ZWtae51uQhx25Y94PJCYwie3vdzK6KSAz-CHbJbDNdBl2GniXAUYnBoCCbkQAvD_BwE</t>
    </r>
  </si>
  <si>
    <r>
      <rPr/>
      <t xml:space="preserve">35 copies
We Are The Change We Seek: Advancing Racial Justice in Early Care and Education, by 
Iheoma U. Iruka, Tonia R. Durden, Kerry-Ann Escayg, Stephanie M. Curenton
</t>
    </r>
    <r>
      <rPr>
        <color rgb="FF1155CC"/>
        <u/>
      </rPr>
      <t>https://www.tcpress.com/we-are-the-change-we-seek-9780807768020</t>
    </r>
  </si>
  <si>
    <t xml:space="preserve">Early Childhood Program </t>
  </si>
  <si>
    <t xml:space="preserve">not sure </t>
  </si>
  <si>
    <t>https://chat.google.com/dm/ls1WnsAAAAE/nEHQCNm6Cf4/nEHQCNm6Cf4?cls=10</t>
  </si>
  <si>
    <t>Working with Asian American Families - Consortium on Asian American Mental Health Training</t>
  </si>
  <si>
    <t>Susan Yoon</t>
  </si>
  <si>
    <t>9/18/2024, Emailed Susan to request additional info. ART  //  Approved by Billie.</t>
  </si>
  <si>
    <t>melissa.brabham@multco.us</t>
  </si>
  <si>
    <t>https://drive.google.com/open?id=1DuPwEhOkaOD4P1oEnHsSjKnxy31vuGa_</t>
  </si>
  <si>
    <t>OBLPCT | Annual renewal of associate registration in accordance with OAR 833-050-0131 — $105.</t>
  </si>
  <si>
    <t>Melissa Brabham - School Based Mental Health</t>
  </si>
  <si>
    <t>Approved by Bilie</t>
  </si>
  <si>
    <r>
      <rPr/>
      <t xml:space="preserve">NAVIGATING CONFLICT, LEADING FOR THE FUTURE
</t>
    </r>
    <r>
      <rPr>
        <color rgb="FF1155CC"/>
        <u/>
      </rPr>
      <t>https://www.subductionconsulting.com/events/navigatingconflict?ss_source=sscampaigns&amp;ss_campaign_id=66e83ec01b930a0ea4646e34&amp;ss_email_id=66e8749659b4817cc8cf07a4&amp;ss_campaign_name=NAVIGATING+CONFLICT%2C+LEADING+FOR+THE+FUTURE&amp;ss_campaign_sent_date=2024-09-16T18%3A11%3A13Z</t>
    </r>
  </si>
  <si>
    <t>Carmen</t>
  </si>
  <si>
    <t>9/24/2024 Email from Bilie, "I have sent Carmen an email as it is in 2 weeks and not enough time to book the travel." 9/24/2024 Email from Billie, "OK, I will approve this but I cannot guarantee that they will have time to process it for you."</t>
  </si>
  <si>
    <r>
      <rPr/>
      <t xml:space="preserve">Coaching in Home Visiting
Supporting Better Outcomes for Professionals and Families    
</t>
    </r>
    <r>
      <rPr>
        <color rgb="FF1155CC"/>
        <u/>
      </rPr>
      <t>https://products.brookespublishing.com/Coaching-in-Home-Visiting-P1570.aspx?utm_medium=email&amp;utm_source=exacttarget&amp;utm_campaign=09172024-ec-newproduct-haring-promo-multi</t>
    </r>
  </si>
  <si>
    <t xml:space="preserve">Nancy Flores Peterson </t>
  </si>
  <si>
    <t xml:space="preserve">Becoming Grief-Informed: Foundations of Grief Education (Prerequisite Course) + Supporting Students Who are Grieving (Continuing Education Course) Bundle 
https://classes.dougy.org/bundles/foundations-of-grief-education-supporting-students-who-are-grieving </t>
  </si>
  <si>
    <t>1200 for hotel, per diem, mileage, and parking cost</t>
  </si>
  <si>
    <t>Aid and Assist, Bridge Treatment Team</t>
  </si>
  <si>
    <t>lauren.riddle@multco.us</t>
  </si>
  <si>
    <t>https://drive.google.com/open?id=1bd-7WialydHRz_4IEJzSkrjiH-Fh3Ocf7CnOirRrgOk</t>
  </si>
  <si>
    <t>Motivational Interviewing Foundations</t>
  </si>
  <si>
    <t>Lauren Riddle</t>
  </si>
  <si>
    <t>jennifer.maney@multco.us</t>
  </si>
  <si>
    <r>
      <rPr/>
      <t xml:space="preserve">Internal Family Systems Therapy Competency Course, online prerecorded (self paced) </t>
    </r>
    <r>
      <rPr>
        <color rgb="FF1155CC"/>
        <u/>
      </rPr>
      <t>https://catalog.pesi.com/sales/bh_c_001915_ifstherapycompetency_organic-829169</t>
    </r>
  </si>
  <si>
    <t>Jennifer Maney</t>
  </si>
  <si>
    <t>$550 for registration fees (if registered by 9/30, $570 after this date), plus flight, plus hotel</t>
  </si>
  <si>
    <r>
      <rPr/>
      <t xml:space="preserve">The 2024 Annual Conference on
Advancing School Mental Health. Orlando, Florida </t>
    </r>
    <r>
      <rPr>
        <color rgb="FF1155CC"/>
        <u/>
      </rPr>
      <t>https://www.schoolmentalhealth.org/</t>
    </r>
  </si>
  <si>
    <t>Erika Mosqueda Franco</t>
  </si>
  <si>
    <t>QM Unit</t>
  </si>
  <si>
    <t>QM Unit/ Sara Simmers</t>
  </si>
  <si>
    <t>9/25/2024, Emailed Sara to inquire about second submission, received reply back, "we are onboarding fellows from PSU."  //  Approved by Bilie</t>
  </si>
  <si>
    <t>MHACBO Annual Renewal Fee $175.00</t>
  </si>
  <si>
    <t>Christopher Jenkins</t>
  </si>
  <si>
    <t>https://drive.google.com/open?id=1ZSVLtY1IBvTBXlQAaMnxQySMoof45kDq</t>
  </si>
  <si>
    <t>Seeking reimbursement for LCSW initial license fee</t>
  </si>
  <si>
    <t>April Taylor</t>
  </si>
  <si>
    <t>$100 (for Tier 1) or $175 for Tier 2</t>
  </si>
  <si>
    <t>Basic Principles of Somatic Experiencing for BIPOC
https://events.blackthorn.io/en/3hCnqZ6/g/Mjk62em8He/basic-principles-of-somatic-experiencing-for-bipoc-november-9-10-2024-4a4I3h3ki2/overview</t>
  </si>
  <si>
    <t>Non-Binary, Transgender Female or Trans Woman or Transfeminine</t>
  </si>
  <si>
    <t>Estimate: $1925</t>
  </si>
  <si>
    <r>
      <rPr/>
      <t xml:space="preserve">Creating Change Conference Las Vegas, NV </t>
    </r>
    <r>
      <rPr>
        <color rgb="FF1155CC"/>
        <u/>
      </rPr>
      <t>https://www.thetaskforce.org/creating-change/</t>
    </r>
  </si>
  <si>
    <t>Cee Bondurant</t>
  </si>
  <si>
    <t>andrew.vargas.delman@multco.us</t>
  </si>
  <si>
    <t>Quality Management Unit / Compliance Team</t>
  </si>
  <si>
    <t>jesus.navarro.meza@multco.us</t>
  </si>
  <si>
    <t>Uknonwn</t>
  </si>
  <si>
    <t>https://drive.google.com/open?id=1JD_jZMuZPgvVle6SMX8LnUb7jNFz6X5W</t>
  </si>
  <si>
    <t>PTACC conference; International Deflection Pre-arrest Diversion Summit (https://ptaccollaborative.org/conference/)</t>
  </si>
  <si>
    <t>Forensic Diversion/Aid &amp; Assist program.</t>
  </si>
  <si>
    <t>$25/hr 13 hrs a week</t>
  </si>
  <si>
    <t>PSU School of Social Work Intern (Regan Penn)</t>
  </si>
  <si>
    <t>https://www.6sigmacertificationonline.com/continuous-improvement-manager-certification/</t>
  </si>
  <si>
    <t>Continuous Improvement Manager Certification</t>
  </si>
  <si>
    <t>Approved by Andrew.</t>
  </si>
  <si>
    <t>$440 registration fee
$200 approx for airfare
$150 approx in transportation fees
$1290 total lodging -  $215 per night for hotel X 6 nights = 1290
$103.50 - first and last day travel per diem (Tuesday and Monday)
$345 - 5 days per diem (Wed, Thur, Fri, Sat &amp; Sun)
$2528 APPROXIMATE TOTAL to fly out Tuesday, Jan 21, conference starts Wednesday morning and goes through Sunday evening and fly back home Monday Jan 27</t>
  </si>
  <si>
    <t xml:space="preserve">https://www.thetaskforce.org/creating-change/faq/
</t>
  </si>
  <si>
    <t>alicia.r.thompson@multco.us</t>
  </si>
  <si>
    <r>
      <rPr/>
      <t xml:space="preserve">MD-Staff Educational Conference in Las Vegas, NV | February 26 – 28, 2025. </t>
    </r>
    <r>
      <rPr>
        <color rgb="FF1155CC"/>
        <u/>
      </rPr>
      <t>https://www.mdstaff.com/conference/</t>
    </r>
  </si>
  <si>
    <t>Alicia R. Thompson</t>
  </si>
  <si>
    <t>QM/ Billing</t>
  </si>
  <si>
    <t>joan.e.stein@multco.us</t>
  </si>
  <si>
    <t>$210 for room and furniture rental. $216 for Tamale Boys working lunch for 12 people</t>
  </si>
  <si>
    <t>Diversion Courts Post Commitment Services</t>
  </si>
  <si>
    <r>
      <rPr/>
      <t xml:space="preserve">Basic Principles of Somatic Experiencing for BIPOC
</t>
    </r>
    <r>
      <rPr>
        <color rgb="FF1155CC"/>
        <sz val="11.0"/>
        <u/>
      </rPr>
      <t>https://events.blackthorn.io/en/3hCnqZ6/g/Mjk62em8He/basic-principles-of-somatic-experiencing-for-bipoc-november-9-10-2024-4a4I3h3ki2/overview</t>
    </r>
  </si>
  <si>
    <r>
      <rPr/>
      <t xml:space="preserve"> Basic Principles of Somatic Experiencing for BIPOC - November 9-10, 2024 </t>
    </r>
    <r>
      <rPr>
        <color rgb="FF1155CC"/>
        <sz val="11.0"/>
        <u/>
      </rPr>
      <t>https://events.blackthorn.io/en/3hCnqZ6/g/Mjk62em8He/basic-principles-of-somatic-experiencing-for-bipoc-november-9-10-2024-4a4I3h3ki2/overview</t>
    </r>
  </si>
  <si>
    <t>Susana Gomora</t>
  </si>
  <si>
    <r>
      <rPr/>
      <t xml:space="preserve">2024 FALL: Dr. Joy DeGruy's African-American Multigenerational Trauma &amp; Implementing Models of Change
Online Courses | Dr. Joy DeGruy
</t>
    </r>
    <r>
      <rPr>
        <color rgb="FF1155CC"/>
        <sz val="11.0"/>
        <u/>
      </rPr>
      <t>https://www.joydegruy.com/online-courses</t>
    </r>
  </si>
  <si>
    <t>$700 plus shipping to Five Oak- Attention Jessica Jacobsen</t>
  </si>
  <si>
    <t>https://discover.hazeldenbettyford.org/asam-criteria#asam-purchasing-options 
we need 5 copies of the paperback, not online version</t>
  </si>
  <si>
    <t>ASAM Criteria books for new Care Coordination Team- 5 copies please</t>
  </si>
  <si>
    <t>$110  https://www.a4pt.org/</t>
  </si>
  <si>
    <r>
      <rPr/>
      <t xml:space="preserve">For Annual Membership: </t>
    </r>
    <r>
      <rPr>
        <color rgb="FF1155CC"/>
        <u/>
      </rPr>
      <t>https://www.a4pt.org/general/register_member_type.asp</t>
    </r>
  </si>
  <si>
    <t>SBMH Erika Larson</t>
  </si>
  <si>
    <t>Care Coordination, ASAM &amp; Jail Coordination Teams</t>
  </si>
  <si>
    <t xml:space="preserve">Requesting ongoing reflective supervision </t>
  </si>
  <si>
    <r>
      <rPr/>
      <t xml:space="preserve">Infant and Early Childhood Family Specialist, Endorsed Reflective Supervisor
</t>
    </r>
    <r>
      <rPr>
        <color rgb="FF1155CC"/>
        <u/>
      </rPr>
      <t>https://www.orimha.org/reflective-supervision-consultation-registry</t>
    </r>
  </si>
  <si>
    <t>12/10/24 - JG - We would need a contract in place with this agency to provide supervision to our staff. Staff can attend conferences and trainings without a contract, but can not engage in any kind of "supervisory" relationship without a contract in place.</t>
  </si>
  <si>
    <t>12/11/2024 Denial email sent to Nancy.</t>
  </si>
  <si>
    <t>Recruiting Platform Costs/Funding - BH Sup/Manager</t>
  </si>
  <si>
    <t>Recruitment for Care Coordination Clinical Operations Manager</t>
  </si>
  <si>
    <r>
      <rPr/>
      <t xml:space="preserve">Bright Morning Training Membership
 </t>
    </r>
    <r>
      <rPr>
        <color rgb="FF1155CC"/>
        <u/>
      </rPr>
      <t>https://brightmorning.thinkific.com/memberships/all-inclusive-membership-july-2024-june-2025-1</t>
    </r>
  </si>
  <si>
    <t>Leticia Ochoa</t>
  </si>
  <si>
    <t>10/7/2024, Emailed Erika to inquire if this is a duplicate request, she confirmed.</t>
  </si>
  <si>
    <t>mandy.clark@multco.us</t>
  </si>
  <si>
    <t>https://us02web.zoom.us/webinar/register/WN_pIpNzB7-TiCZJIDBvh7Gnw#/registration</t>
  </si>
  <si>
    <t xml:space="preserve"> Ethics-Balancing Self &amp; Client Care by Assessing, Mitigating, &amp; Managing the Stress-Burnout Cycle - Pacific Northwest CE's</t>
  </si>
  <si>
    <t xml:space="preserve">Mandy Clark - MTT </t>
  </si>
  <si>
    <t>10/10/2024, Emailed Mandy to obtain a link to thsi training ART.  //  Approved by AVD.</t>
  </si>
  <si>
    <t xml:space="preserve">$200 for hotel </t>
  </si>
  <si>
    <t>Behavioral Health and Aging Conference (https://www.ticketleap.events/tickets/ocebha/behavioral-health-and-aging-conference)</t>
  </si>
  <si>
    <t xml:space="preserve"> Approved by AVD.</t>
  </si>
  <si>
    <t>Spanish Language Classes in person
Each session is Weekly (for 10 weeks)
Beginner 1
Beginner 2
Intermediate 1
Intermediate 2
Intermediate 3
Each session is $245 x 5 = $1225</t>
  </si>
  <si>
    <t>BH Director's Office, Early Childhood Services (EC), Preschool for All - (PFA)</t>
  </si>
  <si>
    <t>https://www.portlandialanguages.com/enroll-beginner1-weekly</t>
  </si>
  <si>
    <t>10/23/2024 Email sent by AVD to Aimee, "OHA has confirmed that we cannot use grant funds for language classes for non-clinical staff."</t>
  </si>
  <si>
    <t xml:space="preserve">10/14/24, Emailed Aimee to ask to let us know if this course is part of a degree or certification program that directly impacts your work for the Behavioral Health Division? ART.  //  </t>
  </si>
  <si>
    <t>https://www.brightmorningteam.com/membership</t>
  </si>
  <si>
    <t>Bright Morning Training All-Inclusive annual membership</t>
  </si>
  <si>
    <t>Approved by AVD.</t>
  </si>
  <si>
    <t>https://ahscpdx.org/annual-events/</t>
  </si>
  <si>
    <t xml:space="preserve">Asian Health Gala 41st </t>
  </si>
  <si>
    <t>10/10/2024, Emailed Susan to request link to this submission. ART.  //   Approved by AVD.// 10/11/2024 Email from Jen G., "we can not pay for galas or sponsorships with BHWi funding."</t>
  </si>
  <si>
    <t>Functional Cognitive Performance-based Assessment and Error Analysis | occupational therapy CEU | https://multicontext.net/session2</t>
  </si>
  <si>
    <t>EASA/Marrissa Gottlob</t>
  </si>
  <si>
    <t>hannah.jaimes-perez@multco.us</t>
  </si>
  <si>
    <t>https://centerforaddictionstudies.com/oregon-cadc-i-120-hour-required-content-training</t>
  </si>
  <si>
    <t xml:space="preserve">The Center for Addiction Studies and Research - Oregon CADC 1 , 120hr Required Content Training. This is an online training bundle that can be completed off the clock. </t>
  </si>
  <si>
    <t>Myself - Hannah Jaimes-Perez</t>
  </si>
  <si>
    <t>Forum 2025 Registration for members $850 (Early Bird rate 10/1- 1/31)</t>
  </si>
  <si>
    <t>https://drive.google.com/open?id=1kiTRl_2I4ZUXOVWP_6OENx7VnsApD2I8Ib9pfE_Toww</t>
  </si>
  <si>
    <t>NFBPA Forum 2025, Today's Choices, Tomorrow's Impact, San Francisco, CA April 9-13</t>
  </si>
  <si>
    <t>Kathlyn Diaz</t>
  </si>
  <si>
    <t>https://drive.google.com/open?id=1lw0vcdoXpjlYLHpQoXF9DSn8BASN0l9HnAwND33vhZc</t>
  </si>
  <si>
    <t xml:space="preserve"> (National Forum for Black Public Administrators) NFBPA Membership</t>
  </si>
  <si>
    <t>K12 Case Management Department</t>
  </si>
  <si>
    <t>https://drive.google.com/open?id=1Zzzfy9dqzx9LdWEXeGkj9YNGocE59wghojA8MSm5-QQ</t>
  </si>
  <si>
    <t>NFBPA Membership</t>
  </si>
  <si>
    <t>Kathlyn Diaz, K12 Case Management Department</t>
  </si>
  <si>
    <t>10/11/2024, Emailed Kathlyn to ask fi this is a duplicate. ART.  //  Kathlyn's response, "Sorry for the confusion and yes they are duplicates.". Cancelled.</t>
  </si>
  <si>
    <t>https://docs.google.com/spreadsheets/d/182rLfb-Rsdn54xCFAaY48DKy4fXmi7cvOgR3N2qDQog/edit?gid=0#gid=0</t>
  </si>
  <si>
    <t>This is to buy professional development clinical resources/books ect</t>
  </si>
  <si>
    <t>DCS staff</t>
  </si>
  <si>
    <t>10/11/2024, Emailed Hilary to request working link. ART.  //  Approved by AVD.</t>
  </si>
  <si>
    <t xml:space="preserve">$3,875.00 for space plus more for trainers/supplies TBD. </t>
  </si>
  <si>
    <t>This is for the DCS unit to reserve a culturally specific healing space for retreat</t>
  </si>
  <si>
    <t>approximately $8500
	Cost Breakdown:
		$5000 trainer fee
		$1500 lunch each day for 15 trainees, 1 trainer, 1 support staff
		$1800 Tabor Space rental for 4 days or a county space accessible to all parties
		$200 snacks and incidentals, including printing
We can investigate options for free county spaces as well, which would help reduce the overall cost.</t>
  </si>
  <si>
    <r>
      <rPr>
        <color rgb="FF1155CC"/>
        <u/>
      </rPr>
      <t>https://drive.google.com/open?id=1C0ENkQbRBCQe0l-0wG_IAJhc2u2dpuA0</t>
    </r>
    <r>
      <rPr/>
      <t xml:space="preserve">, </t>
    </r>
    <r>
      <rPr>
        <color rgb="FF1155CC"/>
        <u/>
      </rPr>
      <t>https://drive.google.com/open?id=1VlQS4dn8_KEnudDZ4MsXrX8nAkyBDlot</t>
    </r>
    <r>
      <rPr/>
      <t>, https://drive.google.com/open?id=1Ovn-B9LqXjQiceKXNMN9xcjS17RnQF8M</t>
    </r>
  </si>
  <si>
    <t xml:space="preserve">This is a 4 consecutive day intensive training in Motivational Interviewing. The training cost includes developing and improving skills through instruction and practice, including after the initial 4 day training.. This training cost will also include a monthly session for the cohort, creating a community of practice for 6 months with additional 9 and 12 month final check ins to troubleshoot and fine tune the practice of MI. 
In order to best serve our community, we will discuss with the trainer the importance of leading with a racial equity lens while conducting the training. Motivational interviewing is a way of engaging clients in a change process they lead. Beginning with curiosity and encouraging the client to set the goals of an engagement can help to decrease the power differential many BIPOC people feel when applying for or receiving services from the government. 
We will be inviting ADVSD staff in lead worker roles who can provide mentoring to their teams of case managers/adult protective service investigators. We will outreach to Behavioral Health staff who more frequently work with older adults, across the many teams within the Behavioral Health Division (including Older Adult Behavioral Health, Tri-County 911, PATH, CHOICE, Post-Commitment).
The training will offer continuing education credits in MHACBO or NASW, which is supportive to folks who are required to have a credential or license. This training is in response to requests from folks who work with older adults and have identified the need to increase their skills to support the older adults to change their course of action. Many older adults in our community have a great deal of resilience; however, they also have many years of repeating similar actions and achieving similar outcomes, which do not serve their long term goals or holistic wellness. Motivational interviewing is a great skill for staff to work with these older adults who have behavioral health needs so the older adult can create change.
</t>
  </si>
  <si>
    <t xml:space="preserve">We are requesting funding for up to 15 staff, across Health Department- Behavioral Health and Department of County Human Services- Aging Disability Veteran Services Division (ADVSD). The cohort would include at least 5 staff from Behavioral Health Division. Our team, Older Adult Behavioral Health, works across these groups and we have observed how older adults with behavioral health needs are served by both of programs within Multnomah County; therefore older adults with behavioral health needs will directly benefit if we are able to train staff from both areas. </t>
  </si>
  <si>
    <t>$4,000 including airfare, conference fee, lodging and meals.</t>
  </si>
  <si>
    <t>https://drive.google.com/open?id=1QNLOyhVR6sNBGqY7dCpY3mOCAWKtO8BW</t>
  </si>
  <si>
    <t>36th Annual Trauma Conference</t>
  </si>
  <si>
    <t>Rachel O'Rourke</t>
  </si>
  <si>
    <t>sarah.macy@multco.us</t>
  </si>
  <si>
    <t>2025 Behavioral Health Management Conference in Las Vegas, NV/https://www.wcforum.com/conferences/behavioral-health#AgendaDayOne</t>
  </si>
  <si>
    <t>Sarah Macy</t>
  </si>
  <si>
    <t>10/23/2024 Email , on hold per AVD. // 12/12/2024. Denial email sent</t>
  </si>
  <si>
    <r>
      <rPr/>
      <t xml:space="preserve">Yoga Pathway: Immersive Study  - This is one of the few somatic trainings which I have found which is not culturally appropriative. The instructor focuses on the history of Yoga and how to use it in a philasophically congruent manner.
</t>
    </r>
    <r>
      <rPr>
        <color rgb="FF1155CC"/>
        <u/>
      </rPr>
      <t>https://thepracticespace.com/workshops/school-program--b42bf-sxdsb</t>
    </r>
  </si>
  <si>
    <t>$399.00 Before 11/26/24 (early registration) or $599.00 after 11/26/24</t>
  </si>
  <si>
    <t>Call Center/Crisis Services (https://catalog.pesi.com/sales/bh_s_059450_nutritioncertification_bro91197_organic-812815?utm_term=&amp;utm_campaign=US+%7C+BH+%7C+NB+%7C+N/A+%7C+Dynamic+%7C+Performance+Max+%7C+US+%7C+RET&amp;utm_source=google&amp;utm_medium=cpc&amp;hsa_acc=7268932594&amp;hsa_cam=20947151930&amp;hsa_grp=&amp;hsa_ad=&amp;hsa_src=x&amp;hsa_tgt=&amp;hsa_kw=&amp;hsa_mt=&amp;hsa_net=adwords&amp;hsa_ver=3&amp;gclid=Cj0KCQjw99e4BhDiARIsAISE7P_g4VKhIlP3lfoZBov6UcM1KVtEkHd_yG0N2y2Pj-_rdl_x9KTsQk4aAhwQEALw_wcB&amp;gclsrc=aw.ds)</t>
  </si>
  <si>
    <t>https://drive.google.com/open?id=1hfdNq06ROKpZ4qbnWszojdijCmUnQ_LP, https://drive.google.com/open?id=1Ya6L4tVP4fI1ozjx-LGlwoyPodFKZ29M</t>
  </si>
  <si>
    <t>Mental Health &amp; Nutrition Certification Workshop, I will attend online instead of travelling to Denver</t>
  </si>
  <si>
    <t>December 9-11, 2024, early registration by 11/26/24 saves $200</t>
  </si>
  <si>
    <t>10/21/2024,Emailed Lynn to provide me workable link. Approved by AVD.</t>
  </si>
  <si>
    <t>sonya.davis@multco.us</t>
  </si>
  <si>
    <t>Book - Don't Hit Mommy!: A Manual for Child-Parent Psychotherapy with Young Witnesses of Family Violence by Alicia F. Lieberman</t>
  </si>
  <si>
    <t>Sonya Davis</t>
  </si>
  <si>
    <t>November 16, 2024</t>
  </si>
  <si>
    <t>traumaresearchfoundation.org/lp/36th-annual-boston--trauma-conference/</t>
  </si>
  <si>
    <t>Miranda Shapiro</t>
  </si>
  <si>
    <t>May 14-17, 2025</t>
  </si>
  <si>
    <t>Not sure how much posting on recruitment platforms costs</t>
  </si>
  <si>
    <t>ASAP</t>
  </si>
  <si>
    <t>Four Part Process for Working With Spanish-Speaking Parents</t>
  </si>
  <si>
    <t>12/23/24</t>
  </si>
  <si>
    <r>
      <rPr>
        <sz val="9.0"/>
      </rPr>
      <t xml:space="preserve">10/25/2024, Emailed Brianna to request a link to this training request.  //  10/25/2024 Email from AVD, "Hold until more info." //  12/5/2024, Emailed Brianna </t>
    </r>
    <r>
      <rPr>
        <b/>
        <sz val="9.0"/>
        <u/>
      </rPr>
      <t xml:space="preserve">again </t>
    </r>
    <r>
      <rPr>
        <sz val="9.0"/>
      </rPr>
      <t xml:space="preserve">for a link to this training request. //  1/8/2025 Received link from Brianna: </t>
    </r>
    <r>
      <rPr>
        <color rgb="FF1155CC"/>
        <sz val="6.0"/>
      </rPr>
      <t>https://www.spanishformentalhealth.com/store/p213/200_-_NON_CE_WITH_4_PRIVATE_TELECONFERENCES%3A_FOUR_PART_PROCESS_FOR_WORKING_WITH_LATINO_PARENTS.html  //  1/8/2025 Approved by AVD.</t>
    </r>
  </si>
  <si>
    <t>https://drive.google.com/open?id=1N-PAwLarvBq7o-fxkm6MYjv1DmYRs5YZ</t>
  </si>
  <si>
    <t>Board of Licensed
Social Workers</t>
  </si>
  <si>
    <t xml:space="preserve">Rose-Yvenie Alexandre/CSWA Renewal </t>
  </si>
  <si>
    <t>October 31st</t>
  </si>
  <si>
    <t>Oregon Association Of Black Social Workers</t>
  </si>
  <si>
    <t xml:space="preserve">Areatae McGhee / Behavioral Health / Preschool For All </t>
  </si>
  <si>
    <t>10/21/24</t>
  </si>
  <si>
    <t>keyonia.williams@multco.us</t>
  </si>
  <si>
    <t>BH Director's Office, Early Childhood Services (EC)</t>
  </si>
  <si>
    <r>
      <rPr/>
      <t xml:space="preserve">The 57th Annual National Conference will be held in Richmond, VA. Connect with black social workers from across the USA 
</t>
    </r>
    <r>
      <rPr>
        <color rgb="FF1155CC"/>
        <u/>
      </rPr>
      <t>https://www.gbabsw.org/event-details/nabsw-national-conference-in-richmond-va</t>
    </r>
  </si>
  <si>
    <t>Keyonia Williams</t>
  </si>
  <si>
    <t>April 15-19, 2025</t>
  </si>
  <si>
    <t>$5,750 to cover 23 psychotherapy sessions ($250 per session).</t>
  </si>
  <si>
    <t>https://drive.google.com/open?id=19_QYgO2OmvkJwFW1Gd3DLE02CgOZKbQI, https://drive.google.com/open?id=1nBio8QD2b-zcjnuZDr7SM6SOx7rDJnhg, https://drive.google.com/open?id=1uIvjW689g24zDd_i0wZWuBpUYE898Nnj</t>
  </si>
  <si>
    <r>
      <rPr/>
      <t xml:space="preserve">I am currently enrolled in a year-long Compassionate Inquiry (CI) training by Dr. Gabor Mate (https://online.compassionateinquiry.com/). Due to the intensity of the program, all participants must engage in concurrent psychotherapy to fulfill certification requirements. 
I am hoping BH Workforce funds can cover this additional expense (23 psychotherapy sessions) associated w/ the training.
I prefer to work with a culturally-specific provider (see below):
Dr. Jeffrey Gardere
</t>
    </r>
    <r>
      <rPr>
        <color rgb="FF1155CC"/>
        <u/>
      </rPr>
      <t>https://www.drjeffgardere.com/services/</t>
    </r>
    <r>
      <rPr/>
      <t xml:space="preserve">
(917) 312-4497</t>
    </r>
  </si>
  <si>
    <t>n/a</t>
  </si>
  <si>
    <t>10/25/2024 Email from AVD, "Likely won't approve but let me consult Jen.", 11/1/2024 F/U by ART.
Note: staff chose to withdraw this rather than creating a contract with the provider. (Contract would've been necessary since staff was asking BHD to pay provider for psychotherapy services, which is unprecedented.) - AVD 11/20/24</t>
  </si>
  <si>
    <t>Addiction and Prevention Program Unit, Addictions - Contracts, Addictions - PATH, Addictions - Prevention, Adult Intensive Care Coordination, Adult Protective Services and Risk Case Management, Aid and Assist, Behavioral Health Resource Center, BH Director's Office, Billing Team, Bridge Treatment Team, Call Center/Crisis Services, Care Coordination Unit, CARES NW, CMHP - Diversion Courts and Commitment Program Unit, CMHP - Safety Net Services Unit, Choice Model Program, Direct Clinical Services Unit, Disaster Management, Early Assessment and Support Alliance (EASA), Early Childhood Services (EC), Evolv Administration Team, Gun Violence Impacted Families BH Response Team (GVIF-BHRT), Involuntary Commitment Program, K-12, Mental Health Court, Multnomah Intensive Transition Team, Office of Consumer Engagement, Older Adult Behavioral Health Initiative, Preschool for All - (PFA), Post Commitment Program, Quality Assurance and Compliance Unit, Quality Management Unit, Records Team, Reporting Team, Residential Services, School Based Mental Health (SBMH), Wraparound, Youth Intensive Care Coordination</t>
  </si>
  <si>
    <r>
      <rPr/>
      <t xml:space="preserve">CEU's for the 11/13 STAR-T training - </t>
    </r>
    <r>
      <rPr>
        <color rgb="FF1155CC"/>
        <u/>
      </rPr>
      <t xml:space="preserve">NASW </t>
    </r>
    <r>
      <rPr/>
      <t xml:space="preserve">$170 and MHACBO $25
The MHACBO certification is obtained here
</t>
    </r>
    <r>
      <rPr>
        <color rgb="FF1155CC"/>
        <u/>
      </rPr>
      <t>https://www.mhacbo.org/en/forms-info/forms/</t>
    </r>
    <r>
      <rPr/>
      <t xml:space="preserve">
under the Training Proposals link</t>
    </r>
  </si>
  <si>
    <t>11/13/24</t>
  </si>
  <si>
    <t>Virtual/local training - no travel or accommodations required</t>
  </si>
  <si>
    <t xml:space="preserve">I am requesting $200 to cover the cost of applying for CEU credits from NASW.  We are submitting an application for 3 training series: EASA Special Equity Topics, Creating a Culture of Grief Care in Community-Based Work, and Ethics Training for a Transdisciplinary Team.  The application includes 24 CEU credits.  </t>
  </si>
  <si>
    <t>The EASA team</t>
  </si>
  <si>
    <t>I will be submitting the NASW CEU application 10/30/24</t>
  </si>
  <si>
    <t xml:space="preserve">CARES/KSA African American/Black job postings in culturally specific publications. </t>
  </si>
  <si>
    <t xml:space="preserve">As soon as possible. We are currently seeking to fill the African American/Black KSA position at CARES that was vacated in September. </t>
  </si>
  <si>
    <t>CARES NW, School Based Mental Health (SBMH)</t>
  </si>
  <si>
    <t>https://hmccoregon.com/event/jefas-y-cafe/</t>
  </si>
  <si>
    <t>Hispanic Metropolitian Chamber (Jefas y Café)</t>
  </si>
  <si>
    <t>11/06/2024</t>
  </si>
  <si>
    <t>https://joy-degruy-publications.thinkific.com/courses/2025-spring-african-american-multigenerational-trauma-implementing-models-of-change</t>
  </si>
  <si>
    <t xml:space="preserve">4/27/2025 chat from: Keyonia Williams
I’d like to get in for May 6. </t>
  </si>
  <si>
    <t>11/6/2024, Asked Keyonia for the correct link. ART. //  Received reply back from Keyonia, "I will do further research and get back to you as I’m not finding the previous 2025! Thank you" //  12/5/2024, Asked Keyonia for 2025 link for this training. //  Received reply back from Keyonia,  "I’ve reached out to the organization and I’m still waiting to hear back from them. I would not like to cancel the request." //  4/28/2025, Received update for 2025 registration. ART //  4/29/2025 Approved by AVD.</t>
  </si>
  <si>
    <t>24.99 x 11 staff = 274.89</t>
  </si>
  <si>
    <t xml:space="preserve">https://store.gallup.com/c/en-us/1/cliftonstrengths
</t>
  </si>
  <si>
    <t>BH Residential Services</t>
  </si>
  <si>
    <t>12/12</t>
  </si>
  <si>
    <t>11/6/2024,Per AVD, emailed Ana, to inform that this request is on hold until we hear back from OHA. //  12/12/2024 Approved by AVD. //  11/12/2024 Email received from Ana, given the time sensitive nature of this request, we ended up using other funds to support this effort. You can take it off your list."</t>
  </si>
  <si>
    <r>
      <rPr/>
      <t xml:space="preserve">Primary Attachment Therapy </t>
    </r>
    <r>
      <rPr>
        <color rgb="FF1155CC"/>
        <u/>
      </rPr>
      <t>https://hakomiinstitute.com/hakomievent/primary-attachment-therapy-training-2025/</t>
    </r>
  </si>
  <si>
    <t>April 30-May 4 and June 22 2025</t>
  </si>
  <si>
    <t>QM/ Sara Simmers</t>
  </si>
  <si>
    <t>11/6/24</t>
  </si>
  <si>
    <t>Approved by AVD.  //  11/6/2024, Email received from S. Simmers, "Unfortunately I can't use the funds right now as I'm infrastructure staff, I realized after submitting. Sorry! Please ignore my recruitment site submission.  as well. --Sara Simmers, cancel for now."</t>
  </si>
  <si>
    <t>jaremy.calderon@multco.us</t>
  </si>
  <si>
    <r>
      <rPr/>
      <t xml:space="preserve">Understanding and Working with Guilt and Shame in the Traumatized Client
</t>
    </r>
    <r>
      <rPr>
        <color rgb="FF1155CC"/>
        <u/>
      </rPr>
      <t>https://www.mhacbo.org/en/online-education/?appSession=56SC19K1GIG18Z390ITZ6751BS92I8P9UJJD4Q7Z1DHR64NOH2SC34AZEV3E1A268985VKO343Z16T12YNKDKRM3Y0982F9N54P1J1Z6M41OEJ4U7K34621Q2UIZ88SZ&amp;PageID=8&amp;PrevPageID=2&amp;cpipage=1&amp;RecordID=1639&amp;cbCurrentRecordPosition=20&amp;Mod0LinkToDetails=True&amp;CPIorderBy=Start_Date&amp;CPIsortType=desc&amp;cbCurrentPageSize=25</t>
    </r>
  </si>
  <si>
    <t>Jaremy Calderon</t>
  </si>
  <si>
    <t>1/24/2025</t>
  </si>
  <si>
    <r>
      <rPr/>
      <t xml:space="preserve">Mindful Ethics: Enhancing Decision-Making in Clinical Practice
</t>
    </r>
    <r>
      <rPr>
        <color rgb="FF1155CC"/>
        <u/>
      </rPr>
      <t>https://www.mhacbo.org/en/online-education/?appSession=56SC19K1GIG18Z390ITZ6751BS92I8P9UJJD4Q7Z1DHR64NOH2SC34AZEV3E1A268985VKO343Z16T12YNKDKRM3Y0982F9N54P1J1Z6M41OEJ4U7K34621Q2UIZ88SZ&amp;PageID=8&amp;PrevPageID=2&amp;cpipage=1&amp;RecordID=1598&amp;cbCurrentRecordPosition=16&amp;Mod0LinkToDetails=True&amp;CPIorderBy=Start_Date&amp;CPIsortType=desc&amp;cbCurrentPageSize=25</t>
    </r>
  </si>
  <si>
    <t>2/17/2025</t>
  </si>
  <si>
    <t xml:space="preserve">
$5136
Registration, hotel, food, and travel.</t>
  </si>
  <si>
    <t>https://drive.google.com/open?id=1jJXwfgxIm_YI-ubmYyE_5pvGg4UZzNmd</t>
  </si>
  <si>
    <t>https://www.schoolmentalhealth.org/</t>
  </si>
  <si>
    <t>December 5-7, 2024</t>
  </si>
  <si>
    <t>Yes - travel and/or accommodations will be needed.</t>
  </si>
  <si>
    <t>$6,000 for Workplace diversity subscription, Erin Murphy and I have agreed this is a worthwhile resource.</t>
  </si>
  <si>
    <t>All of BHD, it's a recruitment site.</t>
  </si>
  <si>
    <t>$5,000 for academy and accomodations</t>
  </si>
  <si>
    <t>https://www.hcca-info.org/conferences/academies/2025-san-jose-healthcare-basic-compliance-academy</t>
  </si>
  <si>
    <t>February 2024</t>
  </si>
  <si>
    <t>https://drive.google.com/open?id=1HgXe3-qYblEDp1Eg_k1HSAhKuEI9Bmvi</t>
  </si>
  <si>
    <t>Restorative Ethics: A meditative exploration of vulnerability and strength</t>
  </si>
  <si>
    <t>01/10/2025</t>
  </si>
  <si>
    <r>
      <rPr/>
      <t xml:space="preserve">SE Professional Training: Beginning 1 Course Objectives
</t>
    </r>
    <r>
      <rPr>
        <color rgb="FF1155CC"/>
        <sz val="11.0"/>
        <u/>
      </rPr>
      <t>https://events.blackthorn.io/en/3hCnqZ6/a/2tgyxhGqEkPdswrgZXOaO_xZ7YRCXP4Yr3AHsrMkK2b-VzPBOomRfIJGICj--smO/portland-or-beginning-i-february-21-24-2025-4a4IUQcjH3/overview</t>
    </r>
  </si>
  <si>
    <t>02/21/2025-02/24/2025</t>
  </si>
  <si>
    <r>
      <rPr/>
      <t xml:space="preserve">SE Professional Training: Beginning II Course, Portland OR
</t>
    </r>
    <r>
      <rPr>
        <color rgb="FF1155CC"/>
        <sz val="11.0"/>
        <u/>
      </rPr>
      <t>https://events.blackthorn.io/en/3hCnqZ6/a/x7ef4ZXJ8kneTZPMlNrg3f3vkE_GNU2ScspVZD48sR0Nl0NsxS-0X0EuMULUAacg/portland-or-beginning-ii-july-18-21-2025-4a4IUQcjdd/cart-v2</t>
    </r>
  </si>
  <si>
    <t>July 18- July 21, 2025</t>
  </si>
  <si>
    <r>
      <rPr/>
      <t xml:space="preserve">SE Professional Training: Beginning III Course
Location: St. Philip Neri, 2408 SE 16th Avenue, Portland, Oregon 97214, United States
</t>
    </r>
    <r>
      <rPr>
        <color rgb="FF1155CC"/>
        <sz val="15.0"/>
        <u/>
      </rPr>
      <t>https://events.blackthorn.io/en/3hCnqZ6/a/YU9tll8m4W2vZaeDzP7nXTSaoyriFAKgGj513V8MbS17mUA1mcfNA2DoVRTWnak5/portland-or-beginning-iii-november-7-10-2025-4a4IUQcjwz/overview</t>
    </r>
  </si>
  <si>
    <t>November 7-10, 2025</t>
  </si>
  <si>
    <r>
      <rPr>
        <color rgb="FF1155CC"/>
        <sz val="11.0"/>
        <u/>
      </rPr>
      <t>https://acceleratedresolutiontherapy.com/reg/icat.php?course=AE</t>
    </r>
    <r>
      <rPr/>
      <t xml:space="preserve">   Advanced training on 1/28/2025 to 1/30/2025.</t>
    </r>
  </si>
  <si>
    <t>Ember Von Letkemann/Call Center Crisis Line</t>
  </si>
  <si>
    <t>1/28/24 to 1/30/24</t>
  </si>
  <si>
    <t>emily.heideman@multco.us</t>
  </si>
  <si>
    <t>https://drive.google.com/open?id=12v7rTsGWZ1aS2-bpuTywdH8NmiEEKu1T</t>
  </si>
  <si>
    <t xml:space="preserve">Requesting Licensure Renewal Fee Reimbursement </t>
  </si>
  <si>
    <t>Emily Johnson</t>
  </si>
  <si>
    <t>11/19/2024</t>
  </si>
  <si>
    <t>Male or Man, Transgender Male or Trans Man or Transmasculine</t>
  </si>
  <si>
    <t>Bisexual, Gay, Queer</t>
  </si>
  <si>
    <r>
      <rPr/>
      <t xml:space="preserve">National Conference on Child Abuse and Neglect; </t>
    </r>
    <r>
      <rPr>
        <color rgb="FF1155CC"/>
        <sz val="11.0"/>
        <u/>
      </rPr>
      <t>https://nccan.acf.hhs.gov/register/</t>
    </r>
  </si>
  <si>
    <t>Milo Venson</t>
  </si>
  <si>
    <t>April 1st-April 3rd</t>
  </si>
  <si>
    <t>11/20/2024, Received email from AVD, "Will get back to you on #3." //  Email received from AVD, "We can approve #3 for Milo. "</t>
  </si>
  <si>
    <r>
      <rPr/>
      <t xml:space="preserve">Driving into DBT Skills for Adolescents and Caregivers- Virtual training
</t>
    </r>
    <r>
      <rPr>
        <color rgb="FF1155CC"/>
        <sz val="11.0"/>
        <u/>
      </rPr>
      <t>https://www.pdbti.org/dbt-a-skills/</t>
    </r>
  </si>
  <si>
    <t>Susana Gomora- SBMH</t>
  </si>
  <si>
    <t>May 15-16,2025</t>
  </si>
  <si>
    <t>wendy.r.foster@multco.us</t>
  </si>
  <si>
    <r>
      <rPr/>
      <t xml:space="preserve">30 Hour Supervision Workshop
</t>
    </r>
    <r>
      <rPr>
        <color rgb="FF1155CC"/>
        <u/>
      </rPr>
      <t>https://georgefoxuniversity.regfox.com/30-hour-counseling-supervision-course-2025</t>
    </r>
  </si>
  <si>
    <t>Wendy Foster/SBMH</t>
  </si>
  <si>
    <t>starts January 31 ends Feb. 22, 4 days</t>
  </si>
  <si>
    <r>
      <rPr/>
      <t xml:space="preserve">DBT Skills Manual for Adolescents and Dialectical Behavior Therapy with Suicidal Adolescents (request for 2 books.)
</t>
    </r>
    <r>
      <rPr>
        <color rgb="FF1155CC"/>
        <sz val="15.0"/>
        <u/>
      </rPr>
      <t>https://www.guilford.com/view-cart</t>
    </r>
    <r>
      <rPr/>
      <t xml:space="preserve">
</t>
    </r>
  </si>
  <si>
    <t>Susana Gomora -SBMH</t>
  </si>
  <si>
    <t>May 15,2025</t>
  </si>
  <si>
    <t>https://docs.google.com/document/d/1OAg2CK5S19PD8owEOn82TfrX9NWLDQPuK1-TMVcehVs/edit?usp=sharing</t>
  </si>
  <si>
    <t>Somatic Experiencing Practitioner Training</t>
  </si>
  <si>
    <r>
      <rPr/>
      <t xml:space="preserve">Somatic Experiencing Intermediate I (Portland, Or)
</t>
    </r>
    <r>
      <rPr>
        <color rgb="FF1155CC"/>
        <sz val="15.0"/>
        <u/>
      </rPr>
      <t>https://events.blackthorn.io/en/3hCnqZ6/a/BjxMDjny-KasDJUPQ7Cf0KzcTG5hCbA-CgiWyZQSUok_H0RF-1iPBlVckrKbt4dM/portland-or-intermediate-i-february-13-16-2026-4a4IUQck3R/overview</t>
    </r>
    <r>
      <rPr/>
      <t xml:space="preserve">
Somatic Experiencing Intermediate II (Portland, Or)
https://events.blackthorn.io/3hCnqZ6/attendee/iZHYtypkoMvZk79x8T7DG8ayfgspC8-7OOBlQOcb0fV6E-0cLfr0TN74CjaP8NGQ
Somatic Experiencing Intermediate III (Portland, Or)
https://events.blackthorn.io/3hCnqZ6/attendee/5T7-eJPOkE8HSvP7Tu9DKr590oZwH5ELjZac2Qa_9HIAcQtI6xZw-Jx1P1OsX1_n</t>
    </r>
  </si>
  <si>
    <t>Feb. 13-16, 2026 ; May 22-25, 2026; and Oct. 9-12,2026</t>
  </si>
  <si>
    <t>https://drive.google.com/open?id=178GvVN-hRN-YGVK2yfA78m4o4b_mIKFF</t>
  </si>
  <si>
    <t xml:space="preserve">Somatic Experiencing International. Training sessions will happen in Portland, Or. </t>
  </si>
  <si>
    <t>Beginning I - Feb 12, 2025   Beginning II - July 18, 2025, Beginning III - November 7, 2025;  Intermediate I- Feb 13, 2025; Intermediate II - May 22, 2025; Intermediate III - Oct. 9, 2025</t>
  </si>
  <si>
    <t>$295.00 (Payment Reimbursement)</t>
  </si>
  <si>
    <t>https://drive.google.com/open?id=1OYWsegEVo_FzeGKmg94ZdaPgHWgwzvG6</t>
  </si>
  <si>
    <t>OBPLCT Licensure Renewal - Payment Reimbursement</t>
  </si>
  <si>
    <t xml:space="preserve">11/30/2024 </t>
  </si>
  <si>
    <t>The Body Keeps the Score:
Trauma Healing Through the Senses with Bessel van der Kolk, MD
https://catalog.pesi.com/viewer/classroom/35201632?gid=99350
The training is free, but there's a cost to receive CEU's</t>
  </si>
  <si>
    <t>Ana Hristic</t>
  </si>
  <si>
    <t>12/5-12/6</t>
  </si>
  <si>
    <r>
      <rPr/>
      <t xml:space="preserve">CE4Less Online Training Courses. </t>
    </r>
    <r>
      <rPr>
        <color rgb="FF1155CC"/>
        <sz val="15.0"/>
        <u/>
      </rPr>
      <t>https://ce4less.com/?utm_source=google&amp;utm_medium=cpc&amp;utm_campaign=PST%20N%20_%20Brand%20-%20Core&amp;utm_term=ceu4less&amp;gad_source=1&amp;gclid=Cj0KCQiAgJa6BhCOARIsAMiL7V9Woh6T7kyyG-KRATF9CHWuiDKqZdfTB2WMaK7FpRubeY6Wz36MrIAaAj3qEALw_wcB</t>
    </r>
  </si>
  <si>
    <t>11/26/2024</t>
  </si>
  <si>
    <t>11/26/2024, ART emailed C. Jenkins to obtain link to training.</t>
  </si>
  <si>
    <t>mandy.arends@multco.us</t>
  </si>
  <si>
    <t>For renewal of QMHP license. Email received 11/26/24</t>
  </si>
  <si>
    <r>
      <rPr/>
      <t xml:space="preserve">Finding A Way Through
Given the trauma &amp; overwhelm unfolding around the world, there is value in pausing, reflecting, and planning.
</t>
    </r>
    <r>
      <rPr>
        <color rgb="FF1155CC"/>
        <sz val="19.0"/>
        <u/>
      </rPr>
      <t>https://www.eventbrite.com/e/finding-a-way-through-tickets-1091870386719?utm-campaign=social&amp;utm-content=attendeeshare&amp;utm-medium=discovery&amp;utm-term=listing&amp;utm-source=cp&amp;aff=ebdsshcopyurl</t>
    </r>
  </si>
  <si>
    <t>Brandt Rigby</t>
  </si>
  <si>
    <t>February 2, 2025 (travel date)/Feb. 3rd (conference)</t>
  </si>
  <si>
    <t>maureen.schrenk@multco.us</t>
  </si>
  <si>
    <t xml:space="preserve">Additional Category (not listed), </t>
  </si>
  <si>
    <t>https://drive.google.com/open?id=1bmlHew1ZDFFEhurU4hShCEDhqf5JpxGe</t>
  </si>
  <si>
    <t>PESI training: Clinical Applications of Internal Family Systems Therapy: Step-by-Step Procedures for Healing Traumatic Wounds and Alleviating Anxiety, Depression, Trauma, Addiction and More, Alexia Rothman PhD</t>
  </si>
  <si>
    <t>Maureen Schrenk Choice ENCC</t>
  </si>
  <si>
    <t>November 15, 2024</t>
  </si>
  <si>
    <t>12/2/2024, ART chatted Maureen to inquire about 11/15, 2024 date. //  12/3/2024 Email from AVD, "Need to look into this. I'll get back to you." //  From AVD, "approved as well. Can you provide Maureen the info on sending a reimbursement form with the BHWI cost center and sending to me."  //  12/10/2024 Email received from Maureen, "I am withdrawing this request to BHWi. We are not using BHWI grant funding."  //  12/10/2024 Received email from Maggie Manning, "Jen Gulzow pulled me aside and shared we should use the Grant as opposed to the program budget. Final determination is using the BHWi grant cost code"</t>
  </si>
  <si>
    <t>chantel.silverio@multco.us</t>
  </si>
  <si>
    <r>
      <rPr/>
      <t xml:space="preserve">32nd Annual Gulf Coast Social Work Conference, </t>
    </r>
    <r>
      <rPr>
        <color rgb="FF1155CC"/>
        <sz val="19.0"/>
        <u/>
      </rPr>
      <t>https://socialworkfoundations.com/product/gulf-coast-social-work-conference-2025/</t>
    </r>
    <r>
      <rPr/>
      <t xml:space="preserve">
Register online for 13 CEU's 
If they need my LCSW license number L7608</t>
    </r>
  </si>
  <si>
    <t>Chantel Silverio</t>
  </si>
  <si>
    <t>Training- 1/30/25-1/31/2025, can be booked online https://socialworkfoundations.com/gulf-coast-social-work-conference/?utm_source=constantcontact&amp;utm_medium=email&amp;utm_campaign=GCSWC2024_Email</t>
  </si>
  <si>
    <t>$150/hr x 3 hours= $450/month</t>
  </si>
  <si>
    <t>The supervision is 3 hours/month</t>
  </si>
  <si>
    <t>Clinical Supervision with Veronica Valenzuela</t>
  </si>
  <si>
    <t>ASAP- ongoing</t>
  </si>
  <si>
    <t>joan.d.johnson@multco.us</t>
  </si>
  <si>
    <t>https://us17.campaign-archive.com/?e=5cd07ca08f&amp;i=*%7CITERATION_UNIQUE_ID%7C*&amp;u=e376636b3ce5e38dbed22ee94&amp;id=a718ec30b5</t>
  </si>
  <si>
    <r>
      <rPr/>
      <t>Working with children and adolescents: Clinical interventions for contemporary issues (</t>
    </r>
    <r>
      <rPr>
        <color rgb="FF1155CC"/>
        <sz val="15.0"/>
        <u/>
      </rPr>
      <t>link</t>
    </r>
    <r>
      <rPr/>
      <t>, secondary link provided.)</t>
    </r>
  </si>
  <si>
    <t>Joan Johnson</t>
  </si>
  <si>
    <t>This is video access at my own pace</t>
  </si>
  <si>
    <t>Clinical Staff: for individuals conducting direct client work (via in-person, audio/visual means or phone) ... OR any position that requires a clinical credential for the position (QMHA/P or License), even if the person does not provide direct client work</t>
  </si>
  <si>
    <t>Updated knowledge for the new young generation</t>
  </si>
  <si>
    <t xml:space="preserve">TOTAL APPROXIMATE COST  =   $13,340
$5500 for full catering lunch/dessert offsite (includes gratuity) for 120 staff
$3000 for self care, resilience, staff appreciation and staff development items 
$840 for light breakfast refreshments/coffee/tea
$4000 for cultural healers and trainers </t>
  </si>
  <si>
    <t>ALL DCS Staff Retreat - Dec 11th.  All DCS staff have been invited including some folx at the directors office who work closely with DCS</t>
  </si>
  <si>
    <t>Dec 11th, 2024</t>
  </si>
  <si>
    <t>No</t>
  </si>
  <si>
    <t>Connecting as a DCS unit for the first time in a connection/learning space to increase morale and boost connections so we can all work together more cohesively.  
Learning different ways of Cultural Healing to help improve our cultural responsiveness as a unit
Engaging in staff wellness activities to support health and wellness of our staff 
Celebrating the successes of our teams and individual staff
Developing and implementing a culture of feedback
Improving the wellbeing of our staff will improve the quality of care for our clients.</t>
  </si>
  <si>
    <t>12/5/2024, AVD emailed JG to inquire. //  12/10/2024 Email from AVD, "The retreat request from Aimee is approved. Thanks. Andrew Vargas Delman"</t>
  </si>
  <si>
    <r>
      <rPr/>
      <t xml:space="preserve">Certified Grief Informed Professional Training; online at </t>
    </r>
    <r>
      <rPr>
        <color rgb="FF1155CC"/>
        <sz val="15.0"/>
        <u/>
      </rPr>
      <t>https://catalog.pesi.com/sales/bh_c_001708_cgptraining_organic-680494</t>
    </r>
  </si>
  <si>
    <t>natasha archer</t>
  </si>
  <si>
    <t>Ongoing / Self-study</t>
  </si>
  <si>
    <r>
      <rPr/>
      <t xml:space="preserve">https://drive.google.com/open?id=1iqxqRyxFzY5HKhRiqYIPy7ginzrpqqUm, https://drive.google.com/open?id=14Qdss43WXaHUXUld6eJCxoqG0wcc4NIs, https://drive.google.com/open?id=1S0FRUSgEvdzYV3zMLhc0wmt5NKSMHFhR, https://drive.google.com/open?id=1K4nasAp_Xcd5Bm07EWTWPpnYS9SZATio, https://drive.google.com/open?id=1eFOMD3K-z6eRzkJ6zmdk7Pm0PF1ugSdI, </t>
    </r>
    <r>
      <rPr>
        <color rgb="FF1155CC"/>
        <sz val="15.0"/>
        <u/>
      </rPr>
      <t>https://drive.google.com/open?id=10DsjStP681TXZFxtZyAUiniEpMdy2nVh</t>
    </r>
  </si>
  <si>
    <t>Net CEU fees and Oregon Board of SW Fees</t>
  </si>
  <si>
    <t>Darcy Kennedy</t>
  </si>
  <si>
    <t>fees for license renewal and CEU classes</t>
  </si>
  <si>
    <t xml:space="preserve">1120+ associate travel and accommodation costs </t>
  </si>
  <si>
    <r>
      <rPr/>
      <t xml:space="preserve">https://drive.google.com/open?id=1peFLIZe_k6w8mTZOZ8Tl1cLPn2Qslmib, https://drive.google.com/open?id=1nbhrHW2S1d-x_VTIwU7nN47mpkl1gMVr, </t>
    </r>
    <r>
      <rPr>
        <color rgb="FF1155CC"/>
        <sz val="15.0"/>
        <u/>
      </rPr>
      <t>https://drive.google.com/open?id=12Gie0u24NvEP5x9Pi95hxD0g0DTfJYaN</t>
    </r>
  </si>
  <si>
    <t>Level One Theraplay &amp; MIM</t>
  </si>
  <si>
    <t>Zahra Abukar</t>
  </si>
  <si>
    <t>2/3/2025-2/6/2025</t>
  </si>
  <si>
    <t>12/11/2024: ART chatted Zahra to obtain a workable link. //  Approved by AVD.</t>
  </si>
  <si>
    <r>
      <rPr/>
      <t xml:space="preserve">School of Yoga and Somatics in Portland, Oregon
</t>
    </r>
    <r>
      <rPr>
        <color rgb="FF1155CC"/>
        <sz val="15.0"/>
        <u/>
      </rPr>
      <t>https://www.thebymc.com/teacher-training</t>
    </r>
  </si>
  <si>
    <t>12/15/24</t>
  </si>
  <si>
    <t xml:space="preserve">This training will provide me with more trauma-informed tools to continue supporting the clients that I work with. These tools will also be super beneficial for the groups that I facilitate. </t>
  </si>
  <si>
    <t>12/12/2024, Denial email sent. Per AVD, " Given our recent updated guidance from OHA, we cannot approve yoga training for because it cannot be used as a billable service" //  12/16/2024 Email from AVD, approved, "After consulting with OHA and further review, I'm happy to share that we can approve this training request. It's great that you're able to use this modality in billable sessions with your school-based clients."</t>
  </si>
  <si>
    <r>
      <rPr/>
      <t xml:space="preserve">EMDR Training: Integrating EMDR into your Clinical Practice, 5-Day Intensive </t>
    </r>
    <r>
      <rPr>
        <color rgb="FF1155CC"/>
        <sz val="15.0"/>
        <u/>
      </rPr>
      <t>https://emdrconsulting.com/event/ontario-ca-emdr-training-integrating-emdr-into-your-clinical-practice-5-day-intensive/</t>
    </r>
  </si>
  <si>
    <t>Julie Glover-Walsh</t>
  </si>
  <si>
    <t>10/29/24</t>
  </si>
  <si>
    <t>About $900</t>
  </si>
  <si>
    <t>books (see doc link)https://docs.google.com/document/d/1SuXYQ8Bh1fzkoIx7ZAq4D_cylsy8ekFrmz3c5_cBLwY/edit?tab=t.0</t>
  </si>
  <si>
    <t>Stephen Dunlevy (School Based Mental Health Program)</t>
  </si>
  <si>
    <t>Jan 2 2025</t>
  </si>
  <si>
    <t>will be used to support clinical work done by direct service staff</t>
  </si>
  <si>
    <t>12/11/2024, ART chatted Stephen to ask for access to link provided for BHWi. //  Approved by AVD.</t>
  </si>
  <si>
    <t>soad.abdi@multco.us</t>
  </si>
  <si>
    <t>https://mindsightinstitute.com/product/the-mindsight-approach-to-well-being-a-comprehensive-course-in-interpersonal-neurobiology/</t>
  </si>
  <si>
    <t xml:space="preserve">Dr. Dan Siegel’s Comprehensive
Interpersonal Neurobiology (IPNB) Course
</t>
  </si>
  <si>
    <t>Soad Abdi</t>
  </si>
  <si>
    <r>
      <rPr/>
      <t xml:space="preserve">12/20/2024, Chatted Soad to ask if the link I provided was the correct link for this training request. //  12/20/2024, Received Approval and correct </t>
    </r>
    <r>
      <rPr>
        <color rgb="FF1155CC"/>
        <sz val="15.0"/>
        <u/>
      </rPr>
      <t xml:space="preserve">link </t>
    </r>
    <r>
      <rPr/>
      <t>from AVD.</t>
    </r>
  </si>
  <si>
    <t>https://mindsightinstitute.com/product/transforming-anxiety-and-stress-by-integrating-the-embodied-brain/</t>
  </si>
  <si>
    <t>Transforming Anxiety and Stress
by Integrating the Embodied Brain</t>
  </si>
  <si>
    <t xml:space="preserve">Soad Abdi </t>
  </si>
  <si>
    <t>12/20/2024, Chatted Soad to ask if the link I provided was the correct link for this training request.</t>
  </si>
  <si>
    <t>Lead Pay (5%)</t>
  </si>
  <si>
    <t>Safety Net Services Team Lead (individual yet to be determined)</t>
  </si>
  <si>
    <t>2/3/2025</t>
  </si>
  <si>
    <t>Infrastructure Staff: any individuals who do not regularly provide direct services to clients, and/or any position that does not require a clinical credential for the position (QMHA/P or License)</t>
  </si>
  <si>
    <t>12/20/2024 Email from AVD, "will get back to you."</t>
  </si>
  <si>
    <t>https://csh.swoogo.com/summit2025</t>
  </si>
  <si>
    <t>April 23-25</t>
  </si>
  <si>
    <t>12/23/2024 Approved by AVD</t>
  </si>
  <si>
    <t>This is a training/consultation with Dr. Maryam Jernigan-Noesi, who consults with programs regarding equity-related practices. She has a specialty in working with teams who are providing integrated mental health services in healthcare settings (i.e. Student Health Centers). The scope of Phase I of this project is for Dr. Jernigan-Noesi to meet with stakeholders, staff and program managers to gather information to plan a training series that will address workforce equity development issues and trainings that will offer a reduction in barriers for BIPOC clients to enter our services.</t>
  </si>
  <si>
    <t>January, 2025</t>
  </si>
  <si>
    <t>12/31/2024, Approved by AVD.</t>
  </si>
  <si>
    <t xml:space="preserve">$2155.00 training, $34.60 for book Plus traveling fees and accommodation expenses </t>
  </si>
  <si>
    <r>
      <rPr/>
      <t xml:space="preserve">Level One Theraplay  &amp; MIM
 </t>
    </r>
    <r>
      <rPr>
        <color rgb="FF1155CC"/>
        <sz val="15.0"/>
        <u/>
      </rPr>
      <t>https://community.theraplay.org/events/EventDetails.aspx?id=1884240&amp;group=</t>
    </r>
    <r>
      <rPr/>
      <t xml:space="preserve">
Theraplay® – The Practitioner’s Guide (Theraplay(r) Books &amp; Resources) https://www.amazon.com/dp/1785922106?ref=cm_sw_r_cp_ud_dp_YTDEMGSTS0TKPZGRWVPN&amp;ref_=cm_sw_r_cp_ud_dp_YTDEMGSTS0TKPZGRWVPN&amp;social_share=cm_sw_r_cp_ud_dp_YTDEMGSTS0TKPZGRWVPN&amp;_encoding=UTF8&amp;psc=1&amp;starsLeft=1</t>
    </r>
  </si>
  <si>
    <t xml:space="preserve">The funding is for Rocio Handal Rodriguez, a prevention Mental Health Consultant part of the Early Childhood team. </t>
  </si>
  <si>
    <t>3/31/25-4/4/25</t>
  </si>
  <si>
    <t xml:space="preserve">This training is for play therapy which relates to my position as I interact with children daily who have experienced or are presently experiencing trauma. It will help me further my clinical skills so that I can support the families and provide strategies. </t>
  </si>
  <si>
    <t>American Association of Suicidology</t>
  </si>
  <si>
    <t>April 2-4, 2024</t>
  </si>
  <si>
    <t>12/2024 Received email from Brandt, indicating resubmission with missing info. ART</t>
  </si>
  <si>
    <t>$829 (conference)
$549.90 (room for two nights)
Unknown Flight Info</t>
  </si>
  <si>
    <t>The National Association of Suicidology's Annual Conference (Columbus, OH) https://aas25.eventscribe.net/index.asp?launcher=1</t>
  </si>
  <si>
    <t xml:space="preserve">Brandt Rigby </t>
  </si>
  <si>
    <t>4/02-4/05/2024</t>
  </si>
  <si>
    <t>$6,500= 25 BHD licenses</t>
  </si>
  <si>
    <t>Udemy- $6500</t>
  </si>
  <si>
    <t>Udemy users- individuals across BHD</t>
  </si>
  <si>
    <t>Not Sure</t>
  </si>
  <si>
    <t>Udemy licenses are for both clinical and infrastructure staff. In relation to infrastructure staff, if Udemy proves SQL, project management training and other data analysis trainings.</t>
  </si>
  <si>
    <t xml:space="preserve">These are book titles
Black Fatigue by Mary Fraced-Winter (paperback) 
Hood Feminism by Mikki Kendall (paperback) 
101 Trauma Informed Interventions by by Linda Curran (paperback) 
Somatic Psychotherapy by Manuela Mischke-Reeds (paperback) </t>
  </si>
  <si>
    <t>Melissa Brabham</t>
  </si>
  <si>
    <t>12/30/2024</t>
  </si>
  <si>
    <t xml:space="preserve">Informed practices and culturally relevant for mental health  </t>
  </si>
  <si>
    <t>$2500-2800</t>
  </si>
  <si>
    <r>
      <rPr/>
      <t xml:space="preserve">National Association of Black Social Work Conference.       </t>
    </r>
    <r>
      <rPr>
        <color rgb="FF1155CC"/>
        <sz val="15.0"/>
        <u/>
      </rPr>
      <t>www.nabsw.org</t>
    </r>
  </si>
  <si>
    <t>Gianna Solomon</t>
  </si>
  <si>
    <t>April 15th-19th</t>
  </si>
  <si>
    <t>$515-Early Bird by 1/31/25 or $640 Feb 1
Hotel-$795 (4/14-4/19)
Air-$536</t>
  </si>
  <si>
    <t>https://drive.google.com/open?id=13BLx6dyi4g2EwlWGYZDqZAk1JAZVpgjS</t>
  </si>
  <si>
    <t>National Association of Black Social Workers 57th National Conference 
https://nabsw.glueup.com/event/57th-annual-conference-118032/#concurrent-workshops</t>
  </si>
  <si>
    <t>Darcell Dance</t>
  </si>
  <si>
    <t>April 15-April 19, 2025</t>
  </si>
  <si>
    <t>$800.00 CAD</t>
  </si>
  <si>
    <r>
      <rPr/>
      <t xml:space="preserve">Compassionate Inquiry Circles: Online Group Support. 
Please see the link below for more information:
</t>
    </r>
    <r>
      <rPr>
        <color rgb="FF1155CC"/>
        <sz val="15.0"/>
        <u/>
      </rPr>
      <t>https://online.compassionateinquiry.com/offers/rhX2kQ8D/checkout?_gl=1*1hnmjr5*_gcl_au*ODc0MTg1Ni4xNzMxNjY5MjI5*_ga*MTE2MjkxODkxMC4xNzIzNTUyNzg4*_ga_EB1EL6RXJH*MTczMzc1NzY4Ny4xOTUuMS4xNzMzNzU3NzI0LjIzLjAuMA..</t>
    </r>
  </si>
  <si>
    <t>February 24th 2025</t>
  </si>
  <si>
    <t>This online training compliments the Compassionate Inquiry training that I am currently enrolled in. It improves quality of care b/c it deepens my understanding of the materials using experiential modalities.</t>
  </si>
  <si>
    <t>1/8/2025 Approved by AVD.</t>
  </si>
  <si>
    <r>
      <rPr/>
      <t xml:space="preserve">Anxiety and Phobia Workbook, (link: </t>
    </r>
    <r>
      <rPr>
        <color rgb="FF1155CC"/>
        <sz val="15.0"/>
        <u/>
      </rPr>
      <t>https://www.amazon.com/s?k=anxiety+and+phobia+workbook&amp;hvadid=598656801997&amp;hvdev=c&amp;hvlocphy=9032938&amp;hvnetw=g&amp;hvqmt=e&amp;hvrand=15870994169349936300&amp;hvtargid=kwd-2136376961&amp;hydadcr=15527_13558519&amp;tag=googhydr-20&amp;ref=pd_sl_8hdlphx32s_e)</t>
    </r>
  </si>
  <si>
    <t>SBMH - Kate Thomas</t>
  </si>
  <si>
    <t>when able</t>
  </si>
  <si>
    <t>treatment needs for clients</t>
  </si>
  <si>
    <t>laura.finley@multco.us</t>
  </si>
  <si>
    <t>https://drive.google.com/open?id=1LYez2wEZ7jhML-oQ8jEdJeR5uEnLbXZU</t>
  </si>
  <si>
    <t>Licensure reimbursement</t>
  </si>
  <si>
    <t>Laura Finley</t>
  </si>
  <si>
    <t>12/29/24</t>
  </si>
  <si>
    <t xml:space="preserve">$1,445.00 USD for training plus airline tickets and board </t>
  </si>
  <si>
    <r>
      <rPr/>
      <t xml:space="preserve">Ontario, CA- 
EMDR Training: Integrating EMDR into your Clinical Practice, 5-Day Intensive </t>
    </r>
    <r>
      <rPr>
        <color rgb="FF1155CC"/>
        <sz val="11.0"/>
        <u/>
      </rPr>
      <t>https://emdrconsulting.com/event/ontario-ca-emdr-training-integrating-emdr-into-your-clinical-practice-5-day-intensive/</t>
    </r>
  </si>
  <si>
    <t>March 5-9, with a sign up deadline of Feb 22</t>
  </si>
  <si>
    <t xml:space="preserve">Clients will benefit from implementation of EMDR </t>
  </si>
  <si>
    <t xml:space="preserve">$300/hr once a month Jan-June </t>
  </si>
  <si>
    <t>https://drive.google.com/open?id=1HwxAgvGqerEowJoOd7S5Vuj9BNbGOm22</t>
  </si>
  <si>
    <t>Łush Kumtux Tumtum Consulting, LLC https://www.shilogeorge.com/</t>
  </si>
  <si>
    <t>I will be using the funding for culturally specific coaching as a trainer and consultant</t>
  </si>
  <si>
    <t>January through June</t>
  </si>
  <si>
    <t>As the LGBTQ+ KSA providing training and consultation for all DCS staff I need support from an expert in providing training and cosultation</t>
  </si>
  <si>
    <t>1/7/2025 Email received from ABD, "I'll get back to you about line 561 for Cee Bondurant".  //  1/14/2025, AVD emailed Cee with f/u info.</t>
  </si>
  <si>
    <t>noura.kader@multco.us</t>
  </si>
  <si>
    <t>MHACBO QMHA Re-certification</t>
  </si>
  <si>
    <t>MHACBO</t>
  </si>
  <si>
    <t>I need a reimbursement for certification costs</t>
  </si>
  <si>
    <t>I am required to get these credentials for my job.</t>
  </si>
  <si>
    <t>1/14/2025, Approved by AVD.</t>
  </si>
  <si>
    <t>hillary.l.demary@multco.us</t>
  </si>
  <si>
    <t>License renewal</t>
  </si>
  <si>
    <t>1/6/25</t>
  </si>
  <si>
    <t>This is for license renewal - required</t>
  </si>
  <si>
    <t>https://catalog.pesi.com/sales/eg_c_002165_somatictraumatherapycertification_dedicatedemail-1200286?utm_campaign=EG_Resource&amp;utm_medium=email&amp;_hsenc=p2ANqtz-_RTjjHPTTeauSH-gIHA1inpevVyKLe_CoenFuxocsa8epFgrThmQesOyAOpoMAgEqIeACszU69sfqSYh2_67Yl1-1a1fX0fKh-qODPHqkwGyuARG4&amp;_hsmi=341792927&amp;utm_content=341792927&amp;utm_source=hs_email</t>
  </si>
  <si>
    <t>Chanel Walker-Harris</t>
  </si>
  <si>
    <t>April 1st, 2025</t>
  </si>
  <si>
    <t>Implementing somatic techniques to the children/families I serve</t>
  </si>
  <si>
    <t>https://www.us-amsa.org/amsa-conference-2025/  Virtual mobile crisis convening</t>
  </si>
  <si>
    <t>Barb Snow</t>
  </si>
  <si>
    <t>June 5 and 6 2025</t>
  </si>
  <si>
    <t>1/15/2025, Approved by AVD.</t>
  </si>
  <si>
    <t>CARES/KSA African American</t>
  </si>
  <si>
    <t xml:space="preserve">As soon as possible. </t>
  </si>
  <si>
    <t xml:space="preserve">This recruitment will be advertised in culturally specific platforms with the intent of attracting more applicants to the position. </t>
  </si>
  <si>
    <t>https://drive.google.com/open?id=1RL8pwAQi_x8xpFxvPMEkjSk5n92qHE_e, https://drive.google.com/open?id=14cdKWOGEYiEe3KiVnSp6_5-T8lLCOqTM, https://drive.google.com/open?id=1PI821gU_UqBhi9oAw5ZCVPjuFNNEPkOM, https://drive.google.com/open?id=1gqQeoCEs2GY08oiTTpst3RiJj-SClzES</t>
  </si>
  <si>
    <t>Institute on Violence, Abuse, and Trauma Hawai'i Summit; Honolulu, Hawai'i; https://www.ivatcenters.org/hawaii-summit</t>
  </si>
  <si>
    <t>Laurel Wonder</t>
  </si>
  <si>
    <t>Monday 4/7/25-Thursday 4/10/25</t>
  </si>
  <si>
    <t>I have been invited to present at this conference, bringing the older adult lens to this conference about trauma.</t>
  </si>
  <si>
    <t>Cost of early bird registration ($1,010) plus travel to and lodging in Philadelphia, PA</t>
  </si>
  <si>
    <t>NatCon25 (https://natcon25.eventscribe.net/)</t>
  </si>
  <si>
    <t>May 5-7</t>
  </si>
  <si>
    <t>This is a national conference on mental health &amp; substance use that provides sessions on crisis response, workforce &amp; diversity, treatment services, etc. This will provide valuable skills and knowledge to use in supervision and consultation with our staff working with youth who experience complex mental health and SUD.</t>
  </si>
  <si>
    <t>https://drive.google.com/open?id=1IuIhp98iBsWEQLAVmPbvRXkIZ3ajOwiH</t>
  </si>
  <si>
    <t>n/a (licensure renewal)</t>
  </si>
  <si>
    <t>Mark Summit</t>
  </si>
  <si>
    <t>I received my LCSW licensure renewal on 12/15/24</t>
  </si>
  <si>
    <t>1/16/2024, Approved by AVD.</t>
  </si>
  <si>
    <t>$699 for members before feb 12 plus room and flight - $1500</t>
  </si>
  <si>
    <r>
      <rPr/>
      <t xml:space="preserve">American Association of Suicidology annual conference in Columbus Ohio </t>
    </r>
    <r>
      <rPr>
        <color rgb="FF1155CC"/>
        <sz val="13.0"/>
        <u/>
      </rPr>
      <t>https://aas25.eventscribe.net/aaStatic.asp?SFP=SkdITFdBTENAMTk4Mjg</t>
    </r>
  </si>
  <si>
    <t>American Association of Suicidology annual conference</t>
  </si>
  <si>
    <t>April 1-4</t>
  </si>
  <si>
    <t>Black of African American, Latino or Hispanic, White</t>
  </si>
  <si>
    <t>$1,240 (early bird conference cost) + $1,508.59 (hotel at conference center) = $2748.59 *In addition, per diem funds for food are requested.</t>
  </si>
  <si>
    <t>https://drive.google.com/open?id=13xXFezrHzPuqbYIWCkXzyP4j_R5W1V0A</t>
  </si>
  <si>
    <r>
      <rPr/>
      <t xml:space="preserve">NatCon2025: </t>
    </r>
    <r>
      <rPr>
        <color rgb="FF1155CC"/>
        <sz val="13.0"/>
        <u/>
      </rPr>
      <t>https://natcon25.eventscribe.net/aaStatic.asp?SFP=TURDWFlHS0dAMTgzOTFAQWJvdXQgTmF0Q29u</t>
    </r>
  </si>
  <si>
    <t>Jennifer Evans</t>
  </si>
  <si>
    <t>5/4-5/8</t>
  </si>
  <si>
    <t>ryan.altstadt@multco.us</t>
  </si>
  <si>
    <t>ACT Immersion -- act.courses</t>
  </si>
  <si>
    <t>Ryan Altstadt</t>
  </si>
  <si>
    <t>01/20/2025</t>
  </si>
  <si>
    <t>ACT is an empirically-supported therapeutic modality that will benefit clients calling in crisis.</t>
  </si>
  <si>
    <t>1/15/2025, ART emailed Ryan to ask if this is correct link to use. https://act.courses/  //  Response received, "The first one on the list, ACT Immersion." //  1/16/2024, Approved by AVD.</t>
  </si>
  <si>
    <t>amy.haecker@multco.us</t>
  </si>
  <si>
    <t>$829 plus travel costs</t>
  </si>
  <si>
    <t>chrome-extension://efaidnbmnnnibpcajpcglclefindmkaj/https://suicidology.org/wp-content/uploads/2024/09/AAS25_Sponsor_Exhibitor_Catalog_new-logo_compressed.pdf</t>
  </si>
  <si>
    <t>American Association of Suicidology 58th Annual Conference-Columbus, OH</t>
  </si>
  <si>
    <t>Amy Haecker</t>
  </si>
  <si>
    <t>4/1-4/4</t>
  </si>
  <si>
    <t>American Association of Suicidology Annual Conference in Columbus Ohio  https://suicidology.org/conference/</t>
  </si>
  <si>
    <t>Cheryl Lemley</t>
  </si>
  <si>
    <t>March 30-April 4, 2025</t>
  </si>
  <si>
    <t xml:space="preserve">This is the American Association of Suicidology Annual Conference. I supervise the Behavioral Health Call Center for BHD.  </t>
  </si>
  <si>
    <t>1/23/2025, Approved by AVD.</t>
  </si>
  <si>
    <t>https://playproject.org/event/2-day-teaching-play-intensive-workshop-jan-25/</t>
  </si>
  <si>
    <t>01/30/2025</t>
  </si>
  <si>
    <t>valery.sarceno@multco.us</t>
  </si>
  <si>
    <t>https://catalog.pesi.com/item/the-ten-bestever-anxiety-treatment-techniques-updated-strategies-challenging-clients-141787</t>
  </si>
  <si>
    <t>The Ten Best-Ever Anxiety Treatment Techniques: Updated Strategies to Help Even the Most Challenging Clients</t>
  </si>
  <si>
    <t>Gun Violence Prevention Program</t>
  </si>
  <si>
    <t>Friday, February 7th, 7am to 3pm</t>
  </si>
  <si>
    <t>It will help me provide better services for folks who struggle with anxiety, which is a large part of our population</t>
  </si>
  <si>
    <t>1/17/2025, ART chatted Valery to request link. Not sure if this is a book or an online training. //  1/23/2025, Approved by AVD.</t>
  </si>
  <si>
    <t>https://catalog.pesi.com/item/complex-trauma-fundamentals-50-musthave-skills-interventions-emdr-ifs-therapy-somatic-approaches-more-141774</t>
  </si>
  <si>
    <t>Complex Trauma Fundamentals: Over 50 Must-Have Skills and Interventions from EMDR, IFS Therapy, Somatic Approaches and More</t>
  </si>
  <si>
    <t>GVIF - Valery Sarceno</t>
  </si>
  <si>
    <t xml:space="preserve">February 6th, 8am - 4pm </t>
  </si>
  <si>
    <t>This training would help me further help the clients I see, as many of them have CPTSD</t>
  </si>
  <si>
    <t>1/17/2025, ART chatted Valery to request link. Not sure if this is a book or an online training.  //  1/23/2025, Approved by AVD.</t>
  </si>
  <si>
    <r>
      <rPr/>
      <t xml:space="preserve">https://drive.google.com/open?id=1XqQqI4AqvRAUF72q3XxB46ZZY66gx6mw, </t>
    </r>
    <r>
      <rPr>
        <color rgb="FF1155CC"/>
        <sz val="11.0"/>
        <u/>
      </rPr>
      <t>https://drive.google.com/open?id=1VypJkW4rSeBMRgU8DOqToM9jSWHlA2J5</t>
    </r>
  </si>
  <si>
    <t>Emotional “Breakdown”: The Link Between Emotions and Communication and Providing Affirming Services with LGBTQIA+ Communities</t>
  </si>
  <si>
    <t>NASW Invoices for CEUs</t>
  </si>
  <si>
    <t>Emotional “Breakdown”: The Link Between Emotions and Communication and Providing Affirming Services with LGBTQIA+ Communities- these are culturally specific trainings that will improve quality of care for Black, Brown and LGBTQ+ clients. They also provide CEUs for licensed clinicians and QMHPs.</t>
  </si>
  <si>
    <t>1/17/2025, ART chatted Cee to request a working link for this request.  //  1/23/2025, Approved by AVD.</t>
  </si>
  <si>
    <t>https://www.emdrhap.org/event-registration/?eventid=a1PUx000001rNp7</t>
  </si>
  <si>
    <t>No travel, as it's in Portland.  Dates are:  3/7/25 and 3/8/25</t>
  </si>
  <si>
    <t>The use of bilateral stimulation to help groups to process and recover from stressful events.</t>
  </si>
  <si>
    <t>rachel.naylor@multco.us</t>
  </si>
  <si>
    <t xml:space="preserve"> https://www.eventbrite.com/e/challenging-anti-blackness-tools-for-non-black-people-feb-2025-registration-1114822025689?aff=oddtdtcreator</t>
  </si>
  <si>
    <r>
      <rPr/>
      <t xml:space="preserve">Challenging Anti-Blackness (tools for non-black people) </t>
    </r>
    <r>
      <rPr>
        <color rgb="FF1155CC"/>
        <sz val="15.0"/>
        <u/>
      </rPr>
      <t>https://www.eventbrite.com/e/challenging-anti-blackness-tools-for-non-black-people-feb-2025-registration-1114822025689?aff=oddtdtcreator</t>
    </r>
    <r>
      <rPr/>
      <t xml:space="preserve">
2/11/2025 12pm-2pm virtual</t>
    </r>
  </si>
  <si>
    <t>Rachel Naylor Aid &amp; Assist</t>
  </si>
  <si>
    <t>2/11/2025 Challenging Anti-Blackness virtual event</t>
  </si>
  <si>
    <t>jessica.scroggs@multco.us</t>
  </si>
  <si>
    <t>this training is virtual</t>
  </si>
  <si>
    <t>Jessica Scroggs</t>
  </si>
  <si>
    <t>02/11/2025</t>
  </si>
  <si>
    <t xml:space="preserve">It will help me better understand the population I work with </t>
  </si>
  <si>
    <t>1/22/2025, ART chatted Jessica to request link to this training.  //  1/23/2025, Approved by AVD.</t>
  </si>
  <si>
    <t>jill.m.jessee@multco.us</t>
  </si>
  <si>
    <t>DO College 2 County Intern</t>
  </si>
  <si>
    <t>Summer 2025</t>
  </si>
  <si>
    <t>1/24/2025, Approved by AVD.</t>
  </si>
  <si>
    <r>
      <rPr/>
      <t xml:space="preserve">American Association of Suicidology - Crisis Specialist Training and Certification Course - </t>
    </r>
    <r>
      <rPr>
        <color rgb="FF1155CC"/>
        <sz val="15.0"/>
        <u/>
      </rPr>
      <t>https://suicidology.org/training-certifications/crisis-specialist-training/</t>
    </r>
  </si>
  <si>
    <t>Self-paced virtual course, date N/A</t>
  </si>
  <si>
    <t>With management's approval, BHCC Team Leads are pursuing this certification for various programmatic reasons, to especially include maximizing our skills working with community members and managing the crises they present with.</t>
  </si>
  <si>
    <r>
      <rPr/>
      <t xml:space="preserve">Trauma Research Foundation - Traumatic Stress Studies Certificate Program - </t>
    </r>
    <r>
      <rPr>
        <color rgb="FF1155CC"/>
        <sz val="15.0"/>
        <u/>
      </rPr>
      <t>https://traumaresearchfoundation.org/programs/certificate-program/</t>
    </r>
  </si>
  <si>
    <t>February 24, 2025</t>
  </si>
  <si>
    <t xml:space="preserve">Trauma is arguably at play in every mental health experience and is certainly so in every crisis. </t>
  </si>
  <si>
    <t>$545 for training, $700 Hotel, $500 Flight, $100 transportation, $544 Per Diem = $2,389 (estimate)</t>
  </si>
  <si>
    <r>
      <rPr/>
      <t xml:space="preserve">NASW Virginia and Metro DC Chapters 2025 Annual Conference, DoubleTree by Hilton Charlottesville, Virginia, </t>
    </r>
    <r>
      <rPr>
        <color rgb="FF1155CC"/>
        <sz val="15.0"/>
        <u/>
      </rPr>
      <t>https://web.cvent.com/event/b6e30eea-cac0-4f8f-886c-807cc1bcf88b/summary</t>
    </r>
  </si>
  <si>
    <t>Elizabeth Loving</t>
  </si>
  <si>
    <t>March 13-15th, 2025</t>
  </si>
  <si>
    <t>1/27/2025, Approved by AVD.</t>
  </si>
  <si>
    <t>michael.johnson5@multco.us</t>
  </si>
  <si>
    <t>It's for recruitment/advertising for current open pre-commitment investigator positions. R-16739</t>
  </si>
  <si>
    <t>01/24/2025</t>
  </si>
  <si>
    <t>As noted above, it's for recruitment/advertising for current open pre-commitment investigator positions.</t>
  </si>
  <si>
    <r>
      <rPr/>
      <t xml:space="preserve">The Art of Coaching Teams:  </t>
    </r>
    <r>
      <rPr>
        <color rgb="FF1155CC"/>
        <sz val="15.0"/>
        <u/>
      </rPr>
      <t>https://brightmorning.thinkific.com/courses/the-art-of-coaching-teams-april-2025</t>
    </r>
  </si>
  <si>
    <t>4/22/25-4/24/25 (4 hours each day)</t>
  </si>
  <si>
    <t xml:space="preserve">Training was recommended by my supervisor and manager.  It teaches skills to lead and facilitate teams, which is what we do in Wraparound.  </t>
  </si>
  <si>
    <r>
      <rPr>
        <color rgb="FF1155CC"/>
        <sz val="15.0"/>
        <u/>
      </rPr>
      <t>https://www.theeventregistration.com/aas25/6670392</t>
    </r>
    <r>
      <rPr/>
      <t xml:space="preserve">; AAS25 58th Annual Conference </t>
    </r>
  </si>
  <si>
    <t>Mayra Hernandez/Call Center</t>
  </si>
  <si>
    <t>03/29/2025 to 4/5/2025</t>
  </si>
  <si>
    <t>$225 if we register soon</t>
  </si>
  <si>
    <r>
      <rPr/>
      <t xml:space="preserve">MHAAO Peerpocalypse </t>
    </r>
    <r>
      <rPr>
        <color rgb="FF1155CC"/>
        <sz val="15.0"/>
        <u/>
      </rPr>
      <t>https://www.mhaoforegon.org/peerpocalypse-participate</t>
    </r>
  </si>
  <si>
    <t>Elizabeth Sanders</t>
  </si>
  <si>
    <t>May 5, 6, 7 &amp; 8</t>
  </si>
  <si>
    <t>1/28/2025, Approved by AVD.</t>
  </si>
  <si>
    <t>https://nabsw.glueup.com/event/118032/register/XX9lLrbAu94KhzfmEoGpeA%3D%3D/payment-details/</t>
  </si>
  <si>
    <t>Rose-Yvenie Alexandre/Oregon ABSW Membership</t>
  </si>
  <si>
    <t>1/29/2025</t>
  </si>
  <si>
    <t xml:space="preserve">helps increase knowledge on cultural behaviors/mental </t>
  </si>
  <si>
    <t>$3000 estimate depending on price of plane tickets</t>
  </si>
  <si>
    <t>https://drive.google.com/open?id=113S3zUuAlxq0g2ma9dJNonBbKYYHJKPF</t>
  </si>
  <si>
    <t xml:space="preserve">American Association of Suicidology </t>
  </si>
  <si>
    <t>Erica Gilliland</t>
  </si>
  <si>
    <t>3/29/25-4/5/25</t>
  </si>
  <si>
    <t>1/30/2025, Approved by AVD.</t>
  </si>
  <si>
    <r>
      <rPr>
        <sz val="10.0"/>
      </rPr>
      <t xml:space="preserve">NatCon25 - </t>
    </r>
    <r>
      <rPr>
        <color rgb="FF1155CC"/>
        <sz val="10.0"/>
        <u/>
      </rPr>
      <t>https://natcon25.eventscribe.net/aaStatic.asp?SFP=TURDWFlHS0dAMTgzOTFAQWJvdXQgTmF0Q29u</t>
    </r>
  </si>
  <si>
    <t>May 3,2025 - May 8, 2025</t>
  </si>
  <si>
    <t>1/30/2025, ART filled out BHWi request for Anthony Jordan.  //  1/30/2025, Approved by AVD.</t>
  </si>
  <si>
    <t>Asian, Black of African American</t>
  </si>
  <si>
    <t xml:space="preserve">10 copies of this book </t>
  </si>
  <si>
    <t>https://www.amazon.com/Recognizing-Psychological-Cultural-Strengths-Americans/dp/036762947X</t>
  </si>
  <si>
    <t xml:space="preserve"> Recognizing the Psychological and Cultural Strengths of Black Americans 1st Edition</t>
  </si>
  <si>
    <t xml:space="preserve">School Based Mental Health </t>
  </si>
  <si>
    <t>1/30/25</t>
  </si>
  <si>
    <t>1/30/2025, ART, Received email from Susan to update quantity from 8 to 10.  //  1/31/2025, Approved by AVD.</t>
  </si>
  <si>
    <t xml:space="preserve">$1101.75 before March 1st (Early Bird),  $1293.85 after March 1st </t>
  </si>
  <si>
    <t>https://drive.google.com/open?id=1Doz_mqUU_I2UZtf6guBpIDRTlugeP6tL</t>
  </si>
  <si>
    <r>
      <rPr/>
      <t xml:space="preserve">The Brief &amp; Narrative Therapy 
5-Day Certificate Program
</t>
    </r>
    <r>
      <rPr>
        <color rgb="FF1155CC"/>
        <sz val="15.0"/>
        <u/>
      </rPr>
      <t>https://www.windzcentre.com/certificate-programs</t>
    </r>
  </si>
  <si>
    <t>April 4, 11, 25 and May 2, 9, 2025</t>
  </si>
  <si>
    <t xml:space="preserve">It will help me apply the principles of Narrative Therapy to help clients process their life experiences and be able to re-frame any negative narratives they have about themselves </t>
  </si>
  <si>
    <t xml:space="preserve"> 1/31/2025, Approved by AVD.</t>
  </si>
  <si>
    <t>https://drive.google.com/open?id=1Ism6EWkHMzD7UMclmHOxvhaqjxZGaBqU</t>
  </si>
  <si>
    <t>LPC-A Licensure Renewal</t>
  </si>
  <si>
    <t>Board of Licensed Professional Counselors and Therapists</t>
  </si>
  <si>
    <t>1/30/2025</t>
  </si>
  <si>
    <t>The Early Bird fee of $975 is valid if registered prior to March 1st. Afterwards, the regular price of $ 1,145 applies.</t>
  </si>
  <si>
    <r>
      <rPr/>
      <t xml:space="preserve">Brief &amp; Narrative Therapy 5 day certificate online course
</t>
    </r>
    <r>
      <rPr>
        <color rgb="FF1155CC"/>
        <sz val="15.0"/>
        <u/>
      </rPr>
      <t>https://www.windzcentre.com/store/The-Brief-&amp;-Narrative-Therapy-5-Day-Certificate-Program-p706845446</t>
    </r>
  </si>
  <si>
    <t>SBMH Susana Gomora</t>
  </si>
  <si>
    <t>April 4,11,25 and May 2 &amp;9 of 2025</t>
  </si>
  <si>
    <t>This training will focus on how to listen and ask questions in new ways that discover detailed stories of people’s knowledge, skills, qualities and values; questions to respond when people present in “crisis” and when struggling with suicidal thoughts and a sense of failure; and how to respond, even in very brief contexts, when people are suffering from the effects of trauma. All of these would be applicable to SBMH services and the population we serve.</t>
  </si>
  <si>
    <t>2/6/2025 Approved by AVD.</t>
  </si>
  <si>
    <t>Older Adult Behavioral Health Team is requesting funding for a College 2 County Intern</t>
  </si>
  <si>
    <t>June 1, 2025</t>
  </si>
  <si>
    <t>Our team would like to support a College 2 County Intern. We hope to increase interest in the field of gerontology, and to gain the time and assistance of a short-term intern</t>
  </si>
  <si>
    <t>This conference will enhance and develop skills in assessing and safety planning. /https://www.theeventregistration.com/aas25/6670392</t>
  </si>
  <si>
    <t xml:space="preserve">AAS25 58th Annual Conference, March 30-April 4, 2025 in Columbus Ohio/Mayra Hernandez </t>
  </si>
  <si>
    <t xml:space="preserve">This conference will enhance and develop skills in assessing and safety planning. </t>
  </si>
  <si>
    <t>2/4/2025, ART cancelled. Duplicate from line 588.</t>
  </si>
  <si>
    <t>This is for licensure renewal, could it be possible to get reimbursement for it?</t>
  </si>
  <si>
    <t xml:space="preserve">Rocio Handal Rodriguez </t>
  </si>
  <si>
    <t xml:space="preserve">02/26/2025, This is for the licensing fees for my CSWA license renewal </t>
  </si>
  <si>
    <t xml:space="preserve">This is to renew my license which allows me to continue to provide services for my clients. </t>
  </si>
  <si>
    <t>https://drive.google.com/open?id=13R1kCMCMnX_IOhcsNhweW8aWj8LurPgc</t>
  </si>
  <si>
    <t xml:space="preserve">Oregon Project Management Certification Program (OPMCP) https://www.oregon.gov/das/HR/Documents/PM_OPMCP.pdf </t>
  </si>
  <si>
    <t>Sarah Wittmann</t>
  </si>
  <si>
    <t xml:space="preserve">Start date: 8/6/25 end date 1/8/26. </t>
  </si>
  <si>
    <t xml:space="preserve">Increasing my skills in project management &amp; gaining a certificate will impact BHD staff in positive ways which will thus improve quality of care to BHD clients. </t>
  </si>
  <si>
    <t>2/11/2025, ART, received email from Billie, "Please wait until Andrew".</t>
  </si>
  <si>
    <t>3,540 estimate: $1,240 Registration fees, $700 airline ticket, hotel $800, per diem $600, transportation $200</t>
  </si>
  <si>
    <r>
      <rPr/>
      <t xml:space="preserve">NatCon25 </t>
    </r>
    <r>
      <rPr>
        <color rgb="FF1155CC"/>
        <sz val="15.0"/>
        <u/>
      </rPr>
      <t>https://natcon25.eventscribe.net/</t>
    </r>
  </si>
  <si>
    <t>May 5-7th, 2025</t>
  </si>
  <si>
    <t>2/11/2025, Approved by Billie.</t>
  </si>
  <si>
    <t xml:space="preserve">Foundational Family Therapy Interventions with Diverse Families. Portland, OR in one of our Multnomah County buildings. </t>
  </si>
  <si>
    <t>School Based Mental Health Team</t>
  </si>
  <si>
    <t>March 18th, April 29th and May 20th (Three day training)</t>
  </si>
  <si>
    <t xml:space="preserve">Training in Family Therapy is one of the goals that has been identified within the School Based Mental Health team. This specific training with Dr. Pilar Hernandez-Wolfe will be delivered through an equity lens and will focus on how to work with diverse clients and families. CEUs will be provided. </t>
  </si>
  <si>
    <t>2/10/2025, ART chatted Erika to request link. // Response back received, "I do not have a link."  //  2/11/2025, Approved by Billie.</t>
  </si>
  <si>
    <t>https://drive.google.com/open?id=1znVCQTB-Q5VXgOszqa-rsa09cSgBwnCH</t>
  </si>
  <si>
    <t>Perinatal Mood Disorders: Components of Care, virtual</t>
  </si>
  <si>
    <t>6/25/25 - 6/26/25</t>
  </si>
  <si>
    <t>https://drive.google.com/open?id=1gbS1_XX27jHq-yK4RSvcM-EuiWHwfcI5</t>
  </si>
  <si>
    <t>Advanced Perinatal Mental Health Psychotherapy Training</t>
  </si>
  <si>
    <t>6/27/25</t>
  </si>
  <si>
    <t>https://drive.google.com/open?id=1_uooID70dxY9E_oj8D4FecI5miRxPg1K</t>
  </si>
  <si>
    <t>LCSW license renewal</t>
  </si>
  <si>
    <t>2/13/2025, Approved by Billie.</t>
  </si>
  <si>
    <t>https://drive.google.com/open?id=1N_R4KovhvfYX6qn4c8trx1PS-oJ_5xkG</t>
  </si>
  <si>
    <r>
      <rPr>
        <sz val="10.0"/>
      </rPr>
      <t xml:space="preserve">The NFBPA Forum 2025  "Todays Choices, Tomorrow's Impact."
 </t>
    </r>
    <r>
      <rPr>
        <color rgb="FF1155CC"/>
        <sz val="10.0"/>
        <u/>
      </rPr>
      <t>https://drive.google.com/file/d/10x3VnKCB0zdMnoUYvXJVbkKOTS0-QoOw/view</t>
    </r>
    <r>
      <rPr>
        <sz val="10.0"/>
      </rPr>
      <t xml:space="preserve"> 
</t>
    </r>
  </si>
  <si>
    <t>Direct Clinical Services - Joy Wallace</t>
  </si>
  <si>
    <t>April 8 - 11, 2025 - Event and registration</t>
  </si>
  <si>
    <t>The NFBPA Forum 2025 will update and inform me on best practices, how to provide culturally specific case management. The training will also provide a better understanding on how to  recommend  the best services for some of the most marginalized populations and youth.</t>
  </si>
  <si>
    <t xml:space="preserve">Total Estimate: $2250Travel/- estimate 410; Lodging- estimate $800 /Conference 790 Per diem </t>
  </si>
  <si>
    <t>https://www.csh.org/csh-summit-2025/</t>
  </si>
  <si>
    <t>CSH SUPPORTIVE HOUSING SUMMIT:
MEETING THE MOMENT: NAVIGATING CHALLENGES, CREATING OPPORTUNITIES; April 23 – April 25, 2025 | Sheraton Grand Chicago Riverwalk
Chicago, IL</t>
  </si>
  <si>
    <t>Jessica Jacobsen</t>
  </si>
  <si>
    <t>4/23-4/25</t>
  </si>
  <si>
    <t>CSH Supportive Housing Summit will provide writer with increased knowledge base for innovations in Supportive Housing which will improve my ability to manage funds and contracts to meet client needs in Supportive Housing in Multnomah County.  Better Supportive housing options also benefits our staff in their work with clients.</t>
  </si>
  <si>
    <t>henry.sprague@multco.us</t>
  </si>
  <si>
    <t>https://graduate.lclark.edu/calendars/events/event/362405-clinical-supervision-online</t>
  </si>
  <si>
    <t>Henry Sprague</t>
  </si>
  <si>
    <t>03/06-03/07; 03/13-03/14</t>
  </si>
  <si>
    <t xml:space="preserve">I will be able to provide clinical supervision for client-facing staff </t>
  </si>
  <si>
    <t>Crisis Specialist Training and Certification Course; online: https://suicidology.org/training-certifications/crisis-specialist-training/</t>
  </si>
  <si>
    <t>natasha archer (self)</t>
  </si>
  <si>
    <t>03/26/25 (flexible; self-paced)</t>
  </si>
  <si>
    <r>
      <rPr>
        <color rgb="FF1155CC"/>
        <sz val="15.0"/>
        <u/>
      </rPr>
      <t>https://www.oregon.gov/cjc/summit2025/Pages/default.aspx</t>
    </r>
    <r>
      <rPr/>
      <t xml:space="preserve"> - Criminal Justice Commission 2025 Summit</t>
    </r>
  </si>
  <si>
    <t>Natalie Amar</t>
  </si>
  <si>
    <t>3/6/2025 - 3/7/2025</t>
  </si>
  <si>
    <t>2/13/2025, ART received email from Anthony Jordan, "Natalie and I need to attend this conference..." //  Received email from Billie, "I would let Andrew approve this one" //  2/13/2025, ART, Received email from Jen G. regarding Natalie and Anthony's BHWi request, "Both of them qualify for BHWi funding. They are clinical managers that lead clinical teams." Approved by Jen G.</t>
  </si>
  <si>
    <t>https://drive.google.com/open?id=1ueLRb_ocLyRhzhSGN3Oev1X0muyIf8gX</t>
  </si>
  <si>
    <r>
      <rPr/>
      <t xml:space="preserve">Social Recovery Therapy Course, offered by ISPS-US, virtual, website for registration: </t>
    </r>
    <r>
      <rPr>
        <color rgb="FF1155CC"/>
        <sz val="15.0"/>
        <u/>
      </rPr>
      <t>https://isps-us.ce-go.com/social-recovery-therapy-course-dr-joanne-hodgekins</t>
    </r>
  </si>
  <si>
    <t xml:space="preserve">Alexandra Rieman/EASA Stepdown </t>
  </si>
  <si>
    <t>3/21,3/28,4/4 -  all half days</t>
  </si>
  <si>
    <t>This course will introduce participants to Social Recovery Therapy (SRT), a CBT-informed intervention that aims to improve social and functional outcomes for people who have experienced psychosis. This will be essential for the EASA Stepdown program.</t>
  </si>
  <si>
    <t>2/18/2025, Approved by AVD.  //  2/19/2025, reecived email from Alexandra, "Can I change my request from the $300 including CEUs to the $100 without CEUs? I almost have all my CEUs for this reporting period and would rather use the other $ for my licensure renewal or other trainings." Updated amount. ART, 2/20/2025.</t>
  </si>
  <si>
    <t>Criminal Justice Commission 2025 Summit - https://www.oregon.gov/cjc/summit2025/Pages/default.aspx</t>
  </si>
  <si>
    <t>Anthony will be speaking at this Summit.</t>
  </si>
  <si>
    <t>2/13/2025, Approved by Jen Gulzow.</t>
  </si>
  <si>
    <t>$150 CAD
Please see link below:
https://online.compassionateinquiry.com/offers/QFUSJgBE/checkout</t>
  </si>
  <si>
    <t>I am requesting CEU's for a training that I am currently enrolled in. The training CEU's come with a cost of $150 CAD (105.75 USD). Please see the link below:
https://online.compassionateinquiry.com/offers/QFUSJgBE/checkout</t>
  </si>
  <si>
    <t>The training CEU's come with a cost of $150 CAD (105.75 USD).</t>
  </si>
  <si>
    <t>2/18/2025, Approved by AVD.</t>
  </si>
  <si>
    <t>$150.00- Covers the CEU</t>
  </si>
  <si>
    <r>
      <rPr/>
      <t xml:space="preserve">Racism as an Ethical Issue- </t>
    </r>
    <r>
      <rPr>
        <color rgb="FF1155CC"/>
        <sz val="15.0"/>
        <u/>
      </rPr>
      <t>https://www.daystared.com/registration/</t>
    </r>
  </si>
  <si>
    <t>March 11 2025</t>
  </si>
  <si>
    <t>CEUs</t>
  </si>
  <si>
    <t xml:space="preserve">Crisis Specialist Training and Certification Course </t>
  </si>
  <si>
    <t>to be determined</t>
  </si>
  <si>
    <t xml:space="preserve">Crisis Specialist Training and Certification Course for Suicidology </t>
  </si>
  <si>
    <t>2/20/2025, ART chatted Anne to request additional training info, link, virtual or travel?  //  Cheryl Lemley said that it's on on-line training.  //  2/20/2025 Approved by AVD.</t>
  </si>
  <si>
    <t>joanna.r.eaton@multco.us</t>
  </si>
  <si>
    <t>Crisis Specialist Training and Certification Course (American Association of Suicidology)</t>
  </si>
  <si>
    <t>Joanna Eaton</t>
  </si>
  <si>
    <t>To be determined</t>
  </si>
  <si>
    <t>2/20/2025, ART chatted Joanna to request additional training info, link, virtual or travel?  //  Cheryl Lemley said that it's on on-line training.  //  2/20/2025 Approved by AVD.</t>
  </si>
  <si>
    <t xml:space="preserve">AAS Crisis Specialist Training and Certification Course  https://suicidology.org/training-certifications/crisis-specialist-training/ </t>
  </si>
  <si>
    <t>any time, online and pre-recorded</t>
  </si>
  <si>
    <t xml:space="preserve">support BHCC goal of AAS accredited call center with AAS certified staff. </t>
  </si>
  <si>
    <t>2/20/2025 Cheryl Lemley said that it's on on-line training.  //  2/20/2025 Approved by AVD.</t>
  </si>
  <si>
    <t>https://suicidology.org/training-certifications/crisis-specialist-training/</t>
  </si>
  <si>
    <t>2/20/25</t>
  </si>
  <si>
    <t>2/20/2025 Cheryl Lemley said that it's on on-line training.  //  2/20/2025, Approved by AVD.</t>
  </si>
  <si>
    <t>https://drive.google.com/open?id=1qY6gBwdT3TGIDZUUSYCF_iy_41eTXNn_</t>
  </si>
  <si>
    <r>
      <rPr/>
      <t xml:space="preserve">Jefa's y Cafe (Vision to Action Boarding Session) </t>
    </r>
    <r>
      <rPr>
        <color rgb="FF1155CC"/>
        <sz val="15.0"/>
        <u/>
      </rPr>
      <t>https://members.hmccoregon.com/events/details/jefas-y-cafe-48?_gl=1*1so2q0r*_ga*MTEyMDY5OTcwMC4xNzA5NTc2NjY1*_ga_FEP97Z0LH3*MTc0MDAwNjA2MC4yOC4wLjE3NDAwMDYwNjAuMC4wLjA.</t>
    </r>
  </si>
  <si>
    <t>Carla Canseco-Maca (CARES NW &amp; SBMH)</t>
  </si>
  <si>
    <t>02/26/2025</t>
  </si>
  <si>
    <t>2/20/2025 Approved by AVD.</t>
  </si>
  <si>
    <t>https://drive.google.com/open?id=1eWQQJBXbRFXtev4xYbvkgGyDdFpTxs-L</t>
  </si>
  <si>
    <r>
      <rPr/>
      <t xml:space="preserve">Crisis Specialist Training and Certification- </t>
    </r>
    <r>
      <rPr>
        <color rgb="FF1155CC"/>
        <sz val="15.0"/>
        <u/>
      </rPr>
      <t>https://suicidology.org/training-certifications/crisis-specialist-training/</t>
    </r>
  </si>
  <si>
    <t>Crisis Specialist Training and Certification</t>
  </si>
  <si>
    <t>Increased knowledge and certification in crisis services</t>
  </si>
  <si>
    <t>2/25/2025, Approved by Jen G.</t>
  </si>
  <si>
    <r>
      <rPr/>
      <t xml:space="preserve">Jefas y Cafe, </t>
    </r>
    <r>
      <rPr>
        <color rgb="FF1155CC"/>
        <sz val="15.0"/>
        <u/>
      </rPr>
      <t>https://hmccoregon.com/event/jefas-y-cafe-2/</t>
    </r>
  </si>
  <si>
    <t xml:space="preserve">Funding is for Rocio Handal Rodriguez, Mental Health Consultant for the Early Childhood Team.  </t>
  </si>
  <si>
    <t>Wednesday Feb 26, 2025</t>
  </si>
  <si>
    <t xml:space="preserve">This event will help provide new strategies for the consultant that she can then incorporate into her practice which will benefit the families she works with on a daily basis. </t>
  </si>
  <si>
    <r>
      <rPr/>
      <t xml:space="preserve">Lean Six Sigma Health Care Professional
</t>
    </r>
    <r>
      <rPr>
        <color rgb="FF1155CC"/>
        <sz val="15.0"/>
        <u/>
      </rPr>
      <t>https://www.6sigmacertificationonline.com/ssgi-career-track-certifications/lean-six-sigma-healthcare-professional-lsshp/</t>
    </r>
  </si>
  <si>
    <t>n/a: online self paced course</t>
  </si>
  <si>
    <t xml:space="preserve">The program has been designed to teach you the principals and tools necessary to master both Lean and Six Sigma methodologies and apply them to the healthcare environment. I will use these skills to enhance my management skills over the outpatient treatment we offer.  </t>
  </si>
  <si>
    <t>cessa.karson-whitethorn@multco.us</t>
  </si>
  <si>
    <t>Crisis Specialist Training and Certification Course</t>
  </si>
  <si>
    <t>Cessa Karson-Whitethorn</t>
  </si>
  <si>
    <t>Self-paced course, requesting to start 3/14/25</t>
  </si>
  <si>
    <t>The funding is for College2County intern for a mult-program/dept collaborative under Climate x Mental Heatlh</t>
  </si>
  <si>
    <t>College2County start date:  June 2025</t>
  </si>
  <si>
    <t>2/27/2025,Approved by Billie.</t>
  </si>
  <si>
    <t>LCSW Exam Prep: ASWB Clinical Level Exam.</t>
  </si>
  <si>
    <t>Therapist Development Center, LCSW Exam Prep: ASWB Clinical Level Exam</t>
  </si>
  <si>
    <t>02/25/2025</t>
  </si>
  <si>
    <t>This training will help me with prepping for the LCSW exam, to be able to study the material and pass.</t>
  </si>
  <si>
    <r>
      <rPr/>
      <t xml:space="preserve">Oregon Association for Supervision and Curriculum Development Early Learning Conference - Virtual single day registration for Ayla Terry-Mitchell: </t>
    </r>
    <r>
      <rPr>
        <color rgb="FF1155CC"/>
        <sz val="15.0"/>
        <u/>
      </rPr>
      <t>https://ffd4eca8-0427-48fc-9803-821106b704c7.paylinks.godaddy.com/AylaTerryMitchell</t>
    </r>
  </si>
  <si>
    <t xml:space="preserve">Ayla Terry-Mitchell EC/DCS </t>
  </si>
  <si>
    <t>4/18/25</t>
  </si>
  <si>
    <t>Supporting MHC as co-facilitator to present at a conference</t>
  </si>
  <si>
    <r>
      <rPr/>
      <t xml:space="preserve">Balancing Life and Leadership: A Courage to Lead Retreat
</t>
    </r>
    <r>
      <rPr>
        <color rgb="FF1155CC"/>
        <sz val="15.0"/>
        <u/>
      </rPr>
      <t>https://graduate.lclark.edu/calendars/events/event/354729-balancing-life-and-leadership-a-courage-to-lead-retre</t>
    </r>
  </si>
  <si>
    <t xml:space="preserve">Friday-Sunday, March 14-16, 2025 </t>
  </si>
  <si>
    <r>
      <rPr/>
      <t xml:space="preserve">LCSW active renewal, Oregon license renewal fee </t>
    </r>
    <r>
      <rPr>
        <color rgb="FF1155CC"/>
        <sz val="15.0"/>
        <u/>
      </rPr>
      <t>https://www.oregon.gov/blsw/pages/renewalsstatuschange.aspx</t>
    </r>
  </si>
  <si>
    <t>3/31/25</t>
  </si>
  <si>
    <t>license renewal</t>
  </si>
  <si>
    <r>
      <rPr/>
      <t xml:space="preserve">Crisis Specialist Training &amp; Certification Course©, with 3.5 CEs; Here is the web address; </t>
    </r>
    <r>
      <rPr>
        <color rgb="FF1155CC"/>
        <sz val="15.0"/>
        <u/>
      </rPr>
      <t>https://aas.mycrowdwisdom.com/cw/course-details?entryId=14494504&amp;itemId=716304&amp;subscribed=false</t>
    </r>
  </si>
  <si>
    <t>Madonna Wells</t>
  </si>
  <si>
    <t>self learning</t>
  </si>
  <si>
    <t>Crisis Specialist Training &amp; Certification Course©, with 3.5 CEs, I am a clinical staff member</t>
  </si>
  <si>
    <t>$1000 CAD</t>
  </si>
  <si>
    <t>Compassionate Inquiry Professional Online Training 2025-26
https://compassionateinquiry.com/online-training/
Payment link below:
https://online.compassionateinquiry.com/offers/P29XoLHo/checkout?coupon_code=RETURN0524</t>
  </si>
  <si>
    <t>May 19, 2025</t>
  </si>
  <si>
    <t>This training will greatly enhance my clinical skills; improving treatment outcomes. And CEU's are optional to purchase in addition to the training.</t>
  </si>
  <si>
    <t>https://drive.google.com/open?id=1Bb3-7DuRHFLKDJNf6Xj2mQzXoaSN7Fcg</t>
  </si>
  <si>
    <t>04/15/2025</t>
  </si>
  <si>
    <t>2/28/2025, Approved by AVD.</t>
  </si>
  <si>
    <t>Lesbian, Queer</t>
  </si>
  <si>
    <t>Non-Members seeking CEs (APA): $219</t>
  </si>
  <si>
    <t>Crisis Specialist Training and Certification Course (https://suicidology.org/training-certifications/crisis-specialist-training/)</t>
  </si>
  <si>
    <t>Jessica Ramirez-Pichette</t>
  </si>
  <si>
    <t>Anytime within the next 6 weeks, this is self-paced</t>
  </si>
  <si>
    <t xml:space="preserve">Will benefit my staff and clients after obtaining the certification and training. </t>
  </si>
  <si>
    <r>
      <rPr/>
      <t xml:space="preserve">$15000
Link to the C2C Description: </t>
    </r>
    <r>
      <rPr>
        <color rgb="FF1155CC"/>
        <sz val="15.0"/>
        <u/>
      </rPr>
      <t>https://docs.google.com/document/d/1VQbf8UQNOHO6xnuyFST1wPIzk8STBKQN/edit</t>
    </r>
  </si>
  <si>
    <t>Safety Net Services</t>
  </si>
  <si>
    <t>This intern position will support Safety Net Services licensed and credentialed providers by impacting their work in creating services that have an equity lens. The position will project manage the implementation of a racial equity lens within the teams.</t>
  </si>
  <si>
    <t>https://drive.google.com/open?id=16Zl1Buz5Bn1wlUeheW-pigLzmEAAsEi0</t>
  </si>
  <si>
    <t>Reflective Practice and Feedback in Supervision</t>
  </si>
  <si>
    <t>BHD APS - Glen LaFollette</t>
  </si>
  <si>
    <t>02/27/2025</t>
  </si>
  <si>
    <t>3/3/2025, Approved by Billie.</t>
  </si>
  <si>
    <t>Quality Management Unit, Records Team</t>
  </si>
  <si>
    <t>College to County intern</t>
  </si>
  <si>
    <t>June 2025</t>
  </si>
  <si>
    <t>The Records team would like to host a College to County intern who would help identify duplicate client records in Evolv and reduce the number of duplicate accounts. This would improve quality of care for BHD clients by reducing the number of client accounts so staff have accurate clinical information in order to best support a client.</t>
  </si>
  <si>
    <t>C2C Intern for BHD APS</t>
  </si>
  <si>
    <t>06/01/2025</t>
  </si>
  <si>
    <t>In partnership with the Risk Case Manager, address and decrease immediate risks by offering individuals various supports. Under guidance of BHD APS Supervisor, complete Death Reviews. Other projects as opportunity &amp; interest arise.</t>
  </si>
  <si>
    <t>Adult Protective Services and Risk Case Management, Call Center/Crisis Services, Older Adult Behavioral Health Initiative, Residential Services</t>
  </si>
  <si>
    <t>Native Wellness Institute's training: Being Trauma and Healing Informed</t>
  </si>
  <si>
    <t>We are in the process of scheduling the training with Native Wellness Institute</t>
  </si>
  <si>
    <t>https://drive.google.com/open?id=1cfGUjiZ-n-u8oU_p_7bD9xj4j6OLp9s4</t>
  </si>
  <si>
    <t>The American Association of Suicidology (AAS) Crisis Specialist Training &amp; Certification Course©, with CEs</t>
  </si>
  <si>
    <t xml:space="preserve">Saray Brito </t>
  </si>
  <si>
    <t>Anytime in the next 4 weeks</t>
  </si>
  <si>
    <t>mark.aitken@multco.us</t>
  </si>
  <si>
    <t xml:space="preserve">
Crisis Specialist Training &amp; Certification Course©, with CEs</t>
  </si>
  <si>
    <t>Mark Aitken</t>
  </si>
  <si>
    <t>anytime in next 4 weeks</t>
  </si>
  <si>
    <t>alex.perez-perez@multco.us</t>
  </si>
  <si>
    <t>Crisis Specialist Training &amp; Certification Course©, with CEs</t>
  </si>
  <si>
    <t>Alex Perez-Perez</t>
  </si>
  <si>
    <r>
      <rPr/>
      <t xml:space="preserve">
The 36th Annual Boston International Trauma Conference </t>
    </r>
    <r>
      <rPr>
        <color rgb="FF1155CC"/>
        <sz val="15.0"/>
        <u/>
      </rPr>
      <t>https://web.cvent.com/event/614b0291-ac69-4031-baed-c92ad8738053/websitePage:c3477365-6596-400f-a85d-3e540a8f5418?refid=bh_s_002043_traumacon_dedicatedemail_020825&amp;utm_campaign=5852340-002043&amp;utm_medium=email&amp;_hsenc=p2ANqtz-8bs96TsFm5Ge8JWy3oMZsaCw2UmAgaXQJZz16yyUNqxL09zI6nJoriKHzIviqMF5BAxJMu7kRRyx9P1y8NijyqWwtRPHJwXrWqbQnJqlCMuVYG9qk&amp;_hsmi=346343391&amp;utm_content=346343391&amp;utm_source=hs_email</t>
    </r>
  </si>
  <si>
    <t>May 13th-18th</t>
  </si>
  <si>
    <t xml:space="preserve">Directly related to client services provided </t>
  </si>
  <si>
    <t>3/5/2025, Approved by AVD.</t>
  </si>
  <si>
    <t>https://drive.google.com/open?id=1MRH4cZ1r7EPMWrG-ERcWn1UkyANy9CF-</t>
  </si>
  <si>
    <t xml:space="preserve">We'd like to host Dr. Joy DeGruy for a 4hr virtual training. Once we receive approval, we'd send a survey to see which topic is highest rated by staff. </t>
  </si>
  <si>
    <t>Date has not been confirmed - we'd like to host Dr. Joy DeGruy</t>
  </si>
  <si>
    <t>3/5/2025, Approved by AVD.
Hi Andrew,
I've been working on scheduling Dr. Joy DeGruy to provide a 4hr training BHD wide, as per the BHWi approval I received several months ago. As part of my communication with her booking agent, I requested the following (which I've asked of all other trainer) in order to be able to apply for NASW and MHACBO CEU's:
    List learning objectives of training
    Describe how the training topic is of importance to social workers and human service practitioners
    Describe how the content is current and of sufficient depth to warrant graduate level credit
    Identify the credentials and demonstrated competency in the field of the presenter
    Agenda with time-stamps
    At least three references used for the training
    A a copy of your syllabus for this training
Today I received a response from the booking agent that they are "unable to accommodate the request for continuing education credits at this time due to time constraints".
I know that I committed to providing CEU's when I asked BHWi for the $14000 for the workshop. Should I cancel the booking altogether since they're not able to partner with us in this way? 
Including Jessica in case Division Leadership is invested in me following through on this - was going to host her on June 18th.</t>
  </si>
  <si>
    <r>
      <rPr/>
      <t xml:space="preserve">Ethics Responsive Use of Self, </t>
    </r>
    <r>
      <rPr>
        <color rgb="FF1155CC"/>
        <sz val="15.0"/>
        <u/>
      </rPr>
      <t>https://susiesnyderlcsw.vipmembervault.com/products/courses/view/1033072</t>
    </r>
  </si>
  <si>
    <t>None, virtual as time allows</t>
  </si>
  <si>
    <t>12 EASA staff members will be attending the 3 day EASA Statewide conference (May 28-30).  We will need to travel the day before so will need 3 nights of lodging (May 27-29).  I am requesting BHWi funds to cover our travel costs (lodging, per diem, etc).  For the lodging there are room blocks being held for conference participants that look to be around $126/night (I don't know if that includes associated fees).  For 3 nights for 12 staff that is 4,536.  I do not know what per diem costs will be.</t>
  </si>
  <si>
    <t>EASA Statewide Conference at Sunriver Resort, OR.</t>
  </si>
  <si>
    <t>Conference is May 28-30.  Will travel there on May 27th.</t>
  </si>
  <si>
    <t>425.00 Perinatal Mood Disorders: Components of Care
250.00 Advanced Perinatal Mental Health Psychotherapy Training 
= 675.00
Lodging 139 x4=556.00
Flight</t>
  </si>
  <si>
    <t>https://drive.google.com/open?id=1GTPmCvU3eXrwXcTmsm-mll_V1U71EGd-</t>
  </si>
  <si>
    <r>
      <rPr/>
      <t xml:space="preserve">Perinatal Mood Disorders: Components of Care May 21-22, 2025 AND May 23, 2025 – Advanced Perinatal Mental Health Psychotherapy Training 
</t>
    </r>
    <r>
      <rPr>
        <color rgb="FF1155CC"/>
        <sz val="15.0"/>
        <u/>
      </rPr>
      <t>https://postpartum.app.neoncrm.com/np/clients/postpartum/event.jsp?event=2045&amp;_gl=1*9z3qf7*_ga*ODgwNTY1Mjc3LjE3NDA0MTAwNTg.*_ga_BL1P5QJ821*MTc0MTEwNTkzNC43LjEuMTc0MTEwNzE5Ny41OC4wLjE5NjY5MzkwMTg.</t>
    </r>
    <r>
      <rPr/>
      <t xml:space="preserve">
Accommodations-- </t>
    </r>
    <r>
      <rPr>
        <color rgb="FF1155CC"/>
        <sz val="15.0"/>
        <u/>
      </rPr>
      <t>https://www.hilton.com/en/book/reservation/rooms/?ctyhocn=STLWPDT&amp;arrivalDate=2025-05-20&amp;departureDate=2025-05-24&amp;groupCode=CDTCCA&amp;room1NumAdults=1&amp;cid=OM%2CWW%2CHILTONLINK%2CEN%2CDirectLink</t>
    </r>
  </si>
  <si>
    <t>May 21-23, 2025</t>
  </si>
  <si>
    <t xml:space="preserve">I have seen a gap in comprehensive psychiatric care for the perinatal population and have had multiple client's struggle to find appropriate and competent care. Obtaining the Perinatal Mental Health Certification (PMH-C) will allow me to provide competent care for this population. </t>
  </si>
  <si>
    <r>
      <rPr/>
      <t xml:space="preserve">Motivational Interviewing in Health Care, </t>
    </r>
    <r>
      <rPr>
        <color rgb="FF1155CC"/>
        <sz val="15.0"/>
        <u/>
      </rPr>
      <t>https://psychwire.com/motivational-interviewing/mi-healthcare</t>
    </r>
  </si>
  <si>
    <t xml:space="preserve">Self paced </t>
  </si>
  <si>
    <t xml:space="preserve">This training will help me better understand how I can more effectively use motivational interviewing in the often brief consultation conversations I have with partner program staff I support. </t>
  </si>
  <si>
    <t>3/7/2025,  Approved by AVD</t>
  </si>
  <si>
    <t>Adult Protective Services and Risk Case Management, Behavioral Health Resource Center, Call Center/Crisis Services, CMHP - Safety Net Services Unit, Older Adult Behavioral Health Initiative, Residential Services</t>
  </si>
  <si>
    <t>2hr training (The Neuroscience of Compassion in Self-Care and Community Care) to be provided by Lydia Anne M Bartholow</t>
  </si>
  <si>
    <t>Al staff at Safety Net Services</t>
  </si>
  <si>
    <t>To be scheduled</t>
  </si>
  <si>
    <t>A clinical staff member AND this training provides CEUs</t>
  </si>
  <si>
    <t>Total:  $1050
We are the change we seek:  approx $33 per book x 25 books = $825
Someone to be with book:  approx $7.50 each x 30 books = $225</t>
  </si>
  <si>
    <r>
      <rPr/>
      <t xml:space="preserve">https://drive.google.com/open?id=1HYZadq0eF5LCDhUXCMzCPUbd-oomougc, </t>
    </r>
    <r>
      <rPr>
        <color rgb="FF1155CC"/>
        <sz val="15.0"/>
        <u/>
      </rPr>
      <t>https://drive.google.com/open?id=1iaIwLHkQrfDr9iEma5MeGuGYKRMXlPDc</t>
    </r>
  </si>
  <si>
    <t>No travel</t>
  </si>
  <si>
    <t xml:space="preserve">Early Child Mental Health Team in DCS </t>
  </si>
  <si>
    <t>3/6/25</t>
  </si>
  <si>
    <t xml:space="preserve">RE question above, I am not clinical staff but the items are FOR clinical staff.  We would like to purchase 25 copies of the books "We are the Change We Seek" which is a book specific for early childhood educators about advancing racial justice in education through the culturally responsive, anti-bias, anti-racist (CRABAR) framework. Also requesting for 30 copies of the Book SOMEONE TO BE WITH which is part of the Circle of Security Classroom Approach, a two-tier approach to support secure relationships in early care settings. In the first tier, early care professionals engage in an 8-week reflective, professional learning series. </t>
  </si>
  <si>
    <t xml:space="preserve">$450 plus tip for each training date </t>
  </si>
  <si>
    <t xml:space="preserve">We are requesting funds to purchase food for the already approved Foundational Family Therapy Interventions with Diverse Families training series. We are requesting $450 plus tip for each date. </t>
  </si>
  <si>
    <t>For the School Based Mental Health team for the Foundational Family Therapy Interventions with Diverse Families training series</t>
  </si>
  <si>
    <t>3/19/25, 4/29/25, 5/20/25</t>
  </si>
  <si>
    <t>https://drive.google.com/open?id=1Dn3krZyMVkco79tCmhYydq_AqF-eCeH_</t>
  </si>
  <si>
    <t>seeking reimbursement for licensure costs</t>
  </si>
  <si>
    <t>Reasoning with Unreasonable People: Focus on Disorders on Emotional Regulation. https://www.ibpceu.com/content/pdf/REYOR1S25.pdf</t>
  </si>
  <si>
    <t>Caroline Radulski</t>
  </si>
  <si>
    <t>03/28/2025</t>
  </si>
  <si>
    <t>3/10/2025,  Approved by AVD</t>
  </si>
  <si>
    <t xml:space="preserve">Identity Matters: Practical Strategies to Assess Identity that Informs Treatment Planning https://www.portlandpsychotherapytraining.com/03-14-2025-ADDRESSING-Framework-1  </t>
  </si>
  <si>
    <t>3/14/25</t>
  </si>
  <si>
    <t xml:space="preserve">The title explains it well "Identity Matters: Practical Strategies to Assess Identity that Informs Treatment Planning" </t>
  </si>
  <si>
    <t>We are requesting funds to cover the CEUs fees for the already approved Foundational Family Therapy Interventions with Diverse Families training series.</t>
  </si>
  <si>
    <t>For the School Based Mental Health team for the Foundational Family Therapy Interventions with Diverse Families training series.</t>
  </si>
  <si>
    <t>rasheed.shabazz@multco.us</t>
  </si>
  <si>
    <t>EMDR Basic Training</t>
  </si>
  <si>
    <t>Rasheed Shabazz</t>
  </si>
  <si>
    <t>March 14 thru March 16, 2025 (including 2 books) NOTE: Expedite if able</t>
  </si>
  <si>
    <t>Amt. Paid: 260.00/Invoice # 024798/Date: 01/15/2025/</t>
  </si>
  <si>
    <t>March 10, 2025</t>
  </si>
  <si>
    <t>CSWA License</t>
  </si>
  <si>
    <t>3/14/2025, Approved by AVD.</t>
  </si>
  <si>
    <t>Books: DSM -5-TR (5th Edition)</t>
  </si>
  <si>
    <t>https://www.6sigmacertificationonline.com/ssgi-career-track-certifications/lean-six-sigma-healthcare-professional-lsshp/</t>
  </si>
  <si>
    <t>I would like to sign up for the https://www.6sigmacertificationonline.com/ssgi-career-track-certifications/lean-six-sigma-healthcare-professional-lsshp/</t>
  </si>
  <si>
    <t>ongoing/online</t>
  </si>
  <si>
    <t xml:space="preserve">This will help our operations operate within LEAN principles while providing optimal care to our clients. </t>
  </si>
  <si>
    <t>$75, I already paid, am seeking reimbursement</t>
  </si>
  <si>
    <t>https://drive.google.com/open?id=19tqQkWXnwrgFhqv8raJk2VNHQXj-_-de</t>
  </si>
  <si>
    <t xml:space="preserve">Relational Hypnotic Strategies for Anxiety Disorders </t>
  </si>
  <si>
    <t>3/21/25, online training</t>
  </si>
  <si>
    <t xml:space="preserve">This training will focus on relational hypnotic strategies that can be used in the treatment of a variety of anxiety disorders. A high number of students I work with are struggling with anxiety, difficulty managing stress, etc. This training will provide me with additional tools to support these students in improving their coping skills and stress management. </t>
  </si>
  <si>
    <t>https://catalog.pesi.com/sales/bh_s_002157_playtherapycon_dedicatedemail_original-1274550?utm_campaign=6372368-002157&amp;utm_medium=email&amp;_hsenc=p2ANqtz-8kf7bdQJ7CgGTtMuFeIvE3aPif2iSIA7S5BrbjMKVSeYJcXsRtQTML4S81gLmA5d8Tlka0KkLEDRy67NGpsqoRXY8EAQ&amp;_hsmi=346345176&amp;utm_content=346345176&amp;utm_source=hs_email</t>
  </si>
  <si>
    <t>June 4-6, 2025</t>
  </si>
  <si>
    <t>10 consultation hours, $75 per hour = $750 total</t>
  </si>
  <si>
    <t>EMDR Consultant: Jorge Torres-Saenz Psy.D    5092256716@msn.com</t>
  </si>
  <si>
    <t>as soon as possible</t>
  </si>
  <si>
    <t>These are the consultation hours I need for my EMDR training certification. EMDR is a evidence-based tool to treat PTSD and other disorders related to trauma which will help me to improve the services I provide to my clients</t>
  </si>
  <si>
    <t>3 payment options: $1487 (rebalancing access) or $1187 (fair access) or $987 (supported access)</t>
  </si>
  <si>
    <r>
      <rPr/>
      <t xml:space="preserve">Breathwork and Movement therapy for trauma healing
</t>
    </r>
    <r>
      <rPr>
        <color rgb="FF1155CC"/>
        <sz val="11.0"/>
        <u/>
      </rPr>
      <t>https://www.theembodylab.com/breathwork-movement-therapy-for-trauma-healing-certificate#registration</t>
    </r>
  </si>
  <si>
    <t>May 8th (last day for registration) Course starts on May 9th</t>
  </si>
  <si>
    <t>This training will cover two interventions that have been proved to help with trauma healing: 1. Breathwork (practice that utilizes breathing techniques to support healing trauma) and 2. Movement therapy (uses physical movement to release trauma stored in the body). Both tool will support me on providing better services to my clients</t>
  </si>
  <si>
    <r>
      <rPr/>
      <t xml:space="preserve">Government Agency Membership to America Association of Suicidology  </t>
    </r>
    <r>
      <rPr>
        <color rgb="FF1155CC"/>
        <sz val="11.0"/>
        <u/>
      </rPr>
      <t>https://suicidology.org/members/</t>
    </r>
  </si>
  <si>
    <t>Behavioral Health Call Center</t>
  </si>
  <si>
    <t>05/03/2025</t>
  </si>
  <si>
    <t xml:space="preserve">Membership to AAS will allow clinical staff to receive trainings and certification that would benefits both clinicians and client's. Trainings under membership may improve staff outcomes and improve the direct services provided to callers. </t>
  </si>
  <si>
    <t>3/14/2025 email from AVD, "Can she clarify if this is a renewal from last year? See line 61 on tracker sheet from last year."  ART emailed Reyna to inquire. //  3/20/2025 Per Reyna's response, "renewal".</t>
  </si>
  <si>
    <t>$2960 (registration, hotel, travel, per diem)</t>
  </si>
  <si>
    <t>https://natcon25.eventscribe.net/ location: Philadelphia</t>
  </si>
  <si>
    <t>May 5, 2025</t>
  </si>
  <si>
    <t>CEUs and relevant information to support the work of my teams</t>
  </si>
  <si>
    <t>https://aas.mycrowdwisdom.com/cw/catalog (Supervisor Series: Crisis Supervisor Series Part: 1: Introduction to Crisis Supervision ($109); 
Crisis Supervisor Series Part II: Individual and Group Supervision($139); Crisis Supervisor Series Part III: Real-Time Feedback and Debriefing ($109); Crisis Supervisor Series Part IV: Administrative Responsibilities ($109)</t>
  </si>
  <si>
    <t>Clinical Supervision, Staff education, trainings for staff</t>
  </si>
  <si>
    <r>
      <rPr>
        <color rgb="FF1155CC"/>
        <sz val="15.0"/>
        <u/>
      </rPr>
      <t>https://aas.mycrowdwisdom.com/cw/catalog</t>
    </r>
    <r>
      <rPr/>
      <t xml:space="preserve"> -Crisis Specialist Training &amp; Certification Course©, with CEs ($219)
</t>
    </r>
  </si>
  <si>
    <t>4/15/25</t>
  </si>
  <si>
    <t>3/19/2025, Approved by AVD.</t>
  </si>
  <si>
    <t>Updated DSM book for diagnosing clients, e-book</t>
  </si>
  <si>
    <t>Up to $3000 for recruiting expenses</t>
  </si>
  <si>
    <t>Post Commitment Hiring Trial Visit Monitor Position</t>
  </si>
  <si>
    <t>3-19-25</t>
  </si>
  <si>
    <t>3/21/2025, Approved by AVD.</t>
  </si>
  <si>
    <t>Conference Early Bird Registration is $499. Travel and lodging costs are unknown.</t>
  </si>
  <si>
    <r>
      <rPr/>
      <t xml:space="preserve">36th ANNUAL BOSTON INTERNATIONAL TRAUMA CONFERENCE - </t>
    </r>
    <r>
      <rPr>
        <color rgb="FF1155CC"/>
        <sz val="15.0"/>
        <u/>
      </rPr>
      <t>https://traumaresearchfoundation.org/lp/36th-annual-boston-trauma-conference/?utm_source=ActiveCampaign&amp;utm_medium=email&amp;utm_content=Time%20is%20running%20out&amp;utm_campaign=36TC%202025%20Email%208%20-%203%2F19%2F25&amp;vgo_ee=xL0Mk1nIiZOsvr%2BwaJy6gxxDAfG8GDUdRHt0BJPJFfNKPKrdtA%3D%3D%3AtirgjDBRNSOUy4GSrNQ3JsXDxVWog5Je</t>
    </r>
  </si>
  <si>
    <t>May 14-17th, 2025 in Boston. Need payment and coordination for travel, lodging, food and conference fees. https://traumaresearchfoundation.org/lp/36th-annual-boston-trauma-conference/?utm_source=ActiveCampaign&amp;utm_medium=email&amp;utm_content=Time%20is%20running%20out&amp;utm_campaign=36TC%202025%20Email%208%20-%203%2F19%2F25&amp;vgo_ee=xL0Mk1nIiZOsvr%2BwaJy6gxxDAfG8GDUdRHt0BJPJFfNKPKrdtA%3D%3D%3AtirgjDBRNSOUy4GSrNQ3JsXDxVWog5Je</t>
  </si>
  <si>
    <t>This training will serve a multifaceted purpose: Clinical staff CEUs, Training related to improve skills for serving clients, Training to improve skills for a leader of the new County ERG Trauma Action Collaborative.</t>
  </si>
  <si>
    <t>685.00 (training), plus 175.00 (5 hours of consultation), equaling a total of 860.00</t>
  </si>
  <si>
    <t>EMDR Basic Training, Weekend Two, Live Online</t>
  </si>
  <si>
    <t>June 6 to June 8, 2025</t>
  </si>
  <si>
    <t>Skip</t>
  </si>
  <si>
    <t>matthew.burns@multco.us</t>
  </si>
  <si>
    <t>Grieving Man, https://eventcreate.com/e/grieving-man?utm_source=substack&amp;utm_medium=email</t>
  </si>
  <si>
    <t>Matthew Burns</t>
  </si>
  <si>
    <t>May 2-4</t>
  </si>
  <si>
    <t>This is for a weekend grief retreat, which I expect will enhance my preparedness to continue in the work of offering crisis support by helping to integrate and process the personal and secondary grief I carry, as well as assist my readiness and understanding of how to support grieving individuals, which occurs on a daily basis in crisis work.</t>
  </si>
  <si>
    <t>3/25/2025, Approved by AVD.</t>
  </si>
  <si>
    <t>START-T Timeline and Budget.pdf</t>
  </si>
  <si>
    <r>
      <rPr/>
      <t xml:space="preserve">STAR-T
Secondary Trauma Activates Resilience Training/ Website </t>
    </r>
    <r>
      <rPr>
        <color rgb="FF1155CC"/>
        <sz val="15.0"/>
        <u/>
      </rPr>
      <t>https://www.activateresiliency.com/start-training</t>
    </r>
  </si>
  <si>
    <t>Open to all Health Department employees</t>
  </si>
  <si>
    <t>TBA</t>
  </si>
  <si>
    <t>The STAR-T model training integrates trauma theory, attachment theory, neurobiology, and embodiment work as it applies to the secondary trauma we are exposed to through work in traumatic work environments. This training is relevant to all employees and also provides a foundation for employees who will be providing future peer to peer trauma support to Multnomah County employees experiencing violence in the workplace. 
Step One:
STAR-T
Secondary Trauma Activates Resilience Training
Level One Skills Based Training Full Day Training Offered to All
Employees in Groups of 20 - 25
This basic skills training provides the foundation and skills to
integrate these concepts as prevention skills for secondary trauma
and the building of resilience in the work setting. This is a pre-
requisite for the follow up Deeper Dive, Advanced Skills Training
This is a one-day training, provided in an off-site location with
Multnomah County contracting separately for venue, and
appropriate lunch and refreshment for participants.
To train staff we would offer this one-day training, five days, either
consecutive days in one week or spread out over the end of a week
and the beginning of the next week.
Participants: Up to 25 participants per training day
Facilitators: 2 co-facilitators
Tuition Cost: $2,500.00 per one day training x 5 days = $12,500.00
Facilitator Travel Expenses 2,200.00 x 2 (estimate for airfare, lodging,
ground transportation, per diem) = $4,400.00
Total Cost Step One $ 16,900.00
Step Two:
STAR-T
Secondary Trauma Activates Resilience Training
Level Two Deeper Dive Training in Leading Resilience Skills
Practice Groups in the Organization
This is a 2.5-day training prepares agency personnel to provide
regular RSPG groups inside of the organization. The leadership of
a skills-based group is done with two new Multnomah County co-
facilitators working within their own teams or across the agency to
strengthen the shared nervous system of the organization with
group level resilience work. This shifts responses to trauma
engaged practice out of the realm of self-care and into the zone of
collaborative resilience building.
Participants: 20- 25 people who would commit to running RSPG
groups on a monthly basis. Priority enrollment for
individuals in the organization who have shown engagement and
interest after the level one training.
Facilitators: Two co-facilitators
.
The first 2.5 Day Training to be scheduled ideally 4 – 6 weeks after
the completion of the Level One Basic Skills Training
A second follow up 2.5-day training to be scheduled 6 - 7 months
after the completion of the initial training. The purpose of the
follow up is to reinforce the practice skills and build increased
capacity after participants have had an opportunity to practice
leadership.
Tuition Cost: $ 7,125.00 x 2 trainings = 14, 250.00
Facilitator Travel and Expenses $2,200.00 x 2 x 2 trainings = $ 8, 800.00
(estimate for airfare, lodging, ground transportation, per diem)
Total Cost Step Two = $ 23,050.00
Step Three 
STAR-T
Online Based Follow Up Group Training and Coaching for Facilitators
After the initial Deeper Dive Training, it is helpful for the new
Multnomah County Facilitators to have online support, training and
coaching in the form of group supervision or dyadic supervision.
This is often provided as pre-briefs and debriefs as the facilitators
practice their new skills inside the organization.
Monthly Cost:
Group Training/Supervision $ 150.00 for 60 minutes, $ 225.00 of 90
minutes. Maximum ten sessions in the calendar year.
Cost: $ 1,500.00 - 2,250.00</t>
  </si>
  <si>
    <t xml:space="preserve">3/24/2025, Chatteed Rachel to inquire about the $42,200.00 request. ART. //  3/24/2025, Respose back from Rachel, "The funding request is to train 25 Health Department employees". </t>
  </si>
  <si>
    <r>
      <rPr/>
      <t xml:space="preserve">Crisis Specialist Training and Certification Course ©  </t>
    </r>
    <r>
      <rPr>
        <color rgb="FF1155CC"/>
        <sz val="15.0"/>
        <u/>
      </rPr>
      <t>https://suicidology.org/training-certifications/crisis-specialist-training/</t>
    </r>
  </si>
  <si>
    <t>Jessica Hall</t>
  </si>
  <si>
    <t>Training is online and can be taken anytime</t>
  </si>
  <si>
    <t>I'm clinical staff and this training provides CEUs.  Call Center leadership strongly encourage all clinical staff to take this training.</t>
  </si>
  <si>
    <t>https://drive.google.com/open?id=1PfdUTPSTPaj4ICRLvjnL4iGtgtv1KPhC</t>
  </si>
  <si>
    <t xml:space="preserve">Boise State University Masters of Social Work Graduate Classes </t>
  </si>
  <si>
    <t>Hannah Jaimes-Perez</t>
  </si>
  <si>
    <t xml:space="preserve">Spring Term 2025 </t>
  </si>
  <si>
    <t>3/25/2025, Approved by AVD.  //  4/8/2025 Email received from Hannah, "I am requesting a cancellation of the training fund request I submitted on March 24th, 2025 for $1000 tuition reimbursement. I will be submitting a new request incorporating the increased funding limit per term which started 3/19/2025. Thank you, --Hannah Jaimes-Perez"</t>
  </si>
  <si>
    <t>https://drive.google.com/open?id=1Yk1P0mmmwwTaIC1CHdugfgYLm6YpmKsf</t>
  </si>
  <si>
    <t>Providing Services for LGBTQIA+ Communities</t>
  </si>
  <si>
    <t xml:space="preserve">This funding is for NASW CEU's for training offered to DCS clinicians </t>
  </si>
  <si>
    <t>3/24/25</t>
  </si>
  <si>
    <t>https://drive.google.com/open?id=11wyyGzk7uY_3Vt_N6eFsQGa0NJNu61HH</t>
  </si>
  <si>
    <t>Social Media and LGBTQ+ Youth</t>
  </si>
  <si>
    <t>Funding for NASW CEU's for training provided by DCS</t>
  </si>
  <si>
    <t>4/10/25</t>
  </si>
  <si>
    <t>https://drive.google.com/open?id=1h8Yykefw70tFh5AufpJiLG0bc9YS-4ul</t>
  </si>
  <si>
    <t>Exploring History and Healing with Black Queer, Transgender and Gender Non-Conforming Folx</t>
  </si>
  <si>
    <t>NASW CEUs for training for clinical staff in DCS</t>
  </si>
  <si>
    <t>3/16/25</t>
  </si>
  <si>
    <t>https://drive.google.com/open?id=1CQUU9BLISBqZp-bG_H01jH46S9NMKLzt</t>
  </si>
  <si>
    <t>Mapping the Modern Relationships: Monogamy, Non-Monogamy and Beyond</t>
  </si>
  <si>
    <t>4/24/25</t>
  </si>
  <si>
    <t>Its not a class, it is a renewal fee for my license</t>
  </si>
  <si>
    <t>Anita Bailey-Huff- Early Childhood</t>
  </si>
  <si>
    <t>QMHP-C- License Renewal Fee</t>
  </si>
  <si>
    <t>3/28/2025, Approved by AVD.</t>
  </si>
  <si>
    <t>maximum tuition assistance</t>
  </si>
  <si>
    <t xml:space="preserve">PSU MSW Program </t>
  </si>
  <si>
    <t xml:space="preserve">Lizzy Culbertson </t>
  </si>
  <si>
    <t>6/23/25-8/31/25</t>
  </si>
  <si>
    <t xml:space="preserve">Working towards Masters of Social Work to be able to better serve SPMI individuals in the Behavioral Health Division. </t>
  </si>
  <si>
    <t>3/25/2025, AVD emailed Rachel with questions.  //  4/4/2025, Approved by AVD.</t>
  </si>
  <si>
    <t>https://expressive-arts-therapy.thinkific.com/courses/Advanced-BMDR-Sensorimotor-Expressive-Arts-Therapy-EMDR-and-Bilateral-Stimulation-BLS-Live-Webinar-Series-March-May-2025</t>
  </si>
  <si>
    <t>5/1/25</t>
  </si>
  <si>
    <t>4/3/2025, Approved by AVD.</t>
  </si>
  <si>
    <t>Crisis Supervisor Series (Parts 1-4) https://aas.mycrowdwisdom.com/cw/catalog</t>
  </si>
  <si>
    <t>05/01/2025</t>
  </si>
  <si>
    <t>Clinical supervision support for direct line staff</t>
  </si>
  <si>
    <r>
      <rPr/>
      <t xml:space="preserve">Crisis Supervisor Training Series (4 part series): </t>
    </r>
    <r>
      <rPr>
        <color rgb="FF1155CC"/>
        <sz val="15.0"/>
        <u/>
      </rPr>
      <t>https://aas.mycrowdwisdom.com/cw/catalog</t>
    </r>
  </si>
  <si>
    <t>04/08/2025</t>
  </si>
  <si>
    <t>As a new supervisor, this training will support me in transitioning from peer to manager. The Call Center is also seeking accreditation from AAS and my certification will support that cause.</t>
  </si>
  <si>
    <t>4/7/2025, Approved by AVD.</t>
  </si>
  <si>
    <t xml:space="preserve">PMHC-Perinatal Mental Health Certification. The location is Portland Oregon </t>
  </si>
  <si>
    <t>May 2025</t>
  </si>
  <si>
    <t>- Payment/Reimbursement of Credential/Licensure</t>
  </si>
  <si>
    <t xml:space="preserve">4/7/2025, Approved by AVD. //  ART emailed Rachael  to request PMHC certification. </t>
  </si>
  <si>
    <r>
      <rPr/>
      <t xml:space="preserve">Certified Personality Disorder Treatment Provider Course </t>
    </r>
    <r>
      <rPr>
        <color rgb="FF1155CC"/>
        <sz val="15.0"/>
        <u/>
      </rPr>
      <t>https://catalog.pesi.com/sales/bh_c_002177_personalitydisordercertification_dedicatedemail-1304865?utm_campaign=8252466-002177&amp;utm_medium=email&amp;_hsenc=p2ANqtz-8P1xi3goq0NmyTxyq_O1YbzUNn2FkB5NQsCn_-JV8eTUakXxSYv8XGW1yUPqsXVM6qiV80831RNUsymmFtRKxFOlhy8D0xyLzAKLs4J51w3MH4zTk&amp;_hsmi=350407835&amp;utm_content=350407835&amp;utm_source=hs_email</t>
    </r>
  </si>
  <si>
    <t xml:space="preserve">Help me understand and support clients with personality disorders </t>
  </si>
  <si>
    <t>CANCELLED</t>
  </si>
  <si>
    <t>brenton.montgomery@multco.us</t>
  </si>
  <si>
    <t>The cost of the conference is $649.00</t>
  </si>
  <si>
    <t>36th ANNUAL BOSTON
INTERNATIONAL TRAUMA CONFERENCE-Boston, MA
https://traumaresearchfoundation.org/lp/36th-annual-boston-trauma-conference/?utm_source=ActiveCampaign&amp;utm_medium=email&amp;utm_content=Registration%20Now%20Open%20-%2036th%20Annual%20Boston%20International%20Trauma%20Conference&amp;utm_campaign=36TC%202025%20Email%202%20-%20Early%20Enrollment%20-%201%2F15%2F25&amp;vgo_ee=I5J</t>
  </si>
  <si>
    <t>Brenton Montgomery</t>
  </si>
  <si>
    <t>May 14th-18th</t>
  </si>
  <si>
    <t>4/7/2025, Approved by AVD.  //  5/2025 Cancelled, did not submit into T&amp;T in time. ART.</t>
  </si>
  <si>
    <t>airfare PDX-DC and hotel</t>
  </si>
  <si>
    <t xml:space="preserve"> 2025 AACAP Legislative Conference  https://www.aacap.org/legislativeconference</t>
  </si>
  <si>
    <t>Leigh Hedrick</t>
  </si>
  <si>
    <t>May 5-6, 2025</t>
  </si>
  <si>
    <t>Training in legislative advocacy for youth mental health issues</t>
  </si>
  <si>
    <t>4/10/2025, Approved by AVD.</t>
  </si>
  <si>
    <t>https://drive.google.com/open?id=1Ik1J5Sq2neJey4DGwg5YFRM7lEzt8-pv</t>
  </si>
  <si>
    <t>Exploring Aggression and Intensity in the Playroom: A Book Discussion Series</t>
  </si>
  <si>
    <t>Erika Larson SBMH</t>
  </si>
  <si>
    <t>***3rd Monday of the month: April 21, May 19, June 16, July 21 from noon-1:30pm</t>
  </si>
  <si>
    <t>jennifer.robbins@multco.us</t>
  </si>
  <si>
    <t>https://drive.google.com/open?id=1ynsA9r6efX8wh6PPVffenLbz30Vnxgt_</t>
  </si>
  <si>
    <t>CE4Less one-year membership to obtain required CEUS</t>
  </si>
  <si>
    <t>CEUs for my required certification QMHP</t>
  </si>
  <si>
    <t>Already purchased on 1/15/25</t>
  </si>
  <si>
    <t>15K</t>
  </si>
  <si>
    <t>Aid and Assist summer intern</t>
  </si>
  <si>
    <t>This position will provide OA support for Aid and Assist.</t>
  </si>
  <si>
    <t>$20/hour (there will be 2 interns, so $40/hour)</t>
  </si>
  <si>
    <t>School Based Mental Health Program</t>
  </si>
  <si>
    <t xml:space="preserve">This funding will help support graduate interns learning to be direct clinical staff. </t>
  </si>
  <si>
    <t>https://drive.google.com/open?id=17MA9QCNL88BdAu4TN6no4HSVK6PjlRzs</t>
  </si>
  <si>
    <t>Spring Term 2025</t>
  </si>
  <si>
    <t>https://drive.google.com/open?id=1PcQgQFYAL9LhX0bI99zzUe5ECcbur0Xg</t>
  </si>
  <si>
    <t>licensure renewal fees</t>
  </si>
  <si>
    <t>4/8/2025</t>
  </si>
  <si>
    <t>Payment for Licensure fees</t>
  </si>
  <si>
    <t>$700 for conference, 700 for air and hotel approx.</t>
  </si>
  <si>
    <t>https://drive.google.com/open?id=1iqJ_4kmZnj6y2Kc4KsRhBVv3bUFyIIe2</t>
  </si>
  <si>
    <r>
      <rPr/>
      <t xml:space="preserve">Mental Health America Conference  </t>
    </r>
    <r>
      <rPr>
        <color rgb="FF1155CC"/>
        <sz val="15.0"/>
        <u/>
      </rPr>
      <t>https://mhaconference25.eventscribe.net</t>
    </r>
  </si>
  <si>
    <t>Jennifer Robbins</t>
  </si>
  <si>
    <t xml:space="preserve">October 16-17 </t>
  </si>
  <si>
    <r>
      <rPr/>
      <t xml:space="preserve">The Behavioral Health Tech Conference - </t>
    </r>
    <r>
      <rPr>
        <color rgb="FF1155CC"/>
        <sz val="15.0"/>
        <u/>
      </rPr>
      <t>https://www.behavioralhealthtech.com/</t>
    </r>
  </si>
  <si>
    <t>November 10-13, 2025</t>
  </si>
  <si>
    <t xml:space="preserve">The conference emphasizes the use of technology to address challenges in behavioral health. As an ICC, I hope to learn about new tools and platforms to improve care delivery, patient engagement, and data management within the local CCO network.
The conference promotes networking and collaboration among different stakeholders. As an ICC, I would hope to connect with other professionals, learn about best practices, and potentially find new opportunities to support CareOregon members.
The conference showcases innovative approaches to behavioral health. As an ICC, I hope to discover new strategies for care coordination, patient support, and service delivery that could be adapted for CareOregon's Medicaid population.
Finally, I would hope to bring back opportunities and ideas for steamlining workflows and improving data collection between the ICC program and it's related EHR systems. </t>
  </si>
  <si>
    <t>4/11/2025, Approved by AVD.</t>
  </si>
  <si>
    <t>kimber.sieffert@multco.us</t>
  </si>
  <si>
    <t>Not applicable</t>
  </si>
  <si>
    <t>CADCII Credential Renewal</t>
  </si>
  <si>
    <t>I'm not sure what the cost is for clinical supervision for LCSW provider</t>
  </si>
  <si>
    <t>Clinical supervision</t>
  </si>
  <si>
    <t>Leticia Ochoa Fowler</t>
  </si>
  <si>
    <t>LCSW supervision</t>
  </si>
  <si>
    <t>VERONICA VALENZUELA COUNSELING LLC</t>
  </si>
  <si>
    <t>LCSW</t>
  </si>
  <si>
    <t xml:space="preserve">2-4 hours </t>
  </si>
  <si>
    <t>4/17/2025, Approved by AVD.</t>
  </si>
  <si>
    <t>https://drive.google.com/open?id=1GdCV34cPCpLF9yqi3uxoVS82jRtMB_DQ</t>
  </si>
  <si>
    <t>Immediate post-Disaster Emotional Assistance (IDEA)</t>
  </si>
  <si>
    <t xml:space="preserve">Disaster Behavioral Health Program </t>
  </si>
  <si>
    <t>5/6/205</t>
  </si>
  <si>
    <t xml:space="preserve">This training is part of the requirement for disaster behavioral health volunteer, providing direct support to staff and community when disaster occur (severe weather shelter/center, currently). </t>
  </si>
  <si>
    <t>4/15/2025, Emailed Reyna to ask if this training exclusively for BHD staff? Or for non-staff volunteers? ART  //  4/18/2025, Approved by AVD.</t>
  </si>
  <si>
    <t>$294.00 reimbursement to me please</t>
  </si>
  <si>
    <t>https://drive.google.com/open?id=1oUtHz5k2SENfYAgSMqoH9nU9CPfK_RID</t>
  </si>
  <si>
    <t>Reimbursement for OR LPC through OR Board of Licensed Professional Counselors</t>
  </si>
  <si>
    <t>03/30/2025</t>
  </si>
  <si>
    <t>This request is for my LPC renewal, not a training.  Licensing is required for my position</t>
  </si>
  <si>
    <t>amber.lewis@multco.us</t>
  </si>
  <si>
    <t>Native American or Alaska Native, Black of African American, Latino or Hispanic, White, 2 or more races</t>
  </si>
  <si>
    <t>https://oregonrecovers.app.neoncrm.com/np/clients/oregonrecovers/event.jsp?event=706&amp;</t>
  </si>
  <si>
    <t>2025 Recovery Community Summit- Portland OR</t>
  </si>
  <si>
    <t>Amber Lewis - Jail care coordination team lead</t>
  </si>
  <si>
    <t>2025 Recovery Community Summit- July 15 &amp;16 2025</t>
  </si>
  <si>
    <t>https://traumaresearchfoundation.org/lp/36th-annual-boston-trauma-conference/
Virtual conference</t>
  </si>
  <si>
    <t>Carmen Carrers</t>
  </si>
  <si>
    <t>International Trauma Conference (Online)</t>
  </si>
  <si>
    <t>This conference brings the last research in trauma treatment and will provide skills to treat clients with MH conditions related to trauma</t>
  </si>
  <si>
    <t>https://www.gottman.com/product/gottman-method-couples-therapy-foundations/</t>
  </si>
  <si>
    <t>4/17/2025, ART Emailed Soad and Galen, "can you please clarify, was your intention to use elements of the Gottman methodology in your family work with SBMH clients?"  //  ART F/U 4/22/2025.  //  ART F/U 4/25/2025.  //  4/30/2025, Approved by AVD.</t>
  </si>
  <si>
    <t>erica.edwards@multco.us</t>
  </si>
  <si>
    <t>https://wisehomestudy.com/product/improving-cultural-competence-15-hours/</t>
  </si>
  <si>
    <t xml:space="preserve">Improving Cultural competence - At home work study </t>
  </si>
  <si>
    <t>Erica Edwards</t>
  </si>
  <si>
    <t>4/16/2015</t>
  </si>
  <si>
    <t>4/16/2025, Approved by AVD.</t>
  </si>
  <si>
    <t>https://www.mhacbo.org/</t>
  </si>
  <si>
    <t xml:space="preserve">QMHA Testing - Beaverton oregon </t>
  </si>
  <si>
    <t>4/16/2025 - payment is currently ready to be processed with MHACBO</t>
  </si>
  <si>
    <r>
      <rPr/>
      <t xml:space="preserve">Forget-Me-Not, </t>
    </r>
    <r>
      <rPr>
        <color rgb="FF1155CC"/>
        <sz val="15.0"/>
        <u/>
      </rPr>
      <t>https://madwomantherapy.com/forgetmenot</t>
    </r>
  </si>
  <si>
    <t>Any, virtual self-pace</t>
  </si>
  <si>
    <t>4/23/2025, ART emailed Maira, "why this resource is uniquely appropriate for your situation, or seeking another option that does provide CEUs?"  //  Approved by AVD on 4/23/2025.</t>
  </si>
  <si>
    <t>nural.willis@multco.us</t>
  </si>
  <si>
    <t>$66. Can I get reimbursed for previous out of pocket renewal fees, I paid?</t>
  </si>
  <si>
    <t>Nural Willis III</t>
  </si>
  <si>
    <t>Angela Petrjanos</t>
  </si>
  <si>
    <t>LCSW (current CSWA)</t>
  </si>
  <si>
    <t>4/23/2025, Approved by AVD.</t>
  </si>
  <si>
    <t>QPR  Location:  Virtual  https://qprinstitute.com/become-an-instructor</t>
  </si>
  <si>
    <t>Steph Spann</t>
  </si>
  <si>
    <t xml:space="preserve">Suicide prevention is a component of my role as an Older Adult Behavioral Health Specialist.  This training will allow me to provide evidence based suicide prevention training in our community.  </t>
  </si>
  <si>
    <t>dani.himes@multco.us</t>
  </si>
  <si>
    <t>https://drive.google.com/open?id=1OQAqjTXc8bIDNT5HAdQOXlCrW1sPgRw4</t>
  </si>
  <si>
    <t>Dani Himes</t>
  </si>
  <si>
    <t>Virtual training.  NYU School of Social Work Summer Institute: An Introduction to Palliative Care</t>
  </si>
  <si>
    <t>Jessica Hall-Bayer</t>
  </si>
  <si>
    <t>July 21-25</t>
  </si>
  <si>
    <t>teresa.enigma@multco.us</t>
  </si>
  <si>
    <r>
      <rPr/>
      <t xml:space="preserve">https://drive.google.com/open?id=1Q20cxMGOSDAqfm8mbRPyhe8Vghz_Gh6e, </t>
    </r>
    <r>
      <rPr>
        <color rgb="FF1155CC"/>
        <sz val="15.0"/>
        <u/>
      </rPr>
      <t>https://drive.google.com/open?id=1JckN_vTeU3s4PUOfLeH3BMq-FZEj2Iwi</t>
    </r>
    <r>
      <rPr/>
      <t xml:space="preserve">, </t>
    </r>
    <r>
      <rPr>
        <color rgb="FF1155CC"/>
        <sz val="15.0"/>
        <u/>
      </rPr>
      <t>https://drive.google.com/open?id=19cwOMUUSJPeH1w5kY6VlRwvU0L7D3EFS</t>
    </r>
  </si>
  <si>
    <t>Annual renewal of NASW dues with specialty section</t>
  </si>
  <si>
    <t>Teresa Enigma, LCSW</t>
  </si>
  <si>
    <t>15 Jun 2025</t>
  </si>
  <si>
    <t>https://drive.google.com/open?id=1rqxi90wOr9oHozbM4t4eMsCIuOctSDWmF6PuFjQFWE4</t>
  </si>
  <si>
    <r>
      <rPr/>
      <t xml:space="preserve">CBT for Psychosis
</t>
    </r>
    <r>
      <rPr>
        <color rgb="FF1155CC"/>
        <u/>
      </rPr>
      <t>https://ron-unger-lcsw.ce-go.com/courses/cbt-for-psychosis-an-individualized-recovery-oriented-approach</t>
    </r>
  </si>
  <si>
    <t>online (no timetable)</t>
  </si>
  <si>
    <t>4/25/2025, Approved by AVD</t>
  </si>
  <si>
    <t>647 (For the BIPOC price)</t>
  </si>
  <si>
    <r>
      <rPr/>
      <t xml:space="preserve">Healing the Fragmented Selves of Trauma Survivors (TIST) Level 1 
</t>
    </r>
    <r>
      <rPr>
        <color rgb="FF1155CC"/>
        <sz val="15.0"/>
        <u/>
      </rPr>
      <t>https://therapywisdom.securechkout.net/healing-the-fragmented-selves-647</t>
    </r>
  </si>
  <si>
    <t xml:space="preserve">May 7th, I am willing to pay for it and get reimbursement if this would help expedite it. </t>
  </si>
  <si>
    <t>Clinical staff and training provides CEUs.  Training will help treat trauma in SBMH clients.</t>
  </si>
  <si>
    <t>$140 registration, $468 per diem,  hotel $855, Flight $240, Total $1703.</t>
  </si>
  <si>
    <r>
      <rPr>
        <color rgb="FF1155CC"/>
        <sz val="15.0"/>
        <u/>
      </rPr>
      <t>https://www.lswo2025.com/</t>
    </r>
    <r>
      <rPr/>
      <t>, National Latinx Social Work Immigrant Summit 2025</t>
    </r>
  </si>
  <si>
    <t>Funding is for Rocio Handal Rodriguez, Early Childhood Team</t>
  </si>
  <si>
    <t xml:space="preserve">Conference is June 6-7 </t>
  </si>
  <si>
    <t xml:space="preserve">This conference will have other professionals who identify or work with the Latinx immigrant community. This will help me as a provider as I learn more about what the Latinx community is facing in other areas of the country. </t>
  </si>
  <si>
    <t>$140.00 for registration, $468 per diem, hotel $855, airfare $240</t>
  </si>
  <si>
    <t>https://www.lswo2025.com 
National Latinx Social Work Immigrant Summit 2025</t>
  </si>
  <si>
    <t>Daniela Evangelista, Early Childhood Team</t>
  </si>
  <si>
    <t>04/24/2025</t>
  </si>
  <si>
    <t>This conference will provide professional opportunities on how to work with the Latinx population. This relates to my work because I provide services to the Latinx community.</t>
  </si>
  <si>
    <t>https://www.us-amsa.org/memberships/</t>
  </si>
  <si>
    <t>Multnomah County membership to AMSA (alternative mobile services association)</t>
  </si>
  <si>
    <t>5/2/25 (sorry, just realized our current membership expires on this date)</t>
  </si>
  <si>
    <t>provides all staff free access to annual training</t>
  </si>
  <si>
    <t>5/01/2025, Approved by AVD</t>
  </si>
  <si>
    <r>
      <rPr/>
      <t xml:space="preserve">2025 SPRING African-American Multigenerational Trauma &amp; Implementing Models of Change
</t>
    </r>
    <r>
      <rPr>
        <color rgb="FF1155CC"/>
        <sz val="15.0"/>
        <u/>
      </rPr>
      <t>https://joy-degruy-publications.thinkific.com/checkout</t>
    </r>
    <r>
      <rPr/>
      <t xml:space="preserve">
Username: Rachael.Jackson@outlook.com
Password: Alleyne12</t>
    </r>
  </si>
  <si>
    <t>The Course starts May 6, 2025</t>
  </si>
  <si>
    <t>African-American Multigenerational Trauma &amp; Implementing Models of Change
https://www.joydegruy.com/
https://joy-degruy-publications.thinkific.com/checkout</t>
  </si>
  <si>
    <t>I am not sure.</t>
  </si>
  <si>
    <t>It is advertising a position within A&amp;A</t>
  </si>
  <si>
    <t>No date. it is advertising for a position</t>
  </si>
  <si>
    <t>I have no idea</t>
  </si>
  <si>
    <t>I do not know.</t>
  </si>
  <si>
    <t>Aid and Asist</t>
  </si>
  <si>
    <t>Intern starting in June 2025</t>
  </si>
  <si>
    <t>UNITE 2025: the NAADAC Annual Conference, Innovate, Educate, Elevate</t>
  </si>
  <si>
    <t>October 11–13, 2025</t>
  </si>
  <si>
    <t>Clinical CEU's</t>
  </si>
  <si>
    <r>
      <rPr/>
      <t xml:space="preserve">3 copies
"Uniting Infant Mental Health and the Pyramid Model: Connecting Principles and Practices to Improve Outcomes"
By Lana Shklyar Nenide, M.S., IMH-E®, Kate Sweeney, M.S.W., LCSW-C, Gerard Costa, Ph.D., Neal M. Horen, Ph.D., Robert M. Corso, Ph.D.
Link to purchase: </t>
    </r>
    <r>
      <rPr>
        <color rgb="FF1155CC"/>
        <sz val="15.0"/>
        <u/>
      </rPr>
      <t>https://products.brookespublishing.com/Uniting-Infant-Mental-Health-and-the-Pyramid-Model-P1651.aspx?utm_medium=email&amp;utm_source=exacttarget&amp;utm_campaign=04302025-ec-newproduct-nenide-promo-multi</t>
    </r>
    <r>
      <rPr/>
      <t xml:space="preserve">
</t>
    </r>
  </si>
  <si>
    <t>Early Childhood Mental Health</t>
  </si>
  <si>
    <t>Purchase by May 30, 2025</t>
  </si>
  <si>
    <t>This is a new manual describing our Early Childhood Mental Health services</t>
  </si>
  <si>
    <t>https://drive.google.com/open?id=1o2hXC9pROP1m78DuuGC0-oqvehVQHkMt</t>
  </si>
  <si>
    <t xml:space="preserve">Clinical Supervision (On-line).  </t>
  </si>
  <si>
    <t>4/30/2025</t>
  </si>
  <si>
    <t>After this training, I will be able to provide clinical supervision for County staff.</t>
  </si>
  <si>
    <t>5/7/2025, Approved by AVD</t>
  </si>
  <si>
    <t>maryse.baroum@multco.us</t>
  </si>
  <si>
    <t>Project Management Certificate Course- Dates: July 7-September 12, 2025 https://training.cpe.uoregon.edu/project-management</t>
  </si>
  <si>
    <t>Maryse Baroum</t>
  </si>
  <si>
    <t xml:space="preserve"> July 7-September 12, 2025</t>
  </si>
  <si>
    <t>- Help with coordinating tasks across different systems, strengthen the quality of care by planning and organizing goals for clients efficiently, streamlining repetitive tasks.</t>
  </si>
  <si>
    <t>https://www.nbcdi.org/conference25/</t>
  </si>
  <si>
    <t>October 24-26th 2025</t>
  </si>
  <si>
    <t>The National Black Child Development Institute develops and delivers culturally relevant, and evidence-based resources that respond to the unique strengths and needs of Black children.</t>
  </si>
  <si>
    <t xml:space="preserve">Conference registration-$300
Hotel- $279/night-approx-$950 total with fees
Air-approx-$600 R/T
Baggage Fees, Local Transportation and Food-approx. $500  
Total approx. - $2,350 </t>
  </si>
  <si>
    <t>https://drive.google.com/open?id=1Q2RtlHj-3YWJFi4YJeUjy-fNlm5xwgVs</t>
  </si>
  <si>
    <t>National Black Child Development Institute National Conference</t>
  </si>
  <si>
    <t>October 23-26, 2025</t>
  </si>
  <si>
    <t>This conference will provide updated information and resources to support a target population that we serve.</t>
  </si>
  <si>
    <t>Conference $300</t>
  </si>
  <si>
    <t xml:space="preserve">NBCDI National Conference, Atlanta, GA
Theme: Infinite Possibilities. Tangible Realities. 
October 24–26, 2025 | Signia by Hilton, Atlanta, GA 
Event Details 
What are the official dates of the conference? 
The conference takes place from October 24–26, 2025, in Atlanta, Georgia. 
Where is the conference being held? 
At the Signia by Hilton Atlanta, 159 Northside Drive NW, Atlanta, GA 30313. 
https://app.glueup.com/event/national-black-child-development-institute-national-conference-142208/ </t>
  </si>
  <si>
    <t>Rose-Yvenie Alexandre</t>
  </si>
  <si>
    <t xml:space="preserve">OCTOBER 23-26 </t>
  </si>
  <si>
    <t>centers a justice-based, expansive view of health that includes physical, mental, emotional, spiritual, environmental, and ancestral well-being. teaches how to dismantle harmful systems, advance wellness equity, and build healing-centered environments for Black children and families.</t>
  </si>
  <si>
    <t>$1445.00 USD</t>
  </si>
  <si>
    <r>
      <rPr/>
      <t xml:space="preserve">EMDR Training: Integrating EMDR into your Clinical Practice, 5-Day Intensive.   </t>
    </r>
    <r>
      <rPr>
        <color rgb="FF1155CC"/>
        <sz val="15.0"/>
        <u/>
      </rPr>
      <t>https://emdrconsulting.com/event/atlanta-ga-emdr-training-5-day-intensive-jul-2025/</t>
    </r>
  </si>
  <si>
    <t>John K. Anderson</t>
  </si>
  <si>
    <t>July 14 thru July 18, 2025</t>
  </si>
  <si>
    <t xml:space="preserve">The whole team has already been trained in EMDR, I was unable to attend the first training, so I'm hoping to attend this one. </t>
  </si>
  <si>
    <t>$350 ($175 x 2)</t>
  </si>
  <si>
    <r>
      <rPr>
        <color rgb="FF1155CC"/>
        <u/>
      </rPr>
      <t>https://drive.google.com/open?id=1gXaE_RB_l-5r1Zzw7KPsuSNQjrmQ_z0_</t>
    </r>
    <r>
      <rPr/>
      <t>, https://drive.google.com/open?id=1rosX604RBotfgaXUr7feZtGO_9QMyURm</t>
    </r>
  </si>
  <si>
    <t>I have already taken the necessary classes virtually and am seeking reimbursement.</t>
  </si>
  <si>
    <t>Linda Hudson</t>
  </si>
  <si>
    <t>My position requires me to keep my credentials up-to-date and provide clinical/administrative supervision to my staff.</t>
  </si>
  <si>
    <t>5/8/2025, Approved by AVD</t>
  </si>
  <si>
    <r>
      <rPr/>
      <t xml:space="preserve">https://drive.google.com/open?id=1JDCUClyvMDFkbt8BdICBT-1lMGuWm3xA, </t>
    </r>
    <r>
      <rPr>
        <color rgb="FF1155CC"/>
        <sz val="15.0"/>
        <u/>
      </rPr>
      <t>https://drive.google.com/open?id=1dBi0ftThm2XNJ3ADSgB9H87xeJxyXzP3</t>
    </r>
  </si>
  <si>
    <t>The Premier Trauma Therapy Conference
October 8-11, 2025 | Live in Anaheim, CA, and Online</t>
  </si>
  <si>
    <t>$2000 for training and cost of airfair and lodging (approximately $3200 total?)</t>
  </si>
  <si>
    <t xml:space="preserve">This is webiste for information (https://www.parentchildinteractiontherapy.com/event-details/pcit-training-orlando-october-2025). Parent Child Interaction Therapy training - 3 days in person in October and then 2 days virtually as well as consultation and certification. </t>
  </si>
  <si>
    <t>10/23/2025</t>
  </si>
  <si>
    <t>PCIT is evidence based therapy for younger children.</t>
  </si>
  <si>
    <t>aasha.benton@multco.us</t>
  </si>
  <si>
    <t>https://drive.google.com/open?id=1garjPqWuZJPDPbP4agaYWoPTDFjJEReb</t>
  </si>
  <si>
    <t xml:space="preserve">National Black Child Development Institute Conference </t>
  </si>
  <si>
    <t>Aasha Benton</t>
  </si>
  <si>
    <t>Oct 23-26</t>
  </si>
  <si>
    <t>https://www.pesi.com/sales/tcom_c_002162_traumagriefdualcertification_dedicatedemail-1395664</t>
  </si>
  <si>
    <t>06/23/2025</t>
  </si>
  <si>
    <t>This training will allow me to expand in the many concepts of Trauma and Grief that will support strategies to support client healing.</t>
  </si>
  <si>
    <t>nexus.richardson@multco.us</t>
  </si>
  <si>
    <t xml:space="preserve">Oregon Board of License Social Workers </t>
  </si>
  <si>
    <t xml:space="preserve">Nexus Richardson </t>
  </si>
  <si>
    <t>05/31/25</t>
  </si>
  <si>
    <t xml:space="preserve">CSWA License Renewal </t>
  </si>
  <si>
    <t>5/15/2025, Approved by AVD</t>
  </si>
  <si>
    <t xml:space="preserve">Total not to exceed $2700.  Approx 1950 for venue rental from BIPOC owned business and approx $600 for light breakfast refreshments and lunch for 20 people (not exceeding the local GSA).  Memo has already been approved by Yolanda and sent to Directors Office.  </t>
  </si>
  <si>
    <t xml:space="preserve">June 10th </t>
  </si>
  <si>
    <t xml:space="preserve">End of year all day staff retreat for ECMH to discuss the positive things that have happened through the year, resiliency strategies with current federal administration and upcoming summer projects for year round clinicians to work on.  </t>
  </si>
  <si>
    <t>jamie.christianson@multco.us</t>
  </si>
  <si>
    <t>$380 for early bird registration before June 20th, otherwise standard price after June 20th is $449.</t>
  </si>
  <si>
    <r>
      <rPr>
        <color rgb="FF1155CC"/>
        <u/>
      </rPr>
      <t>https://drive.google.com/open?id=1hwygnSj2D7MENkHl76ZUm0ckPmFd1Ed8</t>
    </r>
    <r>
      <rPr/>
      <t>, https://drive.google.com/open?id=1IkjryH_f88tdf_7FDkzDjAXT4dWpTpng</t>
    </r>
  </si>
  <si>
    <r>
      <rPr/>
      <t xml:space="preserve">Northwest Behavioral Health Institute Annual </t>
    </r>
    <r>
      <rPr>
        <color rgb="FF1155CC"/>
        <u/>
      </rPr>
      <t>Conference</t>
    </r>
    <r>
      <rPr/>
      <t xml:space="preserve">: Educating, Empowering , and Transforming Communities Together </t>
    </r>
  </si>
  <si>
    <t>Jamie Christianson</t>
  </si>
  <si>
    <t>August 20th - 22nd, 2025</t>
  </si>
  <si>
    <t xml:space="preserve">$380 if registered before 6/20 (there may be a group discount) </t>
  </si>
  <si>
    <t xml:space="preserve">NWBHI 50th Annual Conference (Formerly NWIAS) Holiday Inn Portland OR -
Join us for the 50th Annual Northwest Behavioral Health Institute Conference (formerly the Northwest Institute of Addictions Studies – NWIAS), where we celebrate 50 Years of Excellence: Educating, Empowering, &amp; Transforming Communities Together.
Come together with SUD and behavioral health professionals from across the region to learn, connect, and celebrate this milestone event! This year’s conference features engaging sessions on professional ethics, cultural diversity, and leadership development, along with networking opportunities for both new and seasoned professionals.
Hear from expert speakers and gain valuable insights to enhance your practice. Plus, earn essential Continuing Education Units (CEUs) while contributing to the ongoing advancement of our field.
 </t>
  </si>
  <si>
    <t>N. Elizabeth Sanders</t>
  </si>
  <si>
    <t xml:space="preserve">8/20, 8/21 and 8/22 2025 </t>
  </si>
  <si>
    <t xml:space="preserve">Provides CEUs for CADC and QMHA certification </t>
  </si>
  <si>
    <t xml:space="preserve">5/15/2025, Approved by AVD  //  5/15/2025, Received email from Elizabeth Sanders, "it’s not virtual." Sent Overnight T&amp;T Request. ART.  //  </t>
  </si>
  <si>
    <t>https://drive.google.com/open?id=17yxd0RlDKNhDUgznfchNTLFLfOje27iH</t>
  </si>
  <si>
    <t>5/12/2025-8/17/2025</t>
  </si>
  <si>
    <t>Conference registration: $900.00. Register at: https://nlbha.org/2025registration/. Please note that travel expenses to Albuquerque, New Mexico, will also be incurred.</t>
  </si>
  <si>
    <r>
      <rPr/>
      <t xml:space="preserve">I would like to attend the 2025 National Latino Behavioral Health Conference. </t>
    </r>
    <r>
      <rPr>
        <color rgb="FF1155CC"/>
        <sz val="15.0"/>
        <u/>
      </rPr>
      <t>https://nlbha.org/2025conference/</t>
    </r>
  </si>
  <si>
    <t>Antonio Centurion</t>
  </si>
  <si>
    <t>August 7-9, 2025</t>
  </si>
  <si>
    <t>As a clinician, I will benefit from the 2025 National Latino Behavioral Health Conference by gaining access to Continuing Education opportunities, which directly supports my licensure or credentials. Furthermore, I will enhance my ability to provide high-quality care to BHD clients by learning about and expanding my toolbox with "best and most effective interventions and knowledge in Latino behavioral health," including Community-Defined Evidence Practices, Evidence-Based Practices, promising approaches, and traditional healing practices.</t>
  </si>
  <si>
    <t>5/21/2025 Approved by AVD.</t>
  </si>
  <si>
    <t>reginald.stroughter@multco.us</t>
  </si>
  <si>
    <t>NW Behavioral Health Institute annual conference {NWBHI ANNUAL CONFERENCE 2025)</t>
  </si>
  <si>
    <t>Reginald Stroughter</t>
  </si>
  <si>
    <t>5/20/2025, Chatted Reginald to provide me a link to this conference.  //  5/21/2025 Approved by AVD.</t>
  </si>
  <si>
    <t>https://drive.google.com/open?id=1vfFU9ZCAaxu4jonJiUwElAwnk2IRbf3EhV4JOyfZbBQ</t>
  </si>
  <si>
    <t>Reimubursement for RN license</t>
  </si>
  <si>
    <t>Kit O'Boyle</t>
  </si>
  <si>
    <t>6/22/2025</t>
  </si>
  <si>
    <t xml:space="preserve">450 a month for 12 months </t>
  </si>
  <si>
    <t xml:space="preserve">Only requesting for clinical supervision towards LCSW </t>
  </si>
  <si>
    <t>05/19/2025</t>
  </si>
  <si>
    <t>Mark Yueng</t>
  </si>
  <si>
    <r>
      <rPr/>
      <t xml:space="preserve">Perinatal Mood Disorders: Components of Care - ZOOM/ 
 Advanced Perinatal Mental Health Psychotherapy Training - ZOOM/Advanced Perinatal Mental Health Psychopharmacology Training - ZOOM/
Perinatal Loss &amp; Grief https://training.seleni.org/p/mmhi-loss-and-grief
</t>
    </r>
    <r>
      <rPr>
        <color rgb="FF1155CC"/>
        <sz val="11.0"/>
        <u/>
      </rPr>
      <t>https://postpartum.app.neoncrm.com/np/clients/postpartum/event.jsp?event=1870&amp;_gl=1*2veypy*_gcl_au*MTA4Njg2MTYyMC4xNzQ3NDk1NTkw*_ga*MTE0MzgwMjI0NS4xNzQ2NjQ0OTQ4*_ga_BL1P5QJ821*czE3NDc0OTU1OTAkbzIkZzEkdDE3NDc0OTU4MDUkajYwJGwwJGgxNjc0MjQzODgwJGR6SThJc3pvNkY4amxoVm1ER29TRjk5ejJja3AwY3AxMENR</t>
    </r>
    <r>
      <rPr/>
      <t xml:space="preserve">
https://postpartum.app.neoncrm.com/np/clients/postpartum/event.jsp?event=1910&amp;_gl=1*1ows01u*_gcl_au*MTA4Njg2MTYyMC4xNzQ3NDk1NTkw*_ga*MTE0MzgwMjI0NS4xNzQ2NjQ0OTQ4*_ga_BL1P5QJ821*czE3NDc0OTU1OTAkbzIkZzEkdDE3NDc0OTYyOTckajYwJGwwJGgxNjc0MjQzODgwJGR6SThJc3pvNkY4amxoVm1ER29TRjk5ejJja3AwY3AxMENR
</t>
    </r>
    <r>
      <rPr>
        <color rgb="FF1155CC"/>
        <sz val="15.0"/>
        <u/>
      </rPr>
      <t>https://postpartum.app.neoncrm.com/np/clients/postpartum/event.jsp?event=1900&amp;_gl=1*1r5d9hd*_gcl_au*MTA4Njg2MTYyMC4xNzQ3NDk1NTkw*_ga*MTE0MzgwMjI0NS4xNzQ2NjQ0OTQ4*_ga_BL1P5QJ821*czE3NDc0OTU1OTAkbzIkZzEkdDE3NDc0OTk2NDMkajYwJGwwJGgxNjc0MjQzODgwJGR6SThJc3pvNkY4amxoVm1ER29TRjk5ejJja3AwY3AxMENR</t>
    </r>
    <r>
      <rPr/>
      <t xml:space="preserve">
----------------------------------------------------------------------------------------------------------------------------------------
Foundations of Grief Education + Supporting Students Who are Grieving: $255
https://classes.dougy.org/bundles/foundations-of-grief-education-supporting-students-who-are-grieving
-------------------------------------------------------------------------------------------------------------------------------------
Graduate Student and Early Career Professional Workshop $300.00
https://learn.beckinstitute.org/s/product/graduate-student-and-early-career-professional-workshop/01tRk000005unsnIAA
Basics, Depression, Anxiety, and Personality Disorders Bundle $1,463
https://learn.beckinstitute.org/s/product/basics-depression-anxiety-and-personality-disorders-bundle/01t4M000004NKkuQAG
</t>
    </r>
  </si>
  <si>
    <t>06/25/25</t>
  </si>
  <si>
    <t>Will help me better support my clients and their families needs and improve quality of care</t>
  </si>
  <si>
    <t>https://drive.google.com/open?id=1RuxvJl7klOIb7GPDUYUuILLCnC4kxoUO</t>
  </si>
  <si>
    <t>The Brief &amp; Narrative Therapy Summer Intensive</t>
  </si>
  <si>
    <t>August 11th, 2025</t>
  </si>
  <si>
    <t>This training will allow me to do my job more effectively, it will provide me a certificate in Narrative Therapy and CEUs</t>
  </si>
  <si>
    <t>5/23/2025 Approved by AVD.</t>
  </si>
  <si>
    <t>https://drive.google.com/open?id=1ByMFcC2bme3bSYZechFa15c5Mg6ROUEK</t>
  </si>
  <si>
    <t>Board of Licensed Social Workers/CSWA Renewal</t>
  </si>
  <si>
    <t>Erika Larson CSWA Renewal</t>
  </si>
  <si>
    <t>04/21/2025</t>
  </si>
  <si>
    <t>CSWA Renewal</t>
  </si>
  <si>
    <t>This is for an OABHI MSW Intern</t>
  </si>
  <si>
    <t xml:space="preserve"> Fall 2025- Spring 2026</t>
  </si>
  <si>
    <t>Ana H: The request is for a single individual who will be working 16hrs a week, Sept through June. A total of 500 hrs. My understanding is that we have been paying $26/hr for MSW interns.</t>
  </si>
  <si>
    <t>5/23/2025 Placed on hold by AVD. Waiting for additional info.  //  5/23/2025 Approved via chat by AVD.</t>
  </si>
  <si>
    <t>It is currently priced at half off for $124.99 but the training full price is $249.00</t>
  </si>
  <si>
    <t>https://www.pesi.com/item/sexual-trauma-clinical-training-interventions-cultivate-safety-release-shame-nurture-boundaries-125829?utm_term=&amp;utm_campaign=US+%7C+BH+%7C+NB+%7C+N/A+%7C+Dynamic+%7C+Performance+Max+%7C+US+%7C+RET&amp;utm_source=google&amp;utm_medium=cpc&amp;hsa_acc=7268932594&amp;hsa_cam=20947151930&amp;hsa_grp=&amp;hsa_ad=&amp;hsa_src=x&amp;hsa_tgt=&amp;hsa_kw=&amp;hsa_mt=&amp;hsa_net=adwords&amp;hsa_ver=3&amp;gad_source=1&amp;gad_campaignid=20940663585&amp;gbraid=0AAAAABu1_nzNMyQHm11JL0i-nHGfifDyi&amp;gclid=Cj0KCQjwucDBBhDxARIsANqFdr2Ls75NCKLDiwWMZ6fj8Rvhn5U6a46VuZqJhOlzlRUvidTrsS0Z_ZQaAr7yEALw_wcB&amp;gclsrc=aw.ds</t>
  </si>
  <si>
    <t>Sexual Trauma Clinical Training: Interventions to Cultivate Safety, Release Shame, and Nurture Boundaries</t>
  </si>
  <si>
    <t xml:space="preserve">This training is an in depth look at trauma and specific modalities to use when working with youth who have been impacted by sex abuse/assault. This will help me support my clients. </t>
  </si>
  <si>
    <t xml:space="preserve">Flight $157.47 , $936 Per diem, $810 for room, $140 for registration, </t>
  </si>
  <si>
    <r>
      <rPr/>
      <t xml:space="preserve">LSWO Latinx Social Work Immigrant Summit 2025 
</t>
    </r>
    <r>
      <rPr>
        <color rgb="FF1155CC"/>
        <sz val="11.0"/>
        <u/>
      </rPr>
      <t>https://www.emailmeform.com/builder/form/cm2aAKV6tDe7TsP</t>
    </r>
    <r>
      <rPr/>
      <t xml:space="preserve"> </t>
    </r>
  </si>
  <si>
    <t>Alex Garcia</t>
  </si>
  <si>
    <t>June 5th and 6th</t>
  </si>
  <si>
    <t xml:space="preserve">By helping gain knowledge on bringing culturally appropriate interventions and strategies in my work.  </t>
  </si>
  <si>
    <t>Darcell Dance Preschool For All</t>
  </si>
  <si>
    <t xml:space="preserve">Darcell Dance LCSW </t>
  </si>
  <si>
    <t>larry.turner@multco.us</t>
  </si>
  <si>
    <t>$3200 for airfare ,motel, taxi, food, conference registration</t>
  </si>
  <si>
    <t>https://www.appa-net.org/institutes/2025-NYC/</t>
  </si>
  <si>
    <t>American Probation and Parole Association’s (APPA) 50th Annual Training Institute</t>
  </si>
  <si>
    <t>Larry Turner</t>
  </si>
  <si>
    <t xml:space="preserve"> August 24 – 27, 2025</t>
  </si>
  <si>
    <t xml:space="preserve">Dear Larry Turner:
Congratulations! Your session submission for the American Probation and Parole Association’s (APPA) 50th Annual Training Institute, Turning up the H.E.A.T. on Culturally Specific Supervision, has been selected for a 90-minute in-person presentation! We hope you are able to join us in New York, NY, August 24 – 27, 2025, to present to a diverse group of community corrections professionals. Your session was chosen because it meets key objectives of APPA – providing relevant and practical information; meeting attendees’ expectations; and maximizing audience participation. </t>
  </si>
  <si>
    <t>American Parole Probation Association</t>
  </si>
  <si>
    <t>5/27/2025, Chatted Larry to request link, ART. //  5/28/2025 Approved by AVD.</t>
  </si>
  <si>
    <t>$380 if registered by early bird deadline</t>
  </si>
  <si>
    <r>
      <rPr/>
      <t xml:space="preserve">NWBHI Conference link </t>
    </r>
    <r>
      <rPr>
        <color rgb="FF1155CC"/>
        <sz val="11.0"/>
        <u/>
      </rPr>
      <t>https://2025nwbhiconference.nwbhinstitute.org/event/47de7e7a-dbd8-4ed0-b6ff-96f8bb866af2/registration-fees</t>
    </r>
  </si>
  <si>
    <t>My self -Trina Connolly-Fairchild PATH Lead</t>
  </si>
  <si>
    <t>NBWHI Conference August 20-22. EARLY BIRD Cutoff June 11</t>
  </si>
  <si>
    <t>NWBHI northwest behavioral health institute (formerly NWIAS)</t>
  </si>
  <si>
    <t>5/28/2025 Approved by AVD.</t>
  </si>
  <si>
    <t>$380 (Early Bird Group Discount)  -or-  $400 (Standard Price Group Discount)</t>
  </si>
  <si>
    <t>NW Behavioral Health Institute Annual Conference  (https://2025nwbhiconference.nwbhinstitute.org/event/47de7e7a-dbd8-4ed0-b6ff-96f8bb866af2/summary)</t>
  </si>
  <si>
    <t>Kimber Sieffert</t>
  </si>
  <si>
    <t>August 20th - 22nd 2025</t>
  </si>
  <si>
    <r>
      <t xml:space="preserve">$3,200.00 to be able to attend the American Probation and Parole Association’s (APPA) 50th Annual </t>
    </r>
    <r>
      <rPr>
        <rFont val="verdana, sans-serif"/>
        <color rgb="FF1155CC"/>
        <u/>
      </rPr>
      <t>Training</t>
    </r>
    <r>
      <rPr>
        <rFont val="verdana, sans-serif"/>
        <color rgb="FF444444"/>
      </rPr>
      <t xml:space="preserve"> Institute, in New York, NY., August 24 - 27, 2025.</t>
    </r>
  </si>
  <si>
    <t xml:space="preserve">Aid and Assist </t>
  </si>
  <si>
    <t>7/23/25</t>
  </si>
  <si>
    <t>5/27/2025, received chat from Astra, "I made the request for 1740 but can I make it for 1860 please?" ART updted amount.  //   5/28/2025 Approved by AVD.  //  5/28/2025, Received email from Astra, "Would I be able to get that amended to the updated amount?"  Response from AVD, "The overall figure of $1884 is approved from a BHWI grant standpoint." ART uipdated amount.</t>
  </si>
  <si>
    <t>lynn.brown@multco.us</t>
  </si>
  <si>
    <t>Full funding $175</t>
  </si>
  <si>
    <t>https://drive.google.com/open?id=1TPGbleybHNg-yfFNB-cilLgTnXK6c-gV</t>
  </si>
  <si>
    <t>No training location. Certification renewal reimbursement</t>
  </si>
  <si>
    <t>Malinda Brown</t>
  </si>
  <si>
    <t>5/30/2025 Approved by AVD.</t>
  </si>
  <si>
    <t>07/23/25</t>
  </si>
  <si>
    <t xml:space="preserve">Astra 5/30/25 - Please see attached for the completed memo. Please let me know what else I need to do. I do want to highlight that this retreat is primarily to process previous trauma in this program so while we will discuss program topics, we will not be engaging in any trainings. I will focus more on team building and recognizing each individual in their strengths to create more harmonious relationships within the team. Just clarifying this in case anyone is wondering why we do not have any guest speakers or trainings scheduled this year.  
Here is a tentative agenda:
RETREAT 
9:00-9:30 Eat Breakfast 
9:30-10:30 Retreat follow up from last year 
10:30-10:45 break 
10:45-11:15 Human Bingo 
11:15-11:45 Jeopardy 
11:45-12:00 Recognitions
12:00-2:00 EAT LUNCH AND PLAY GOLF! </t>
  </si>
  <si>
    <t>5/30/2025 Approved by AVE with added note in approval email: "funding is dependent upon her retreat proposal being approved by the director's office."</t>
  </si>
  <si>
    <t>https://therapistdevelopmentcenter.com/?srsltid=AfmBOoqqS7_0-pByEtW5jTraianBw8cQWxPmDEVvtpJ0nDN6zqGhzSjJ</t>
  </si>
  <si>
    <t>Y'Kirshia Davis</t>
  </si>
  <si>
    <t>https://drive.google.com/open?id=1pp13-UyUX20QYWBC5Mo0jVHya4Xaqo4l</t>
  </si>
  <si>
    <t>Testing for QMHA Certification
MHACBO Credentials</t>
  </si>
  <si>
    <t>Charli Isidro</t>
  </si>
  <si>
    <t>QMHA 1 Credentials
The funding will be used to pay for testing required for the certification</t>
  </si>
  <si>
    <t xml:space="preserve">$286 for "LCSW active renewal" </t>
  </si>
  <si>
    <t xml:space="preserve">N/A </t>
  </si>
  <si>
    <t xml:space="preserve">I am requesting that my LCSW license renewal fee be paid through the grant. </t>
  </si>
  <si>
    <t>6/3/2025 Approved by AVD.</t>
  </si>
  <si>
    <t xml:space="preserve">$900 for the conference registration plus hotel/meals/transportation </t>
  </si>
  <si>
    <t>2025 National Latino Behavioral Health Conference. Albuquerque, New Mexico. https://nlbha.org/2025conference/</t>
  </si>
  <si>
    <t>Self- Erika Mosqueda Franco</t>
  </si>
  <si>
    <t>I don't know. Registration, flights, hotel, and food.</t>
  </si>
  <si>
    <t>https://drive.google.com/open?id=1HC6Cyyn9uF7hG6NWnXr5aqn4-frpxJmg</t>
  </si>
  <si>
    <r>
      <rPr/>
      <t xml:space="preserve">2025 National Latino Behavioral Health </t>
    </r>
    <r>
      <rPr>
        <color rgb="FF1155CC"/>
        <sz val="11.0"/>
        <u/>
      </rPr>
      <t xml:space="preserve">Conference </t>
    </r>
    <r>
      <rPr/>
      <t xml:space="preserve">in beautiful Albuquerque, New Mexico, from August 7 to 9, 2025! </t>
    </r>
  </si>
  <si>
    <t>Erika Larson/ 2025 National Latino Behavioral Health Conference</t>
  </si>
  <si>
    <t xml:space="preserve"> National Latino Behavioral Health Conference in beautiful Albuquerque, New Mexico, from August 7 to 9,2025</t>
  </si>
  <si>
    <t>will provide the best and most effective interventions and knowledge in Latino behavioral health, including Community-Defined Evidence Practices, Evidence-Based Practices, promising approaches, and traditional healing practices, to expand and strengthen the toolbox of methods, programs, and practices serving Latino communities across the U.S.</t>
  </si>
  <si>
    <t>6/10/2025 Approved by AVD.</t>
  </si>
  <si>
    <r>
      <rPr>
        <color rgb="FF1155CC"/>
        <sz val="11.0"/>
        <u/>
      </rPr>
      <t>https://www.vibrationalsoundassociation.com/vst-vibrational-sound-therapy-hybrid-certification-course-seattle-wa-september-18-20-2025/</t>
    </r>
    <r>
      <rPr/>
      <t xml:space="preserve">
Although this training is in Seattle, I am willing to pay for my own transportation and accommodations. Unfortunately, the training offered in Portland this year overlaps with my training on Epic that I need to attend after starting the new school year</t>
    </r>
  </si>
  <si>
    <t>September 18-20</t>
  </si>
  <si>
    <t xml:space="preserve">This training in Vibrational Sound Therapy will help me develop tools that I can use with my clients to support them on their healing path. Research has shown that Sound Therapy is a powerful tool for relaxation and offer numerous benefits when used alongside other therapeutic interventions. </t>
  </si>
  <si>
    <t>$1,100: the cost of the training; since the training is 2 week long, if funds for gas or food is available I would like to request that as well ($150)- for a total of $1,250.</t>
  </si>
  <si>
    <t>Peer Wellness Specialist Training: Portland, Or. I will be driving myself in my own vehicle.  https://www.mhaoforegon.org/current-trainings</t>
  </si>
  <si>
    <t>Cynthia Lambert</t>
  </si>
  <si>
    <t>8/4/25-8/15/25</t>
  </si>
  <si>
    <t>The BHRC is peer led program, this training will give me a deeper perspective in the peer led model and I will become a certified peer wellness specialist alongside our partners and providers at the BHRC.</t>
  </si>
  <si>
    <t>6/5/2025 Approved by AVD.</t>
  </si>
  <si>
    <t>Glen LaFollette</t>
  </si>
  <si>
    <t>http://www.asianamericanmentalhealth.org/</t>
  </si>
  <si>
    <t xml:space="preserve">10/1/2025 Asian Mental Health Conference </t>
  </si>
  <si>
    <t>anakaren.gutierrez@multco.us</t>
  </si>
  <si>
    <t>https://drive.google.com/open?id=1PPjDGS0AtirJBr_VVswIPbMtGqGrogK6</t>
  </si>
  <si>
    <t>PTI EMDR 6-Day Basic Training (Virtual)</t>
  </si>
  <si>
    <t xml:space="preserve">Anakaren Gutierrez </t>
  </si>
  <si>
    <t>remote training September 3-5 &amp; October 1-3, 2025 ​</t>
  </si>
  <si>
    <t>EMDR training will enhance my ability to support vulnerable APS behavioral health clients by providing trauma-informed interventions that address the root causes of emotional distress, improve stabilization, and increase engagement in safety planning. This will directly improve quality of care by equipping me to help clients process trauma and reduce acute risk behaviors.</t>
  </si>
  <si>
    <t>6/13/2025 Approved by AVD</t>
  </si>
  <si>
    <t>approximately $30 or less/depends where it is purchased</t>
  </si>
  <si>
    <t>https://drive.google.com/open?id=1clbofJmmTufd_QN1z6W9ytnG-Mwrn-Am</t>
  </si>
  <si>
    <t xml:space="preserve">n/a   I am requesting a book  the spiral bound DSM-5_TR desk reference </t>
  </si>
  <si>
    <t>6/11/2025</t>
  </si>
  <si>
    <t>In need of the new DSM 5-TR for assessments and diagnosing</t>
  </si>
  <si>
    <t>I can share the book as needed with staff.</t>
  </si>
  <si>
    <t>megan.crouch@multco.us</t>
  </si>
  <si>
    <t>$15,000 if my summer course does not count then $14,000.</t>
  </si>
  <si>
    <t>https://drive.google.com/open?id=1nUpD5vSl8Dofq8JOyWh1fewIZ-zimjiH</t>
  </si>
  <si>
    <t xml:space="preserve">Graduate School for Master in Social Work working towards QMHP- I can provide a list if needed but I attached my transcript. </t>
  </si>
  <si>
    <t>Megan Crouch</t>
  </si>
  <si>
    <t>I have been enrolled in the Masters of Social Work program at Portland State University since 9/26/23.  I was informed to write in that I was not aware that this was an option for me to apply on an individual basis and to request reimbursement from the beginning of 2024-2025 fiscal year. My start date was 8/4/2020. I am requesting reimbursement back to summer 2024 which course was from 6/24/24-8/18/2024. if you can't go back that far due to it being 6 days before 7/1/24, I would like to request reimbursement for all courses taken since 9/30/24-until present. I can provided a list of each term start and end date if needed </t>
  </si>
  <si>
    <t>Furthering my education/skills set to becoming a QMHP, I will be able to advance and continue working with vulnerable populations. Becoming a QMHP will allow me to have more opportunities to make a bigger impact as a QMHP.</t>
  </si>
  <si>
    <t>6/12/2025 Email from Megan, " the $15,000 was not filled out correctly and there were some errors. That is why I submitted the other three as I broke it down per quarter. " ART Cancelled.</t>
  </si>
  <si>
    <t>https://drive.google.com/open?id=1QcKteNQOQPqLPI0A6mmyvmcLGdCpKZVi</t>
  </si>
  <si>
    <t xml:space="preserve">Term: Fall 2024 Quarter
SW 511 GR PRACTICUM SEM &amp;
PLACEMENT
SW 530 GR SW PRACT IND/FAM I
THEORY&amp;ENG
SW 571 GR SUB USE ABUSE ADDICT &amp; 
SW PRAC
</t>
  </si>
  <si>
    <t>due to being unaware this grant is open to individuals and not just for the team, I was encouraged to request backdate payment for this. courses. 9/30/24-12/14/2024 courses.</t>
  </si>
  <si>
    <t>Earning my QMHP master's in social work will enhance my ability to provide trauma-informed, evidence-based care to clients with complex behavioral health needs. This will strengthen our department’s capacity to deliver high-quality, client-centered services and improve overall outcomes.</t>
  </si>
  <si>
    <t>https://drive.google.com/open?id=1PPKGEh0IWrf_lESdTjjH-p6j6bz0xRM8</t>
  </si>
  <si>
    <t>Winter 2025
PRACTICUM SEM &amp; PLACEMENT
SW 523 HLTH CARE POL &amp; PROG 
SW 531 GR IND/FAM II THEO ASSESS</t>
  </si>
  <si>
    <t>due to being unaware this grant is open to individuals and not just for the team, I was encouraged to request backdate payment for these 1/8/25-3/23/2024 - Winter 2025</t>
  </si>
  <si>
    <t>https://drive.google.com/open?id=1Rl0adtEzbpVkNfudwB0ZQ1mzH7N4c00-</t>
  </si>
  <si>
    <t>Spring 2025
SW 511 GR PRACTICUM SEM &amp; PLACEMENT
SW 515 GR SKILLS FOR HELPING-GROUPS
SW 570 GR BRIEF BEHAV INTRVNT &amp; TREAT
portland state university masters in social work program for QMHP</t>
  </si>
  <si>
    <t>due to being unaware this grant is open to individuals and not just for the team, I was encouraged to request backdate payment for these 3/31/25-6/14/25</t>
  </si>
  <si>
    <t>Earning my QMHP master's in social work will enhance my ability to provide trauma-informed, evidence-based care to clients with complex behavioral health needs. This will strengthen our department’s capacity to deliver high-quality, client-centered services and improve overall outcomes</t>
  </si>
  <si>
    <t>yildiz.keister@multco.us</t>
  </si>
  <si>
    <t>https://drive.google.com/open?id=1fj5FXin_iqt75TH8Jd4LGY1qmjyLvh8H</t>
  </si>
  <si>
    <t xml:space="preserve"> 2025 Somatic Trauma Healing Summit: Advanced Methods in Body-Based Therapies</t>
  </si>
  <si>
    <t>EASA</t>
  </si>
  <si>
    <t>June 28 and 29 of 2025</t>
  </si>
  <si>
    <t>1 person</t>
  </si>
  <si>
    <t>6/30/2025, Approved by AVD.</t>
  </si>
  <si>
    <t xml:space="preserve">I am registered as a bright morning member so not sure if I have to pay total cost of $995 for this workshop.  I will need hotel and flight accomodations as well.  My p-card will need to be updated. </t>
  </si>
  <si>
    <t>https://www.brightmorningteam.com/workshops#trainings</t>
  </si>
  <si>
    <t>Bright Morning; The Art of Transformational Coaching in Minneapolis, MN</t>
  </si>
  <si>
    <t xml:space="preserve">Leticia Ochoa Fowler </t>
  </si>
  <si>
    <t>Sept. 15-18, 2025</t>
  </si>
  <si>
    <t>This training will help me become a better coach at my current position of lead/coach.  The training is on transformational coaching.  How to support and lead care coordinators in a proficient manner.</t>
  </si>
  <si>
    <r>
      <rPr/>
      <t xml:space="preserve">2025 Innovations in Psychotherapy The Premier Trauma Therapy Conference </t>
    </r>
    <r>
      <rPr>
        <color rgb="FF1155CC"/>
        <sz val="11.0"/>
        <u/>
      </rPr>
      <t>https://innovationsinpsychotherapy.com/?refID=bh_s_002111_dedicatedemail_060525&amp;utm_campaign=10751889-002111&amp;utm_medium=email&amp;_hsenc=p2ANqtz--XYrBpYUUBffevJxVJSIi2IqL9nIpu-DD1YvDhR0EvxPdhodcov7VspuT1UeRy9qlb57w4cCeUwQcxrL8FpaEMrla-l9MffMLRXx5wdTYpcnv616A&amp;_hsmi=365150900&amp;utm_content=365150900&amp;utm_source=hs_email</t>
    </r>
  </si>
  <si>
    <t xml:space="preserve">BHCC/Alex Perez-Perez </t>
  </si>
  <si>
    <t>October 8-11</t>
  </si>
  <si>
    <t>6/16/2025 Approved by AVD.</t>
  </si>
  <si>
    <t>https://drive.google.com/open?id=1WCeI2YGqfPS-jj4VEP_KEsyaWUE7FD2b</t>
  </si>
  <si>
    <t>Reimbursement of Licensure Fees</t>
  </si>
  <si>
    <t xml:space="preserve">Otoniel Calderon </t>
  </si>
  <si>
    <t>06/12/2025</t>
  </si>
  <si>
    <t>$10,000 (This will cover payment to practitioners, retreat space, meals and self-care bags)</t>
  </si>
  <si>
    <t>School Based Mental Health team</t>
  </si>
  <si>
    <t>09/08/2025</t>
  </si>
  <si>
    <t>This retreat will directly support licensed and credentialed providers to connect and build morale as a team, to set team goals related to professional development for the school year, to learn different ways of Cultural Healing to help improve our cultural responsiveness as a team, to engage in staff wellness activities to support health and wellness of our staff and to develop and implement a culture of feedback.</t>
  </si>
  <si>
    <t>https://www.amazon.com/gp/cart/view.html?ref_=nav_cart</t>
  </si>
  <si>
    <t xml:space="preserve">Training material </t>
  </si>
  <si>
    <t xml:space="preserve">Mental health text and training </t>
  </si>
  <si>
    <t>6/20/2025 Chatted Nexus to requet link to training material. ART. // Link does not work, asked for a screenshot, 7/2/2025 , ART.  //  7/2/2025, Approved by AVD.</t>
  </si>
  <si>
    <t xml:space="preserve">none needed, reimbursement </t>
  </si>
  <si>
    <t>Anakaren Gutierrez, APS BH</t>
  </si>
  <si>
    <t xml:space="preserve">reimbursement for CSWA certification </t>
  </si>
  <si>
    <t xml:space="preserve">payment/reimbursement of credential/licensure </t>
  </si>
  <si>
    <t>6/27/2025, Approved by AVD.</t>
  </si>
  <si>
    <t>https://drive.google.com/open?id=1l2GZ0qTck9WBTgS9QUvZ_1rJjM00YbJp, https://drive.google.com/open?id=190vMZdS7oPomoGGlA77eGNsyJA9U2RbM</t>
  </si>
  <si>
    <t>Portland State University Masters of Social Work Program. Summer 2024 course
APPLIED PROGRAM EVALUATION SW</t>
  </si>
  <si>
    <t>due to being unaware this grant is open to individuals and not just for the team, I was encouraged to request backdate payment for these06/24/2024 - 08/18/2024- Summer 2024. APPLIED PROGRAM EVALUATION SW</t>
  </si>
  <si>
    <t>6/18/2025, Approved by AVD.</t>
  </si>
  <si>
    <t>https://drive.google.com/open?id=1SXDT7M9DwD5BQEI16VGxMjz6clLndwtA, https://drive.google.com/open?id=14ESt-Z5BmYp5-dbf6K_oKZiJkPgDZAt2</t>
  </si>
  <si>
    <t>Portland State University Masters of Social Work Program:
Adult SW Perspective Mental Health Disorder DSM Class
Advanced Practicum Course
Advanced Clinical Practice Course</t>
  </si>
  <si>
    <t>9/29/2025 - 12/13/2025</t>
  </si>
  <si>
    <t>https://drive.google.com/open?id=19pJh1L_aET4X-18kXILKFbKrVDwnL9Wh</t>
  </si>
  <si>
    <t>Suicide Death Investigation Course 101, live remote</t>
  </si>
  <si>
    <t>20-21 Aug 2025</t>
  </si>
  <si>
    <t>https://drive.google.com/open?id=1ROIToNSOk5ylKj89pxLjFK2ov8SoDmg0</t>
  </si>
  <si>
    <t>Fall 2025 Series Advanced Integrative Training Group</t>
  </si>
  <si>
    <t xml:space="preserve">September - January on the first Thursday of the month from 9 am to 11 am. </t>
  </si>
  <si>
    <t>$1,599 – $1,699</t>
  </si>
  <si>
    <t>https://drive.google.com/open?id=1EB4v-RvvEWWWDjr9JYpEovjPXg3il-3a</t>
  </si>
  <si>
    <t>EMDR 6-Day Basic Training (Virtual)</t>
  </si>
  <si>
    <t>August 18-20 2025 and September 15-17 2025</t>
  </si>
  <si>
    <t>https://drive.google.com/open?id=1p6gOSsbTvGBbBwpnKnoBDnk_wgcLPY34</t>
  </si>
  <si>
    <t xml:space="preserve">Purchase of 3 DSMs from American Psychiatric Association. If this request is approved, my supervisor has approved use of my p-card, with billing to the BHWI Grant code. If approved, would this method of payment be okay? </t>
  </si>
  <si>
    <t>Laurel Wonder, Darcy Kennedy, Steph Spann</t>
  </si>
  <si>
    <t>08/15/2025</t>
  </si>
  <si>
    <t xml:space="preserve">I am requesting the purchase of three Diagnostic Statistical Manuals, Versopm 5 - Text Review (DSM-5-TR). Myself and other staff have begun completing Pre-Adminssion Screening and Resident Review Level 2 (PASRR) assessments for Multnomah County. In order to complete these assessments we are required to list information from the DSM-5-TR. The only DSM-5-TR available in the office are the DSM 4, which contains many differences from the updated version. Laurel, Darcy, and Steph will be the main users of the DSM-5-TR and other staff who have agreed to complete the PASRR Level 2s can borrow the books from these staff. </t>
  </si>
  <si>
    <t>7/8/2025, Approved by AVD.</t>
  </si>
  <si>
    <r>
      <rPr/>
      <t xml:space="preserve">https://drive.google.com/open?id=1gJeuKaty72LV0sr2sC4X4U25tvg7SXuA, </t>
    </r>
    <r>
      <rPr>
        <color rgb="FF1155CC"/>
        <sz val="11.0"/>
        <u/>
      </rPr>
      <t>https://drive.google.com/open?id=1Unlk85QwnpP52isTUqBUN2gU-AE4zXUN</t>
    </r>
  </si>
  <si>
    <t xml:space="preserve">George Town University Online Certificate in Infant &amp; Early Childhood Mental Health Consultation
</t>
  </si>
  <si>
    <t>August 15, 2025</t>
  </si>
  <si>
    <t xml:space="preserve">$299 for registration   (no additional hotel or transportation expenses) </t>
  </si>
  <si>
    <t>https://drive.google.com/open?id=1TN9GLd_0HpH-pVZXuezdkIAKPqYXBD1l</t>
  </si>
  <si>
    <r>
      <rPr/>
      <t xml:space="preserve">Recovery Community Summit / Holiday Inn Columbia Riverfront </t>
    </r>
    <r>
      <rPr>
        <color rgb="FF1155CC"/>
        <sz val="11.0"/>
        <u/>
      </rPr>
      <t>https://recoverycommunitysummit.org/</t>
    </r>
    <r>
      <rPr/>
      <t xml:space="preserve">   Note:  I attached last year's program to this Google Form.</t>
    </r>
  </si>
  <si>
    <t>7/15-7/16</t>
  </si>
  <si>
    <t>CSWA - Active Renewal        $66.00
CSWA - Renewal Late Fee        $50.00 ($116.00)</t>
  </si>
  <si>
    <t>Renewal of CSWA License and late fee (CSWA - Active Renewal	$66.00
CSWA - Renewal Late Fee	$50.00)</t>
  </si>
  <si>
    <t>Carla Canseco-Maca (CARES NW, Behavioral Health Dept)</t>
  </si>
  <si>
    <t>7/10/2025, Approved by AVD</t>
  </si>
  <si>
    <t>https://drive.google.com/open?id=1wTFL4SIdcgHz6Dza0MvigkZMlxaY5baC</t>
  </si>
  <si>
    <t>"What to tell the children"</t>
  </si>
  <si>
    <t>CARES NW (Carla Canseco-Maca)</t>
  </si>
  <si>
    <t>07/12/2025 via Zoom</t>
  </si>
  <si>
    <t>During these moments in the US, this will improve the quality of care while meeting with parents/caregivers at CARES NW</t>
  </si>
  <si>
    <t>25 books at $104.99 is $2624.75</t>
  </si>
  <si>
    <t>https://a.co/d/2JzHFyo</t>
  </si>
  <si>
    <t>All clinicians in ECMH programs</t>
  </si>
  <si>
    <t>Books are needed by end of Aug</t>
  </si>
  <si>
    <t>This request is for the Diagnostic Classification (DC:05) book for each ECMH clinician and supervisor which captures new findings relevant to diagnosis in young children and addresses unresolved issues in ECMH. DC:05 is designed to help mental health clinicians recognize mental health and developmental challenges in infants and young children, through 5 years old; understand that relationships and psychosocial stressors contribute to mental health and developmental disorders and incorporate contextual factors into the diagnostic process; use diagnostic criteria effectively for classification, case formulation, and intervention; and facilitate research on mental health disorders in infants and young children.  These books will also be used during a series of trainings the clinicians are taking and will further help their professional development in ECMH</t>
  </si>
  <si>
    <t>approx 25</t>
  </si>
  <si>
    <t>3 interns at $24/hour at 16 hours per week for 37 weeks = TOTAL $42,624</t>
  </si>
  <si>
    <t>3 paid interns for Early Childhood Mental health</t>
  </si>
  <si>
    <t>Starting late sept/early oct</t>
  </si>
  <si>
    <t>I am not sure how to answer this question.  This request is for our 3 EC interns (2 msw and 1 bsw) to be paid through the grant for the upcoming school year.</t>
  </si>
  <si>
    <t>3 paid interns for the 25-26 school year</t>
  </si>
  <si>
    <t>idalia.vega.pintor@multco.us</t>
  </si>
  <si>
    <t>MHACBO-QMHA test</t>
  </si>
  <si>
    <t>Idalia Vega Pintor</t>
  </si>
  <si>
    <t>School Based Mental Health</t>
  </si>
  <si>
    <t>08/25/25</t>
  </si>
  <si>
    <t>Catering for SBMH staff returning from Summer Layoff. Re-connect, review program changes, and upcoming trainings and conversion to Epic from Evolv.</t>
  </si>
  <si>
    <t xml:space="preserve">Registration $650; room $298/night x 5-6 nights; round trip flight PDX-Chicago
Registration opens 7/31/25, hotel rooms able to book now </t>
  </si>
  <si>
    <r>
      <rPr/>
      <t xml:space="preserve">AACAP Annual Meeting in Chicago: </t>
    </r>
    <r>
      <rPr>
        <color rgb="FF1155CC"/>
        <u/>
      </rPr>
      <t>https://aacap.confex.com/aacap3/2025/meetinginfo.cgi</t>
    </r>
  </si>
  <si>
    <t>Oct 20-25, 2025</t>
  </si>
  <si>
    <t>Annual professional meeting that provides CMEs and updates on clinical information.</t>
  </si>
  <si>
    <t>$250.00 single day admission (thursday 8/21/25 only)</t>
  </si>
  <si>
    <t>https://2025nwbhiconference.nwbhinstitute.org/event/47de7e7a-dbd8-4ed0-b6ff-96f8bb866af2/summary</t>
  </si>
  <si>
    <t>NW Behavioral Health Institute Annual Conference - Holiday Inn Waterfront, Portland Oregon</t>
  </si>
  <si>
    <t>7/10/2025, Received email from Erica, date of conference is 8/21/2025.  //  7/10/2025, Approved by AVD</t>
  </si>
  <si>
    <t>https://aas.mycrowdwisdom.com/cw/course-details?entryId=14494504&amp;itemId=716304&amp;subscribed=false</t>
  </si>
  <si>
    <t>Mayra Hernandez</t>
  </si>
  <si>
    <t>7/21/2025, Approved by AVD.</t>
  </si>
  <si>
    <t>none</t>
  </si>
  <si>
    <t>Helping People Achieve Their Full Health Potential</t>
  </si>
  <si>
    <t>Aug 12,2025</t>
  </si>
  <si>
    <r>
      <rPr>
        <rFont val="Arial"/>
        <color theme="1"/>
      </rPr>
      <t>7/17/2025, Per A Saraceno, "</t>
    </r>
    <r>
      <rPr>
        <rFont val="Arial"/>
        <b/>
        <color theme="1"/>
        <sz val="11.0"/>
      </rPr>
      <t xml:space="preserve">This is a free virtual training </t>
    </r>
    <r>
      <rPr>
        <rFont val="Arial"/>
        <color theme="1"/>
      </rPr>
      <t>and I was told I had to fill this out- sorry for your extra work. Please cancel"</t>
    </r>
  </si>
  <si>
    <t>EMDRIA Conference 2025 - https://emdriaconference.com/</t>
  </si>
  <si>
    <t>09/12/25-09/14</t>
  </si>
  <si>
    <t xml:space="preserve">Our team was recently training in EMDR. This conference will provide advanced training on EMDR practices to enhance our trauma therapy skills. </t>
  </si>
  <si>
    <t>7/16/2025, ART asked Jerome for complete $ amount for round airfaire trip, suggested $3K.  //  7/17/2025, Received response back from Jerome, "Yes, thank you for your support." Updated original $680.00 amount o $3K to cover all travel and training costs. //  7/21/2025, Approved by AVD.</t>
  </si>
  <si>
    <t>John Anderson</t>
  </si>
  <si>
    <t>09/12/25-09/14/25</t>
  </si>
  <si>
    <t xml:space="preserve">Our team was recently trained in EMDR. This conference will provide advanced training on EMDR practices to enhance our trauma therapy skills. </t>
  </si>
  <si>
    <t>https://graduate.lclark.edu/calendars/events/event/358652-an-introduction-to-internal-family-systems-therapy-on</t>
  </si>
  <si>
    <t>An Introduction to Internal Family Systems Therapy</t>
  </si>
  <si>
    <t>11/14/25</t>
  </si>
  <si>
    <t>7/21/2025, ART requested link.</t>
  </si>
  <si>
    <t>https://drive.google.com/open?id=14ZxYWHi1FfuVj4bpCgxiRFbDlQr64Flr</t>
  </si>
  <si>
    <t>28-29 of June of 2025</t>
  </si>
  <si>
    <t>just myself</t>
  </si>
  <si>
    <t>7/22/2025, Approved by AVD.</t>
  </si>
  <si>
    <t>($4,000.00 total) $1,040 for conference and pre-conference attendance
Estimated lodging: $1,145 for lodging at host hotel (special rate here: https://book.passkey.com/event/50910935/owner/1463968/landing) - that's lodging for the night previous to the pre-conference and the night after the conference ends
$948 for lodging at nearby hotel (https://www.marriott.com/en-us/hotels/indfd-fairfield-inn-and-suites-indianapolis-downtown/overview/) - that's lodging for the night previous to the pre-conference and the night after the conference
Estimated flight (from Google Flights):$350 (departing 09/27, returning 10/02)
Please note re: flights: I have mobility issues and use a wheelchair at the airport (which will also need to be requested through the airline at booking); because of this, it's important that, if there is a layover, it be long enough to allow time for the wheelchair service person to meet me and transport me to the connecting flight (when I book for myself, for domestic layovers, I generally allow two hours to be safe)
I am unsure how to estimate cab fees to / from airport
Thank you!</t>
  </si>
  <si>
    <t>https://drive.google.com/open?id=1mfjgippEZFBuYhPzzifxE0s-3vExBQAb</t>
  </si>
  <si>
    <t>CrisisCon: https://www.crisiscon.org/; 
Registration form: https://whova.com/portal/registration/5C8I2NO2G9lN3sFFe7Ru/
i've uploaded a PDF of the two things i'm applying for funding to register for (the pre-conference presentation as well as the conference itself).</t>
  </si>
  <si>
    <t>09/27/25 (day before conference, which starts at 12p on 09/28, so arriving the day before is important)) to 10/02/25 (day after conference, which ends at approx 1p on 10/01))</t>
  </si>
  <si>
    <t>Because they are not sure if there will be CEUs as of yet, I'm answering this question. This is for CrisisCon, a conference related to crisis work. As a Program Supervisor at Behavioral Health Call Center, I will be able to use the information I've learned from the conference / preconference seminar to provide info to our team here at BHCC related to all I've learned in order that we can increase the quality and the value of the support we provide to our community members.</t>
  </si>
  <si>
    <t>7/22/2025, Approved by AVD.  //  7/22/2025, Received eamil from Natasha, "My apologies, but this is my first time using BHWi grant funds for travelling. I noticed that the email reads only the total for the conference itself, but not the estimated costs I gave for lodging and plane tickets. Is this something that is added on after I submit the Overnight Travel and Training Request form?"  //  ART updated from $1K to 4K to cover ALL costs.</t>
  </si>
  <si>
    <t>melody.field@multco.us</t>
  </si>
  <si>
    <t xml:space="preserve">QMHP-C testing </t>
  </si>
  <si>
    <t>Melody Field (self)</t>
  </si>
  <si>
    <t>07/03/2025</t>
  </si>
  <si>
    <t>https://www.oregon.gov/blsw/Pages/CSWAInformation.aspx</t>
  </si>
  <si>
    <t>07/22/2025</t>
  </si>
  <si>
    <t>CSWA</t>
  </si>
  <si>
    <t>7/24/2025, Approved by AVD.</t>
  </si>
  <si>
    <t>LCSW license renewal fee, L10703</t>
  </si>
  <si>
    <t>Teresa Enigma</t>
  </si>
  <si>
    <t>1.31.26</t>
  </si>
  <si>
    <t>About $1000 not including travel and lodging</t>
  </si>
  <si>
    <t>https://www.apha.org/events-and-meetings/annual/registration-information</t>
  </si>
  <si>
    <t>James R. Dixon</t>
  </si>
  <si>
    <t>November 2-5</t>
  </si>
  <si>
    <t>7/24/2025, on hold per AVD.  //  8/6/2025, Approved by AVD.</t>
  </si>
  <si>
    <t>$1,080 + airfare, hotel, per diem</t>
  </si>
  <si>
    <r>
      <rPr/>
      <t xml:space="preserve">American Public Health Association 2025 Annual Conference </t>
    </r>
    <r>
      <rPr>
        <color rgb="FF1155CC"/>
        <sz val="11.0"/>
        <u/>
      </rPr>
      <t>https://www.apha.org/events-and-meetings/annual?_gl=1*4wl643*_gcl_au*MTE5MTc1MzI3MS4xNzUzMjI0Nzg3LjEyMTc0ODQ3MTcuMTc1MzIyNTc4OS4xNzUzMjI1Nzg4</t>
    </r>
  </si>
  <si>
    <t>Scott Vu</t>
  </si>
  <si>
    <t>Nov 2-5, 2025</t>
  </si>
  <si>
    <t>https://drive.google.com/open?id=1L8E7jZ-gISB8ZR-yW1yKW3K0nxqbKhWA</t>
  </si>
  <si>
    <t>First-year Spanish II (SPAN102-H1)
Instructor(s): Nyoka, Marisela FShow MyInfo popup for Marisela F Nyoka ;
Fall Term - 2025 , Undergraduate
5.00 Credit(s), Letter Grade
Dept: Modern Language
Course History:   SPAN 0102 (prior to UG96)
Course Schedules
Day &amp; Time        Date(s)        Location
MW 06:10-08:00PM        09/22/2025 - 12/13/2025        ZOOM Campus, .
00:00-00:00AM        09/22/2025 - 12/13/2025        E - Campus, .
Course Description
This course is a continuation of SPAN101, emphasizing all aspects of communicating in Spanish while exploring the cultures of Spanish speaking countries. Successful completion of SPAN102 fulfills the language entrance requirement for Oregon State Universities.</t>
  </si>
  <si>
    <t>9/22/2025-12/13/2025</t>
  </si>
  <si>
    <t xml:space="preserve">This course will allow me to become more proficient in speaking Spanish which will allow myself and the MITT team to expand culturally responsive services.  </t>
  </si>
  <si>
    <t>7/24/2025, on hold per AVD.  //  7/31/2025, Denied by AVD.</t>
  </si>
  <si>
    <t>Dont Look Away Book approx $12 each = 300
Dont Hit My Mommy Book approx $26 each  =650
We are the change we seek book approx $31 each =775
25 copies each
Total approx $1725</t>
  </si>
  <si>
    <r>
      <rPr/>
      <t xml:space="preserve">3 books
https://a.co/d/2d8MzAy     
https://a.co/d/deGp9rt       
</t>
    </r>
    <r>
      <rPr>
        <color rgb="FF1155CC"/>
        <sz val="11.0"/>
        <u/>
      </rPr>
      <t>https://a.co/d/fKvNNHc</t>
    </r>
  </si>
  <si>
    <t>two weeks about</t>
  </si>
  <si>
    <t>These are education materials that directly related to increasing professional development as it relates to embracing anti-racism and anti-bias early education classrooms</t>
  </si>
  <si>
    <t>Approx 25</t>
  </si>
  <si>
    <t>7/30/2025, Received email from AVD, asking to, "confirm that these books will be for providers for training purposes, not given to students/clients." Emailed Aimee,, ART.  //  7/31/2025, Received reply back from Aimee, "these books will all be for training and professional development for our clinical team in early childhood.  While they may be used in therapy with families, they will not be given to clients.  They will only be for the clinicians to use for their practice."  ART sent approval email, 7/31/2025.</t>
  </si>
  <si>
    <t xml:space="preserve">The training is 779.99. I will also need funding for flight and hotel. </t>
  </si>
  <si>
    <r>
      <rPr/>
      <t xml:space="preserve">The Premier Trauma Therapy Conference </t>
    </r>
    <r>
      <rPr>
        <color rgb="FF1155CC"/>
        <sz val="13.0"/>
        <u/>
      </rPr>
      <t>https://innovationsinpsychotherapy.com/</t>
    </r>
  </si>
  <si>
    <t xml:space="preserve">Dylan Thompson </t>
  </si>
  <si>
    <t>10/7/25 - 10/11/2025</t>
  </si>
  <si>
    <t>7/30/2025, Approved by AVD.</t>
  </si>
  <si>
    <t>jenna.oh@multco.us</t>
  </si>
  <si>
    <r>
      <rPr/>
      <t xml:space="preserve">Coaching Certificate Program, San Francisco, CA 
Link: </t>
    </r>
    <r>
      <rPr>
        <color rgb="FF1155CC"/>
        <sz val="13.0"/>
        <u/>
      </rPr>
      <t>https://www.amanet.org/coaching-a-strategic-tool-for-effective-leadership/</t>
    </r>
  </si>
  <si>
    <t>Jenna Oh</t>
  </si>
  <si>
    <t>October 16-October 17, 2025</t>
  </si>
  <si>
    <t>This is a leadership development training improving the quality of care and interactions with families BHD serve. It will provide the leaderships and communication skills needed to serve youth and families in my community through my projects.</t>
  </si>
  <si>
    <t>7/30/2025, AVD, "Waiting to hear back from Clair R to decide. I'll follow up."  //  7/31/2025, Denied by AVD, Jill works in DCHS. These funds are available for BHD staff only.</t>
  </si>
  <si>
    <t>https://drive.google.com/open?id=1r6lfuQbcDyPYicGBu-Oqc6pKVAM4UYv0</t>
  </si>
  <si>
    <t>Anger Management for Kids and Teens https://www.pesi.com/sales/eg_c_001668_childadolescentangermgmtcert_egsubc_e4_dedicatedemail-1545147</t>
  </si>
  <si>
    <t>October 2025 - virtual training</t>
  </si>
  <si>
    <t>8/4/2025, Approved by AVD.</t>
  </si>
  <si>
    <t>2025 Innovations in Psychotherapy; https://innovationsinpsychotherapy.com/?refID=bh_s_002111_dedicatedemail_051725&amp;utm_campaign=10751889-002111&amp;utm_medium=email&amp;_h</t>
  </si>
  <si>
    <t>Training is 10/8-10/11/2025</t>
  </si>
  <si>
    <t>sadie.sprenger@multco.us</t>
  </si>
  <si>
    <t>https://drive.google.com/open?id=1kP2nRT7SkkDzs_dYXwLOUWRTiTmbee0B</t>
  </si>
  <si>
    <t xml:space="preserve">ASAM On Zoom - Daystar </t>
  </si>
  <si>
    <t>Sadie Sprenger</t>
  </si>
  <si>
    <t>10/6/25-10/7/25</t>
  </si>
  <si>
    <t xml:space="preserve">$296 for 2 nights of lodging accommodations </t>
  </si>
  <si>
    <t>https://drive.google.com/open?id=1bENr8ix-GpOJIiKtVKmxWqk_EPq04wQ9, https://drive.google.com/open?id=1gdPYcRPISWPLzjstZvqwuWQjSpCrijLJ, https://drive.google.com/open?id=1O6-gJYwTmP0OeQWIsPcz8a212RRGpogx</t>
  </si>
  <si>
    <t>2025 Peer Workforce Conference</t>
  </si>
  <si>
    <t>August 20</t>
  </si>
  <si>
    <t xml:space="preserve">The two days of presentations and training sessions will be centered around the theme of Resilience, Perseverance, and Integrity—qualities that peers bring to their work every day while using their lived experience to support their clients. </t>
  </si>
  <si>
    <r>
      <rPr>
        <color rgb="FF1155CC"/>
        <sz val="11.0"/>
        <u/>
      </rPr>
      <t>https://app.glueup.com/event/2025-behavioral-health-training-summit-146569/home.html</t>
    </r>
    <r>
      <rPr/>
      <t xml:space="preserve">
Conference: 2025 Behavioral Health Training Summit
Location: Ashland, OR- Ashland Hills Hotel &amp; Suites- 2525 Ashland Street, Ashland, OR 
Classes: 9/16- Psychological First Aid $150, 9/17- The Joys of Serving Individuals with IDD $75, 9/18- Managing Suicidal Behavior $100</t>
    </r>
  </si>
  <si>
    <t>Alicia Palmer, YICC</t>
  </si>
  <si>
    <t>September 15, 2025-September 19, 2025</t>
  </si>
  <si>
    <t>jill.williams@multco.us</t>
  </si>
  <si>
    <t>Bisexual, Lesbian, Queer</t>
  </si>
  <si>
    <t>$1500 for class plus flight ($400??)</t>
  </si>
  <si>
    <t>https://wingwave.com/en/training/wingwave-usa</t>
  </si>
  <si>
    <r>
      <rPr>
        <color rgb="FF1155CC"/>
        <sz val="11.0"/>
        <u/>
      </rPr>
      <t xml:space="preserve">Wingwave </t>
    </r>
    <r>
      <rPr/>
      <t>Training in Los Angles, CA</t>
    </r>
  </si>
  <si>
    <t>Jill Williams</t>
  </si>
  <si>
    <t>October 8-12, 2025</t>
  </si>
  <si>
    <t xml:space="preserve">Our team provides coaching and training to staff who carry caseloads of older adults and people with behavioral health needs. These skills (that will be learned at this training seminar) involve helping staff identify blind spots, re-think trauma responses and develop positive coping strategies for themselves at work. I also have a career goal of working in Organizational Learning and using these new skills with managers in addition to staff. I have received in-depth training in the past 10 years in Motivational Interviewing and Workplace Mediation. This intervention/training has been on my list for some years. </t>
  </si>
  <si>
    <t>7/31/2025, ART asked for working link.</t>
  </si>
  <si>
    <t>$800 for conference, plus flight/lodging/etc.</t>
  </si>
  <si>
    <t>Crisis Con - Indianapolis, IN - https://www.crisiscon.org/</t>
  </si>
  <si>
    <t>09/28/2025 (travel); 09/29/2025-10/01/2025 (conference); 10/01/2025 (travel)</t>
  </si>
  <si>
    <t>https://innovationsinpsychotherapy.com/</t>
  </si>
  <si>
    <t xml:space="preserve">The Premier Trauma Therapy Conference In Anaheim California </t>
  </si>
  <si>
    <t>Dylan Thompson</t>
  </si>
  <si>
    <t>10/07/25-10/11/25</t>
  </si>
  <si>
    <t>8/4/2025, ART asked Dylan for link to this training.   //  8/5/2025, Approved by AVD.</t>
  </si>
  <si>
    <t>Submitting this for credential reimbursment</t>
  </si>
  <si>
    <t>Linda Santos Martinez</t>
  </si>
  <si>
    <t>7/31/2025</t>
  </si>
  <si>
    <t>8/5/2025, Approved by AVD.</t>
  </si>
  <si>
    <t>TBD- based on recruiting platform costs</t>
  </si>
  <si>
    <t>Billing Team, Quality Management Unit</t>
  </si>
  <si>
    <t>For: Compliance and Billing Specialist</t>
  </si>
  <si>
    <t>Billing and Compliance Teams</t>
  </si>
  <si>
    <t xml:space="preserve">Recruiting Platform Costs
</t>
  </si>
  <si>
    <t>$399 registration and travel expenses</t>
  </si>
  <si>
    <t>https://www.linesforlife.org/oregon-conference-on-opioids-and-other-drugs-pain-and-addiction-treatment/?fbclid=IwY2xjawL97bhleHRuA2FlbQIxMABicmlkETBrM1FDYnJPbzVPOG9TSVpPAR6XYEKsSKBfI0sJju6fnrSZdY6vd2NFbf4X1bPVqYcKEQr7HnBv-j68x9AFyA_aem__VBI1SxFlGbGffI8PULZqQ</t>
  </si>
  <si>
    <t>OPAT 2025 Sunriver, Or</t>
  </si>
  <si>
    <t>Nov 3-5</t>
  </si>
  <si>
    <t>$600 for two five hour trainings.</t>
  </si>
  <si>
    <t>This is a funding request to rent space at the QCenter to hold these trainings.</t>
  </si>
  <si>
    <t>This funding is to rent space at the local queer center for 2 trainings facilitated by Black and Beyond the Binary. DCS will be using the funding</t>
  </si>
  <si>
    <t>9/25/25 and 10/23/25</t>
  </si>
  <si>
    <t xml:space="preserve">This is a culturally specific training series focused on the history, culture and local Black 2SLGBTQIA+ community. These trainings will directly support clinicians by strengthening their skills and understanding of best practices when working and interacting with Black 2SLGBTQIA+ children, youth and families, as well as learn about the local community and resources. </t>
  </si>
  <si>
    <t>up to 100</t>
  </si>
  <si>
    <t>8/8/2025, Approved by AVD.</t>
  </si>
  <si>
    <t>https://drive.google.com/open?id=1BUaKdGImxzBl72pwpSMnxIHqrYUNdOKJ</t>
  </si>
  <si>
    <t>National Counselor Examination</t>
  </si>
  <si>
    <t>Taking the NCE exam is required to obtain an LPC licensure</t>
  </si>
  <si>
    <t>8/14/2025, Approved by AVD.</t>
  </si>
  <si>
    <t>950 (if registered by Sept 12)</t>
  </si>
  <si>
    <t>Advanced Primary Attachment Therapy Immersion 
https://hakomiinstitute.com/hakomievent/advanced-primary-attachment-therapy-immersion/</t>
  </si>
  <si>
    <t>Nov 7-9 2025 (early bird discount by Sept 12)</t>
  </si>
  <si>
    <t xml:space="preserve">Jennifer, 8/12/25: The Hakomi attachment training will support continued clinical skill building in attachment work with BHD clients. This advanced training will support me in assessing and working with attachment with school based youth clients and their primary caregivers. Supporting healthy attachment between children and adult caregivers is often a clinically indicated treatment goal. </t>
  </si>
  <si>
    <t>8/13/2024, Approved by AVD.</t>
  </si>
  <si>
    <t>Behavioral Health Resource Center, Early Childhood Services (EC), Preschool for All - (PFA)</t>
  </si>
  <si>
    <t>https://drive.google.com/open?id=1riT12o5clmfyIsB8_rpkzvJETATilHEi</t>
  </si>
  <si>
    <t xml:space="preserve">MHACBO Credentials </t>
  </si>
  <si>
    <t>08/082026</t>
  </si>
  <si>
    <t xml:space="preserve">Help me gain more insight and success with my credentials </t>
  </si>
  <si>
    <t>Approx $1200 total for Hotel ($423.64 for two nights) plus car rental and gas (approx $450) plus per diem</t>
  </si>
  <si>
    <t>https://drive.google.com/open?id=1cdIUTfhzp3PAZEhBgGn6m62QSEtRox0Z</t>
  </si>
  <si>
    <r>
      <rPr/>
      <t xml:space="preserve">Oregon Research Behavioral Health Innovation &amp; Training (ORBHIT) Behavioral Health Summit in Ashland Oregon Sept 17-18   </t>
    </r>
    <r>
      <rPr>
        <color rgb="FF1155CC"/>
        <sz val="11.0"/>
        <u/>
      </rPr>
      <t>https://app.glueup.com/event/2025-behavioral-health-training-summit-146569/</t>
    </r>
  </si>
  <si>
    <t>Sept 17-18, 2026</t>
  </si>
  <si>
    <t>8/15/2025, Approved by AVD.</t>
  </si>
  <si>
    <r>
      <rPr/>
      <t xml:space="preserve">Oregon Research Behavioral Health Innovation &amp; Training (ORBHIT) Behavioral Health Summit in Ashland Oregon Sept 17-18   </t>
    </r>
    <r>
      <rPr>
        <color rgb="FF1155CC"/>
        <sz val="11.0"/>
        <u/>
      </rPr>
      <t>https://app.glueup.com/event/2025-behavioral-health-training-summit-146569/</t>
    </r>
  </si>
  <si>
    <t>Conference fee: $399   Conference hotel:  $169 x 3 nights   Total:  $906</t>
  </si>
  <si>
    <t>https://web.cvent.com/event/137973c0-18d8-42d7-b653-dd6fc74e7ce1/summary</t>
  </si>
  <si>
    <t xml:space="preserve">2025 Oregon Conference on Opioid + Other Drugs, Pain and Addiction Treatment (OPAT) in Bend, Oregon </t>
  </si>
  <si>
    <t xml:space="preserve">November 2-5, 2025  </t>
  </si>
  <si>
    <t xml:space="preserve">1) Increases my knowledge and understanding of substance use prevention + treatment + recovery among youth/families in our program.  2)  Strengthens my ability to advocate for funding and policies to improve the youth behavioral System of Care.  3) Helps me to meet CEU requirements for my LCSW.  4) Provides an opportunity to connect with and learn from others in the field.  </t>
  </si>
  <si>
    <t>Billing Team, School Based Mental Health (SBMH)</t>
  </si>
  <si>
    <t>AAPC will provide two custom consecutive four-hour live virtual sessions (no in-person instructor)
Be designed for the SBMH team and include the PSS team and the billing team
Include a PDF of all training slides, a recording of the sessions, and any additional relevant reference materials developed during the process
Focus on the following core areas:
CPT and HCPCS coding for outpatient behavioral health, including time-based, crisis, group therapy, and coordination codes
Aligning documentation with billable services and medical necessity requirements
Strategies for accurately capturing outreach, engagement, and prevention activities
Reviewing common pitfalls in documentation and coding, and how to avoid them
EHR workflow best practices, integrated with your upcoming system implementation
Real-world scenario practice with sample or anonymized case notes from your own caseload</t>
  </si>
  <si>
    <t>The SBMH team, PSS team supporting DCS, SBMH supervisors &amp; managers, and also the Billing Team</t>
  </si>
  <si>
    <t>early September 2025</t>
  </si>
  <si>
    <t>This is a specialized training request designed to increase compliance, billable revenue, and retention for clinical staff on the SBMH team. We do not yet know if this training will provide clinicians with CEUs.</t>
  </si>
  <si>
    <t>American Academy of Professional Coders (AAPC)</t>
  </si>
  <si>
    <t>30-40</t>
  </si>
  <si>
    <t>mario.cardenas@multco.us</t>
  </si>
  <si>
    <t>CADC Recertification
$175.00</t>
  </si>
  <si>
    <t>https://drive.google.com/open?id=1iX5P1io8dJB820mqhZEVGztl6f4XGHEZ</t>
  </si>
  <si>
    <r>
      <rPr/>
      <t xml:space="preserve">CADCI re-certification </t>
    </r>
    <r>
      <rPr>
        <color rgb="FF1155CC"/>
        <sz val="11.0"/>
        <u/>
      </rPr>
      <t>https://www.mhacbo.org/en/payments/</t>
    </r>
  </si>
  <si>
    <t>Mario Cardenas</t>
  </si>
  <si>
    <t>Required credentials for work.</t>
  </si>
  <si>
    <t>$2370 total - this will cover 3 days of lunch and light breakfast refreshments for almost 30 staff for 3 full days of pre-service</t>
  </si>
  <si>
    <t>All Early Childhood Mental Health Staff</t>
  </si>
  <si>
    <t>9/2, 9/3, 9/4</t>
  </si>
  <si>
    <t>Almost 30</t>
  </si>
  <si>
    <t>8/22/2025, Approved by AVD.</t>
  </si>
  <si>
    <r>
      <rPr/>
      <t xml:space="preserve">Restorative Ethics: A Meditative Exploration of Vulnerabilities and Strengths in Portland, OR
</t>
    </r>
    <r>
      <rPr>
        <color rgb="FF1155CC"/>
        <sz val="11.0"/>
        <u/>
      </rPr>
      <t>https://reflectivecounsel.org/restorative-ethics-a-meditative-exploration-of-vulnerabilities-and-strengths/</t>
    </r>
  </si>
  <si>
    <t>9/20/25</t>
  </si>
  <si>
    <t>Ethics CEU's toward my LCSW renewal</t>
  </si>
  <si>
    <t>8/19/2025, Approved by AVD.</t>
  </si>
  <si>
    <t>8/18/25</t>
  </si>
  <si>
    <t>https://drive.google.com/open?id=1T6pbmO_vaOIMJHP7LxU9usyS94qpn43W-qEQ8iKJ8OM</t>
  </si>
  <si>
    <t>CE4Less</t>
  </si>
  <si>
    <t>online training tool</t>
  </si>
  <si>
    <t xml:space="preserve">It will allowing me to take self paced continuing education trainings to renew my license. </t>
  </si>
  <si>
    <t>https://psychotherapyacademy.org/courses/dbt-training-online/</t>
  </si>
  <si>
    <t>10/06/2025</t>
  </si>
  <si>
    <t>https://www.socialworkcoursesonline.com/active/courses/course155.php</t>
  </si>
  <si>
    <t>maria.robles@multco.us</t>
  </si>
  <si>
    <t>$50 if I register before 8/28; $75 after 8/28</t>
  </si>
  <si>
    <t>https://drive.google.com/open?id=1eqTlKpBWbx95dn4G2PdRJ_gG9Ql0jsz1</t>
  </si>
  <si>
    <t>Foundations of Cognitive Behavioral Therapy for Psychosis</t>
  </si>
  <si>
    <t>Maria Robles</t>
  </si>
  <si>
    <t>October 9, 2025</t>
  </si>
  <si>
    <t xml:space="preserve">The training is the primary therapy intervention we use with clients. </t>
  </si>
  <si>
    <t>8/26/2025, Approved by AVD.</t>
  </si>
  <si>
    <t>sara.ashback@multco.us</t>
  </si>
  <si>
    <t>165/session ($330/month)</t>
  </si>
  <si>
    <t>Sara Ashback</t>
  </si>
  <si>
    <t>ongoing (supervision for licensure)</t>
  </si>
  <si>
    <t>Kara Kazemba</t>
  </si>
  <si>
    <t>https://drive.google.com/open?id=1t9DHomYghiSltEXgMl0rRlPpP1j5YYg8</t>
  </si>
  <si>
    <t>License renewal with the Oregon State Board of Social Workers</t>
  </si>
  <si>
    <t>jen.rankin@multco.us</t>
  </si>
  <si>
    <t>many: I did CEUs for ethics, diversity, suicide as well as other clinical topics</t>
  </si>
  <si>
    <t>Jen Rankin</t>
  </si>
  <si>
    <t>license renewal due 8/31/25</t>
  </si>
  <si>
    <t>8/28/2025, Approved by AVD.</t>
  </si>
  <si>
    <t xml:space="preserve">Free Event </t>
  </si>
  <si>
    <t>https://www.oregon.gov/oha/HSD/Problem-Gambling/Documents/PG%20Fall%20Summit%20C3PO%20Registration%20Form%202.pdf</t>
  </si>
  <si>
    <t>2025 FALL OHA PGS SUMMIT"C3"PO Building Confidence, Competence and Consistancy</t>
  </si>
  <si>
    <t>October 1-3 2025</t>
  </si>
  <si>
    <t>Certified Gambling Addictions Counselor II</t>
  </si>
  <si>
    <t>https://drive.google.com/open?id=1k-aam8DkfpWU9HqWQ_8fkeKxRRErakMc</t>
  </si>
  <si>
    <t>QMHP-C Testing  mhacbo.org/en/certemy/</t>
  </si>
  <si>
    <t>Nidal Jianni</t>
  </si>
  <si>
    <t>4/21/2025</t>
  </si>
  <si>
    <t>This will provide me with my full certification as an QMHP-C</t>
  </si>
  <si>
    <t>https://mocacognition.com/get-certified?lang=ENGLISH&amp;#multilingual-training-section</t>
  </si>
  <si>
    <t>I believe this is a canned on-line training</t>
  </si>
  <si>
    <t xml:space="preserve">This will train me to provide cognitive assessments for clients.  I will provide cognitive assessments frequently upon completing training. </t>
  </si>
  <si>
    <r>
      <rPr/>
      <t xml:space="preserve">Girasol Curriculum Certification Training. Portland, Oregon. </t>
    </r>
    <r>
      <rPr>
        <color rgb="FF1155CC"/>
        <sz val="11.0"/>
        <u/>
      </rPr>
      <t>https://docs.google.com/forms/d/e/1FAIpQLScSIxAkRxe04_KD3LvhQIkhpUmxnx8zrWq5HIMrflzElwRBTw/viewform?fbzx=8927373915418027297</t>
    </r>
  </si>
  <si>
    <t>September 30th, 2025</t>
  </si>
  <si>
    <t xml:space="preserve">This culturally-specific training will allow me to learn more skills and tools to support our clients and their families. </t>
  </si>
  <si>
    <r>
      <rPr/>
      <t xml:space="preserve">Somatic Experiencing- Beginning III
</t>
    </r>
    <r>
      <rPr>
        <color rgb="FF1155CC"/>
        <sz val="11.0"/>
        <u/>
      </rPr>
      <t>https://events.blackthorn.io/en/3hCnqZ6/a/YU9tll8m4W2vZaeDzP7nXTSaoyriFAKgGj513V8MbS17mUA1mcfNA2DoVRTWnak5/portland-or-beginning-iii-may-22-25-2026-4a4IUQcjwz/overview</t>
    </r>
  </si>
  <si>
    <t>Dec. 1, 2025</t>
  </si>
  <si>
    <t>1597 if the summer discount still applies</t>
  </si>
  <si>
    <r>
      <rPr/>
      <t xml:space="preserve">Trauma Informed Stabilization Treatment (TIST) Certification Program 
Virtual Training
</t>
    </r>
    <r>
      <rPr>
        <color rgb="FF1155CC"/>
        <sz val="11.0"/>
        <u/>
      </rPr>
      <t>https://secure-enrollment.therapywisdom.com/tist-2-and-3-2024-discount</t>
    </r>
  </si>
  <si>
    <t>Training ends March 2026</t>
  </si>
  <si>
    <t xml:space="preserve">This training will help improve the care for BHD clients as it focuses on the treatment of complex trauma and  trauma-informed interventions. It is specifically designed to help navigate interventions with difficult or resistant clients so that  effectiveness as a therapist is enhanced. </t>
  </si>
  <si>
    <t>markayla.shattuck@multco.us</t>
  </si>
  <si>
    <t>Black of African American, White</t>
  </si>
  <si>
    <r>
      <rPr>
        <color rgb="FF1155CC"/>
        <sz val="11.0"/>
        <u/>
      </rPr>
      <t>https://drive.google.com/open?id=1f4Fm7V_IH_zhwdVyDZ3A41RgfY-L7lu9</t>
    </r>
    <r>
      <rPr/>
      <t xml:space="preserve">, </t>
    </r>
    <r>
      <rPr>
        <color rgb="FF1155CC"/>
        <sz val="11.0"/>
        <u/>
      </rPr>
      <t>https://drive.google.com/open?id=1NSjDLxl3dqOxr2ntUJIICh9zCa7sbCUO</t>
    </r>
  </si>
  <si>
    <r>
      <rPr/>
      <t xml:space="preserve">QMHP-C Exam - </t>
    </r>
    <r>
      <rPr>
        <color rgb="FF1155CC"/>
        <sz val="11.0"/>
        <u/>
      </rPr>
      <t>https://www.mhacbo.org/en/certemy/</t>
    </r>
  </si>
  <si>
    <t>Markayla Shattuck</t>
  </si>
  <si>
    <t>09/15/2025</t>
  </si>
  <si>
    <t>nathaniel.lopez@multco.us</t>
  </si>
  <si>
    <t xml:space="preserve">N/A, licensure reimbursement </t>
  </si>
  <si>
    <t xml:space="preserve">Nathaniel Lopez </t>
  </si>
  <si>
    <t xml:space="preserve">Obtaining licensure to better serve clients/eventually supervise other clinicians for their respective licenses </t>
  </si>
  <si>
    <t>hailey.chamberlain@multco.us</t>
  </si>
  <si>
    <t>Around $945.00 for the training, maybe 250-300 for flights, maybe close to 300 per night at conference hotel x 6 night for a total of around 1800 for hotel</t>
  </si>
  <si>
    <t xml:space="preserve">2025 Annual Association for Play Therapy (APT) International Conference - https://web.cvent.com/event/433a4a46-a00e-4d12-97f3-59a119468793/summary </t>
  </si>
  <si>
    <t>Hailey Chamberlain</t>
  </si>
  <si>
    <t>October 7-12th</t>
  </si>
  <si>
    <r>
      <rPr/>
      <t xml:space="preserve">Somatic Experiencing Beginning 3 Training 
</t>
    </r>
    <r>
      <rPr>
        <color rgb="FF1155CC"/>
        <sz val="11.0"/>
        <u/>
      </rPr>
      <t>https://events.blackthorn.io/en/3hCnqZ6/g/A790Z6gdv7/portland-or-beginning-iii-may-22-25-2026-4a4IUQcjwz/overview?_gl=1*1k35c4o*_ga*MTIzMjUxMTM1Ny4xNzU2MjM4MDQx*_ga_G6YZ8VDJXJ*czE3NTY0MTA0MjUkbzIkZzEkdDE3NTY0MTA0MzIkajUzJGwwJGg2ODAxODQ3ODg.</t>
    </r>
  </si>
  <si>
    <t>May 22 - May 25, 2026</t>
  </si>
  <si>
    <t xml:space="preserve">This Somatic Experiencing Beginner 3 training will help me help clients better connect with their bodies and start to move trauma and other stuck energies out of their bodies </t>
  </si>
  <si>
    <t>$875 plus accomodation</t>
  </si>
  <si>
    <r>
      <rPr/>
      <t xml:space="preserve">Aloha Summits Kona 2025, </t>
    </r>
    <r>
      <rPr>
        <color rgb="FF1155CC"/>
        <sz val="11.0"/>
        <u/>
      </rPr>
      <t>https://deeper-diving-retreats-and-inquiry.ce-go.com/aloha-summits-kona-2025</t>
    </r>
  </si>
  <si>
    <t>October 16 - 18, 2025</t>
  </si>
  <si>
    <t xml:space="preserve">IDK </t>
  </si>
  <si>
    <t>https://drive.google.com/open?id=1ttS7jZAdkTyucEXT_H5YiGCT2wDUic-P</t>
  </si>
  <si>
    <t>Annual APT International Conference</t>
  </si>
  <si>
    <t>Erika larson</t>
  </si>
  <si>
    <t xml:space="preserve">October 7-12 Conference </t>
  </si>
  <si>
    <t xml:space="preserve">provides up to 40.5 hours of continuing education. Get ready to gain insights from leading experts in the play therapy field and establish connections with professionals from around the globe!  </t>
  </si>
  <si>
    <t>Play Therapy License / LCSW</t>
  </si>
  <si>
    <t>individual</t>
  </si>
  <si>
    <t>Requests and Approvals/Allocated Funds</t>
  </si>
  <si>
    <t>Funding Used and Remaining/Reconciled Funds</t>
  </si>
  <si>
    <t>Total Used and Remaining</t>
  </si>
  <si>
    <t>VARIANCE</t>
  </si>
  <si>
    <t>Total Allocated</t>
  </si>
  <si>
    <t>Used</t>
  </si>
  <si>
    <t>Clinical Supervision Expenses Tracker - Additional</t>
  </si>
  <si>
    <t>Remaining</t>
  </si>
  <si>
    <t>Clinician</t>
  </si>
  <si>
    <t>Date Paid</t>
  </si>
  <si>
    <t>Hours Paid For</t>
  </si>
  <si>
    <t>Month(s) of Service</t>
  </si>
  <si>
    <t>Date Funding was approved or Invoice received</t>
  </si>
  <si>
    <t>Staff using funding</t>
  </si>
  <si>
    <t>Approved for</t>
  </si>
  <si>
    <t>Invoice Approved Date</t>
  </si>
  <si>
    <t>Invoice Amount</t>
  </si>
  <si>
    <t>Invoice Number if applicable</t>
  </si>
  <si>
    <t>Clinical Supervision 5% lead pay</t>
  </si>
  <si>
    <t>Clinical Supervisor Session payment/reimbursement</t>
  </si>
  <si>
    <t>CEUs to become a Clinical Supervisor</t>
  </si>
  <si>
    <t>Payment of hours spent in Clinical Supervision outside of work time</t>
  </si>
  <si>
    <t>Culturally Specific training and conferences</t>
  </si>
  <si>
    <t>General training and conference costs for req CEUs</t>
  </si>
  <si>
    <t>Recruiting Platform costs</t>
  </si>
  <si>
    <t>General training and conference costs</t>
  </si>
  <si>
    <t>Relocation Costs</t>
  </si>
  <si>
    <t>Interns - College to County and Clinical</t>
  </si>
  <si>
    <t xml:space="preserve">
</t>
  </si>
  <si>
    <t>Post Survey Sent</t>
  </si>
  <si>
    <t>Non-Represented</t>
  </si>
  <si>
    <t xml:space="preserve">Recruiting </t>
  </si>
  <si>
    <t>COMPLETED</t>
  </si>
  <si>
    <t>Staff Training Subsidies</t>
  </si>
  <si>
    <t>Represented</t>
  </si>
  <si>
    <t>Clinical Supervision - Staff BECOMING a supervisor</t>
  </si>
  <si>
    <t xml:space="preserve">	SINV.000513201</t>
  </si>
  <si>
    <t>Tuition Assistance</t>
  </si>
  <si>
    <t>SINV.000502931</t>
  </si>
  <si>
    <t>3/4/2024
3/4/2024</t>
  </si>
  <si>
    <t>Cancelled</t>
  </si>
  <si>
    <t>SINV.000502933</t>
  </si>
  <si>
    <t>SINV.000502693</t>
  </si>
  <si>
    <t>SINV.000501346</t>
  </si>
  <si>
    <t>$18.95 + shippting &amp; handling</t>
  </si>
  <si>
    <t>SINV.000507547</t>
  </si>
  <si>
    <t>SINV.000502935</t>
  </si>
  <si>
    <t>4/15/24 Email from Alex, "Unfortunately, the approvel took too long the courses were last week."</t>
  </si>
  <si>
    <t>SINV.000503188</t>
  </si>
  <si>
    <t>SINV.000510481</t>
  </si>
  <si>
    <t>SINV.000506841</t>
  </si>
  <si>
    <t>Part Time Internships</t>
  </si>
  <si>
    <t>SINV.000505219</t>
  </si>
  <si>
    <t>SINV.000504366</t>
  </si>
  <si>
    <t>SINV.000510808</t>
  </si>
  <si>
    <t>SINV.000505913</t>
  </si>
  <si>
    <t>SINV.000503003</t>
  </si>
  <si>
    <t>SINV.000503162</t>
  </si>
  <si>
    <t>TBD</t>
  </si>
  <si>
    <t>SINV.000517226</t>
  </si>
  <si>
    <t>savannah.paz@multco.us</t>
  </si>
  <si>
    <t>$1,500.00,</t>
  </si>
  <si>
    <t>SINV.00508163</t>
  </si>
  <si>
    <t>SINV.000510595</t>
  </si>
  <si>
    <t>SINV.000506060</t>
  </si>
  <si>
    <t>keri.ault@multco.us</t>
  </si>
  <si>
    <t>SINV.000505957</t>
  </si>
  <si>
    <t>SINV.00510028</t>
  </si>
  <si>
    <t xml:space="preserve">
heather.christiansen@multco.us</t>
  </si>
  <si>
    <t>SINV.000517039</t>
  </si>
  <si>
    <t>??</t>
  </si>
  <si>
    <t>SINV.000514585</t>
  </si>
  <si>
    <t>NO FORM RECEIVED</t>
  </si>
  <si>
    <t>SINV.000508150</t>
  </si>
  <si>
    <t>SINV.000512716</t>
  </si>
  <si>
    <t>SINV.000517350</t>
  </si>
  <si>
    <t>Daniela Evangelista</t>
  </si>
  <si>
    <t>SINV.000516526</t>
  </si>
  <si>
    <t>Relocation &amp; Housing Stipend</t>
  </si>
  <si>
    <r>
      <rPr>
        <rFont val="Arial"/>
        <color rgb="FF1F1F1F"/>
        <sz val="10.0"/>
      </rPr>
      <t>kelly.burgess@multco.us</t>
    </r>
  </si>
  <si>
    <r>
      <rPr>
        <rFont val="Arial"/>
        <color rgb="FF1F1F1F"/>
        <sz val="10.0"/>
      </rPr>
      <t>sarah.kaucic@multco.us</t>
    </r>
  </si>
  <si>
    <r>
      <rPr>
        <rFont val="Arial"/>
        <color rgb="FF1F1F1F"/>
        <sz val="10.0"/>
      </rPr>
      <t>tosha.shelepova@multco.us</t>
    </r>
  </si>
  <si>
    <r>
      <rPr>
        <rFont val="Arial"/>
        <color rgb="FF1F1F1F"/>
        <sz val="10.0"/>
      </rPr>
      <t>sara.simmers@multco.us</t>
    </r>
  </si>
  <si>
    <r>
      <rPr>
        <rFont val="Arial"/>
        <color rgb="FF1F1F1F"/>
        <sz val="10.0"/>
      </rPr>
      <t>leigh.hedrick@multco.us</t>
    </r>
  </si>
  <si>
    <r>
      <rPr>
        <rFont val="Arial"/>
        <color rgb="FF1F1F1F"/>
        <sz val="10.0"/>
      </rPr>
      <t>rose-yvenie.alexandre@multco.us</t>
    </r>
  </si>
  <si>
    <r>
      <rPr>
        <rFont val="Arial"/>
        <color rgb="FF1F1F1F"/>
        <sz val="10.0"/>
      </rPr>
      <t>jerome.sloan.ii@multco.us</t>
    </r>
  </si>
  <si>
    <r>
      <rPr>
        <rFont val="Arial"/>
        <color rgb="FF1F1F1F"/>
        <sz val="10.0"/>
      </rPr>
      <t>darline.hill@multco.us</t>
    </r>
  </si>
  <si>
    <r>
      <rPr>
        <rFont val="Arial"/>
        <color rgb="FF1F1F1F"/>
        <sz val="10.0"/>
      </rPr>
      <t>jennifer.kotley@multco.us</t>
    </r>
  </si>
  <si>
    <r>
      <rPr>
        <rFont val="Arial"/>
        <color rgb="FF1F1F1F"/>
        <sz val="10.0"/>
      </rPr>
      <t>lizzy.culbertson@multco.us</t>
    </r>
  </si>
  <si>
    <r>
      <rPr>
        <rFont val="Arial"/>
        <color rgb="FF1F1F1F"/>
        <sz val="10.0"/>
      </rPr>
      <t>misao.eliahim@multco.us</t>
    </r>
  </si>
  <si>
    <r>
      <rPr>
        <rFont val="Arial"/>
        <color rgb="FF1F1F1F"/>
        <sz val="10.0"/>
      </rPr>
      <t>rachael.jackson@multco.us</t>
    </r>
  </si>
  <si>
    <r>
      <rPr>
        <rFont val="Arial"/>
        <color rgb="FF1F1F1F"/>
        <sz val="10.0"/>
      </rPr>
      <t>adolfo.jimenez@multco.us</t>
    </r>
  </si>
  <si>
    <r>
      <rPr>
        <rFont val="Arial"/>
        <color rgb="FF1F1F1F"/>
        <sz val="10.0"/>
      </rPr>
      <t>scott.williams@multco.us</t>
    </r>
  </si>
  <si>
    <r>
      <rPr>
        <rFont val="Arial"/>
        <color rgb="FF1F1F1F"/>
        <sz val="10.0"/>
      </rPr>
      <t>jordyn.pasiak@multco.us</t>
    </r>
  </si>
  <si>
    <r>
      <rPr>
        <rFont val="&quot;Google Sans&quot;, Roboto, sans-serif"/>
        <color rgb="FF1F1F1F"/>
        <sz val="9.0"/>
      </rPr>
      <t>kate.thomas@multco.us</t>
    </r>
  </si>
  <si>
    <r>
      <rPr>
        <rFont val="&quot;Google Sans&quot;, Roboto, sans-serif"/>
        <color rgb="FF1F1F1F"/>
        <sz val="9.0"/>
      </rPr>
      <t>rachael.jackson@multco.us</t>
    </r>
  </si>
  <si>
    <r>
      <rPr>
        <rFont val="&quot;Google Sans&quot;, Roboto, sans-serif"/>
        <color rgb="FF1F1F1F"/>
        <sz val="9.0"/>
      </rPr>
      <t>rachael.jackson@multco.us</t>
    </r>
  </si>
  <si>
    <r>
      <rPr>
        <rFont val="&quot;Google Sans&quot;, Roboto, sans-serif"/>
        <color rgb="FF1F1F1F"/>
        <sz val="9.0"/>
      </rPr>
      <t>ramon.benton@multco.us</t>
    </r>
  </si>
  <si>
    <r>
      <rPr>
        <rFont val="&quot;Google Sans&quot;, Roboto, sans-serif"/>
        <color rgb="FF1F1F1F"/>
        <sz val="9.0"/>
      </rPr>
      <t>glen.lafollette@multco.us</t>
    </r>
  </si>
  <si>
    <r>
      <rPr>
        <rFont val="&quot;Google Sans&quot;, Roboto, sans-serif"/>
        <color rgb="FF1F1F1F"/>
        <sz val="9.0"/>
      </rPr>
      <t>glen.lafollette@multco.us</t>
    </r>
  </si>
  <si>
    <r>
      <rPr>
        <rFont val="&quot;Google Sans&quot;, Roboto, sans-serif"/>
        <color rgb="FF1F1F1F"/>
        <sz val="9.0"/>
      </rPr>
      <t>jenny.tsai@multco.us</t>
    </r>
  </si>
  <si>
    <r>
      <rPr>
        <rFont val="&quot;Google Sans&quot;, Roboto, sans-serif"/>
        <color rgb="FF1F1F1F"/>
        <sz val="9.0"/>
      </rPr>
      <t>areatae.mcghee@multco.us</t>
    </r>
  </si>
  <si>
    <r>
      <rPr>
        <rFont val="&quot;Google Sans&quot;, Roboto, sans-serif"/>
        <color rgb="FF1F1F1F"/>
        <sz val="9.0"/>
      </rPr>
      <t>ana.hristic@multco.us</t>
    </r>
  </si>
  <si>
    <r>
      <rPr>
        <rFont val="&quot;Google Sans&quot;, Roboto, sans-serif"/>
        <color rgb="FF1F1F1F"/>
        <sz val="9.0"/>
      </rPr>
      <t>ayla.terry-mitchell@multco.us</t>
    </r>
  </si>
  <si>
    <r>
      <rPr>
        <rFont val="&quot;Google Sans&quot;, Roboto, sans-serif"/>
        <color rgb="FF1F1F1F"/>
        <sz val="9.0"/>
      </rPr>
      <t>lizzy.culbertson@multco.us</t>
    </r>
  </si>
  <si>
    <r>
      <rPr>
        <rFont val="&quot;Google Sans&quot;, Roboto, sans-serif"/>
        <color rgb="FF1F1F1F"/>
        <sz val="9.0"/>
      </rPr>
      <t>cee.bondurant@multco.us</t>
    </r>
  </si>
  <si>
    <r>
      <rPr>
        <rFont val="&quot;Google Sans&quot;, Roboto, sans-serif"/>
        <color rgb="FF1F1F1F"/>
        <sz val="9.0"/>
      </rPr>
      <t>cee.bondurant@multco.us</t>
    </r>
  </si>
  <si>
    <r>
      <rPr>
        <rFont val="&quot;Google Sans&quot;, Roboto, sans-serif"/>
        <color rgb="FF1F1F1F"/>
        <sz val="9.0"/>
      </rPr>
      <t>cee.bondurant@multco.us</t>
    </r>
  </si>
  <si>
    <r>
      <rPr>
        <rFont val="&quot;Google Sans&quot;, Roboto, sans-serif"/>
        <color rgb="FF1F1F1F"/>
        <sz val="9.0"/>
      </rPr>
      <t>frances.flores@multco.us</t>
    </r>
  </si>
  <si>
    <r>
      <rPr>
        <rFont val="&quot;Google Sans&quot;, Roboto, sans-serif"/>
        <color rgb="FF1F1F1F"/>
        <sz val="9.0"/>
      </rPr>
      <t>erika.mosqueda.franco@multco.us</t>
    </r>
  </si>
  <si>
    <r>
      <rPr>
        <rFont val="&quot;Google Sans&quot;, Roboto, sans-serif"/>
        <color rgb="FF1F1F1F"/>
        <sz val="9.0"/>
      </rPr>
      <t>chanel.walker-harris@multco.us</t>
    </r>
  </si>
  <si>
    <r>
      <rPr>
        <rFont val="&quot;Google Sans&quot;, Roboto, sans-serif"/>
        <color rgb="FF1F1F1F"/>
        <sz val="9.0"/>
      </rPr>
      <t>ember.vonletkemann@multco.us</t>
    </r>
  </si>
  <si>
    <r>
      <rPr>
        <rFont val="&quot;Google Sans&quot;, Roboto, sans-serif"/>
        <color rgb="FF1F1F1F"/>
        <sz val="9.0"/>
      </rPr>
      <t>ramon.benton@multco.us</t>
    </r>
  </si>
  <si>
    <r>
      <rPr>
        <rFont val="&quot;Google Sans&quot;, Roboto, sans-serif"/>
        <color rgb="FF1F1F1F"/>
        <sz val="9.0"/>
      </rPr>
      <t>ember.vonletkemann@multco.us</t>
    </r>
  </si>
  <si>
    <r>
      <rPr>
        <rFont val="&quot;Google Sans&quot;, Roboto, sans-serif"/>
        <color rgb="FF1F1F1F"/>
        <sz val="9.0"/>
      </rPr>
      <t>nicole.thompson@multco.us</t>
    </r>
  </si>
  <si>
    <r>
      <rPr>
        <rFont val="&quot;Google Sans&quot;, Roboto, sans-serif"/>
        <color rgb="FF1F1F1F"/>
        <sz val="9.0"/>
      </rPr>
      <t>jennifer.gulzow@multco.us</t>
    </r>
  </si>
  <si>
    <r>
      <rPr>
        <rFont val="&quot;Google Sans&quot;, Roboto, sans-serif"/>
        <color rgb="FF1F1F1F"/>
        <sz val="9.0"/>
      </rPr>
      <t>hitomi.izawa@multco.us</t>
    </r>
  </si>
  <si>
    <r>
      <rPr>
        <rFont val="&quot;Google Sans&quot;, Roboto, sans-serif"/>
        <color rgb="FF1F1F1F"/>
        <sz val="9.0"/>
      </rPr>
      <t>galen.cohen@multco.us</t>
    </r>
  </si>
  <si>
    <r>
      <rPr>
        <rFont val="&quot;Google Sans&quot;, Roboto, sans-serif"/>
        <color rgb="FF1F1F1F"/>
        <sz val="9.0"/>
      </rPr>
      <t>ana.hristic@multco.us</t>
    </r>
  </si>
  <si>
    <r>
      <rPr>
        <rFont val="&quot;Google Sans&quot;, Roboto, sans-serif"/>
        <color rgb="FF1F1F1F"/>
        <sz val="9.0"/>
      </rPr>
      <t>erika.larson@multco.us</t>
    </r>
  </si>
  <si>
    <r>
      <rPr>
        <rFont val="&quot;Google Sans&quot;, Roboto, sans-serif"/>
        <color rgb="FF1F1F1F"/>
        <sz val="9.0"/>
      </rPr>
      <t>stephen.p.dunlevy@multco.us</t>
    </r>
  </si>
  <si>
    <r>
      <rPr>
        <rFont val="&quot;Google Sans&quot;, Roboto, sans-serif"/>
        <color rgb="FF1F1F1F"/>
        <sz val="9.0"/>
      </rPr>
      <t>rachael.jackson@multco.us</t>
    </r>
  </si>
  <si>
    <r>
      <rPr>
        <rFont val="&quot;Google Sans&quot;, Roboto, sans-serif"/>
        <color rgb="FF1F1F1F"/>
        <sz val="9.0"/>
      </rPr>
      <t>rachael.jackson@multco.us</t>
    </r>
  </si>
  <si>
    <r>
      <rPr>
        <rFont val="&quot;Google Sans&quot;, Roboto, sans-serif"/>
        <color rgb="FF1F1F1F"/>
        <sz val="9.0"/>
      </rPr>
      <t>julia.brown@multco.us</t>
    </r>
  </si>
  <si>
    <r>
      <rPr>
        <rFont val="&quot;Google Sans&quot;, Roboto, sans-serif"/>
        <color rgb="FF1F1F1F"/>
        <sz val="9.0"/>
      </rPr>
      <t>amber.ramos@multco.us</t>
    </r>
  </si>
  <si>
    <r>
      <rPr>
        <rFont val="&quot;Google Sans&quot;, Roboto, sans-serif"/>
        <color rgb="FF1F1F1F"/>
        <sz val="9.0"/>
      </rPr>
      <t>frances.flores@multco.us</t>
    </r>
  </si>
  <si>
    <r>
      <rPr>
        <rFont val="&quot;Google Sans&quot;, Roboto, sans-serif"/>
        <color rgb="FF1F1F1F"/>
        <sz val="9.0"/>
      </rPr>
      <t>erika.larson@multco.us</t>
    </r>
  </si>
  <si>
    <r>
      <rPr>
        <rFont val="&quot;Google Sans&quot;, Roboto, sans-serif"/>
        <color rgb="FF1F1F1F"/>
        <sz val="9.0"/>
      </rPr>
      <t>ayla.terry-mitchell@multco.us</t>
    </r>
  </si>
  <si>
    <r>
      <rPr>
        <rFont val="&quot;Google Sans&quot;, Roboto, sans-serif"/>
        <color rgb="FF1F1F1F"/>
        <sz val="9.0"/>
      </rPr>
      <t>susan.yoon@multco.us</t>
    </r>
  </si>
  <si>
    <r>
      <rPr>
        <rFont val="&quot;Google Sans&quot;, Roboto, sans-serif"/>
        <color rgb="FF1F1F1F"/>
        <sz val="9.0"/>
      </rPr>
      <t>carla.canseco-maca@multco.us</t>
    </r>
  </si>
  <si>
    <r>
      <rPr>
        <rFont val="&quot;Google Sans&quot;, Roboto, sans-serif"/>
        <color rgb="FF1F1F1F"/>
        <sz val="9.0"/>
      </rPr>
      <t>astra.dao@multco.us</t>
    </r>
  </si>
  <si>
    <r>
      <rPr>
        <rFont val="&quot;Google Sans&quot;, Roboto, sans-serif"/>
        <color rgb="FF1F1F1F"/>
        <sz val="9.0"/>
      </rPr>
      <t>carmen.butcher-houston8@multco.us</t>
    </r>
  </si>
  <si>
    <t>Recruiting Platform Costs</t>
  </si>
  <si>
    <r>
      <rPr>
        <rFont val="&quot;Google Sans&quot;, Roboto, sans-serif"/>
        <color rgb="FF1F1F1F"/>
        <sz val="9.0"/>
      </rPr>
      <t>april.taylor@multco.us</t>
    </r>
  </si>
  <si>
    <r>
      <rPr>
        <rFont val="&quot;Google Sans&quot;, Roboto, sans-serif"/>
        <color rgb="FF1F1F1F"/>
        <sz val="9.0"/>
      </rPr>
      <t>carmen.carreras@multco.us</t>
    </r>
  </si>
  <si>
    <r>
      <rPr>
        <rFont val="&quot;Google Sans&quot;, Roboto, sans-serif"/>
        <color rgb="FF1F1F1F"/>
        <sz val="9.0"/>
      </rPr>
      <t>andrew.vargas.delman@multco.us</t>
    </r>
  </si>
  <si>
    <r>
      <rPr>
        <rFont val="&quot;Google Sans&quot;, Roboto, sans-serif"/>
        <color rgb="FF1F1F1F"/>
        <sz val="9.0"/>
      </rPr>
      <t>jesus.navarro.meza@multco.us</t>
    </r>
  </si>
  <si>
    <r>
      <rPr>
        <rFont val="&quot;Google Sans&quot;, Roboto, sans-serif"/>
        <color rgb="FF1F1F1F"/>
        <sz val="9.0"/>
      </rPr>
      <t>cee.bondurant@multco.us</t>
    </r>
  </si>
  <si>
    <t>Part time internships</t>
  </si>
  <si>
    <r>
      <rPr>
        <rFont val="&quot;Google Sans&quot;, Roboto, sans-serif"/>
        <color rgb="FF1F1F1F"/>
        <sz val="9.0"/>
      </rPr>
      <t>billie.gibbs@multco.us</t>
    </r>
  </si>
  <si>
    <r>
      <rPr>
        <rFont val="&quot;Google Sans&quot;, Roboto, sans-serif"/>
        <color rgb="FF1F1F1F"/>
        <sz val="9.0"/>
      </rPr>
      <t>aimee.griffin@multco.us</t>
    </r>
  </si>
  <si>
    <r>
      <rPr>
        <rFont val="&quot;Google Sans&quot;, Roboto, sans-serif"/>
        <color rgb="FF1F1F1F"/>
        <sz val="9.0"/>
      </rPr>
      <t>alicia.r.thompson@multco.us</t>
    </r>
  </si>
  <si>
    <t>Funding for trainings/conferences</t>
  </si>
  <si>
    <t>Clinical Supervision - staff $ for EXTERNAL supervisor</t>
  </si>
  <si>
    <t>SINV.000583728</t>
  </si>
  <si>
    <t>Fiona Chen</t>
  </si>
  <si>
    <t>namon.franklin@multco.us</t>
  </si>
  <si>
    <t>Mark Yeung</t>
  </si>
  <si>
    <t>Jan-Feb 2025</t>
  </si>
  <si>
    <t>SINV.000586907</t>
  </si>
  <si>
    <t>Veronica Valenzuela</t>
  </si>
  <si>
    <t>SINV.000597670</t>
  </si>
  <si>
    <t>Feb - March 2025</t>
  </si>
  <si>
    <t>March - Apr 2025</t>
  </si>
  <si>
    <t>asel.podolskaia@multco.us</t>
  </si>
  <si>
    <t>Rebecca Rocha</t>
  </si>
  <si>
    <t>Apr - May 2025</t>
  </si>
  <si>
    <t>May - June 2025</t>
  </si>
  <si>
    <t>June - July 2025</t>
  </si>
  <si>
    <t>July - Aug 2025</t>
  </si>
  <si>
    <t>Emails - unique</t>
  </si>
  <si>
    <r>
      <rPr>
        <rFont val="Arial"/>
        <b/>
        <color theme="1"/>
      </rPr>
      <t xml:space="preserve">Emails - unique - text only
</t>
    </r>
    <r>
      <rPr>
        <rFont val="Arial"/>
        <b val="0"/>
        <color theme="1"/>
      </rPr>
      <t>Compiled on 1/10/25 (check for new submissions after this date)</t>
    </r>
  </si>
  <si>
    <t>Infra or Clinical</t>
  </si>
  <si>
    <t>Email w/o domain</t>
  </si>
  <si>
    <t>Replace period w/ space</t>
  </si>
  <si>
    <t>Full Name
(Numbers removed)</t>
  </si>
  <si>
    <t>Reverse Full Name</t>
  </si>
  <si>
    <t>Clinical</t>
  </si>
  <si>
    <t>Amairali Blum = Maira Blum</t>
  </si>
  <si>
    <t>Working towards QMHA</t>
  </si>
  <si>
    <t>keri.l.ault@multco.us</t>
  </si>
  <si>
    <t>Has MSW</t>
  </si>
  <si>
    <t>Infra</t>
  </si>
  <si>
    <t>Has QMHA</t>
  </si>
  <si>
    <t>carol.steele@multco.us</t>
  </si>
  <si>
    <t>FUNDING REQUESTS</t>
  </si>
  <si>
    <t>Count of Requests by Employee Type</t>
  </si>
  <si>
    <t>Employee Type</t>
  </si>
  <si>
    <t>Count</t>
  </si>
  <si>
    <t>Percent</t>
  </si>
  <si>
    <t>Amount of Funding of Requests by Employee Type</t>
  </si>
  <si>
    <t>Amount</t>
  </si>
  <si>
    <t>Count of Funding of Requests by Team</t>
  </si>
  <si>
    <t>Team</t>
  </si>
  <si>
    <t>Sr Manager</t>
  </si>
  <si>
    <t>Team Requests</t>
  </si>
  <si>
    <t>Anthony</t>
  </si>
  <si>
    <t>Barb</t>
  </si>
  <si>
    <t>Bill</t>
  </si>
  <si>
    <t>Heather</t>
  </si>
  <si>
    <t>Jen</t>
  </si>
  <si>
    <t>Jessica</t>
  </si>
  <si>
    <t>Yolanda</t>
  </si>
  <si>
    <t>Disaster Management</t>
  </si>
  <si>
    <t>Amount of Funding of Requests by Team</t>
  </si>
  <si>
    <t>Total</t>
  </si>
  <si>
    <t>Amount of Funding Requested by Regular Represented by Type of Funding</t>
  </si>
  <si>
    <t>Type of Funding Requested by Regular Represented</t>
  </si>
  <si>
    <t>Amount of Funding Requested by Non-Represented by Type of Funding</t>
  </si>
  <si>
    <t>Type of Funding Requested by Non-Represented</t>
  </si>
  <si>
    <t>Count of Funding of Requests by Gender</t>
  </si>
  <si>
    <t>Gender</t>
  </si>
  <si>
    <t>Amount of Funding of Requests by Gender</t>
  </si>
  <si>
    <t>APPROVED FUNDING</t>
  </si>
  <si>
    <t>Count of Funding by Employee Type</t>
  </si>
  <si>
    <t>Amount of Funded Requests by Employee Type</t>
  </si>
  <si>
    <t>Amount Funded by Regular Represented by Type of Funding</t>
  </si>
  <si>
    <t>Type of Funded Requested by Regular Represented</t>
  </si>
  <si>
    <t>Clinical Supervision 5% Lead Pay</t>
  </si>
  <si>
    <t>Clinical Supervisor Session Payment</t>
  </si>
  <si>
    <t>Clinical Supervisor CEUs</t>
  </si>
  <si>
    <t>Hours in Supervision</t>
  </si>
  <si>
    <t>CEU related Training/Conference</t>
  </si>
  <si>
    <t>Recruiting Platform</t>
  </si>
  <si>
    <t>Tuition Reimbursement</t>
  </si>
  <si>
    <t>Amount Funded by Regular Non-Represented by Type of Funding</t>
  </si>
  <si>
    <t>Funded Amount by Non-Represented by Type</t>
  </si>
  <si>
    <t>All BHD Funding by Category</t>
  </si>
  <si>
    <t>Count of Fundied Requests by Team</t>
  </si>
  <si>
    <t>Amount of Funded Requests by Team</t>
  </si>
  <si>
    <t>All BHD Demographics</t>
  </si>
  <si>
    <t>Sex (Reporting Purposes)</t>
  </si>
  <si>
    <t>Supervisory Organization</t>
  </si>
  <si>
    <t>Female</t>
  </si>
  <si>
    <t>Crisis Call Center</t>
  </si>
  <si>
    <t>Anthony Jordan)</t>
  </si>
  <si>
    <t>Addictions</t>
  </si>
  <si>
    <t>Adult Protective Services</t>
  </si>
  <si>
    <t>Addictions Benefits Coordination Program</t>
  </si>
  <si>
    <t>Behavioral Health Deputy Director's Offfice</t>
  </si>
  <si>
    <t>Addictions Program</t>
  </si>
  <si>
    <t>Adult Care Coordination</t>
  </si>
  <si>
    <t>On-Call</t>
  </si>
  <si>
    <t>Male</t>
  </si>
  <si>
    <t>Behavioral Health Division - Health &amp; Safety</t>
  </si>
  <si>
    <t>Aid &amp; Assist</t>
  </si>
  <si>
    <t>Bill Osborne</t>
  </si>
  <si>
    <t>Wraparound Program</t>
  </si>
  <si>
    <t>Erica Edwards)</t>
  </si>
  <si>
    <t>AMHI Program</t>
  </si>
  <si>
    <t>Behavioral Health Division</t>
  </si>
  <si>
    <t>Care Coordination</t>
  </si>
  <si>
    <t>Behavioral Health Prevention Program</t>
  </si>
  <si>
    <t>Coordinated Diversion</t>
  </si>
  <si>
    <t>Behavioral Health Response Team</t>
  </si>
  <si>
    <t>Clair Raujol)</t>
  </si>
  <si>
    <t>BHD - Psychiatry</t>
  </si>
  <si>
    <t>Medical Billing</t>
  </si>
  <si>
    <t>BHD Administration</t>
  </si>
  <si>
    <t>Quality Management - Aid &amp; Assist Program</t>
  </si>
  <si>
    <t>Early Assessment and Support</t>
  </si>
  <si>
    <t>Children's Wraparound Program</t>
  </si>
  <si>
    <t>Yolanda Gonzales</t>
  </si>
  <si>
    <t>Henry Catalinich)</t>
  </si>
  <si>
    <t>Commitment Program</t>
  </si>
  <si>
    <t>Community Mental Health Operations</t>
  </si>
  <si>
    <t>Community Mental Health Program</t>
  </si>
  <si>
    <t>Decision Support</t>
  </si>
  <si>
    <t>Jen Gulzow</t>
  </si>
  <si>
    <t>Decision Support - Reporting &amp; Data Management</t>
  </si>
  <si>
    <t>Glen LaFollette)</t>
  </si>
  <si>
    <t>Direct Clinical Services Operations</t>
  </si>
  <si>
    <t>Direct Clinical Services Prevention Team</t>
  </si>
  <si>
    <t>Javelin Hardy)</t>
  </si>
  <si>
    <t>Early Childhood Program</t>
  </si>
  <si>
    <t>Early Childhood Treatment</t>
  </si>
  <si>
    <t>K-12 Expansion Team</t>
  </si>
  <si>
    <t>Medical Records</t>
  </si>
  <si>
    <t>Limited Duration</t>
  </si>
  <si>
    <t>Maggie Manning)</t>
  </si>
  <si>
    <t>Preschool for All Team</t>
  </si>
  <si>
    <t>Quality Management</t>
  </si>
  <si>
    <t>Anirudh Padmala)</t>
  </si>
  <si>
    <t>Ana Hristic)</t>
  </si>
  <si>
    <t>Heather Mirasol)</t>
  </si>
  <si>
    <t>Barbara Snow)</t>
  </si>
  <si>
    <t>GVBHRT)</t>
  </si>
  <si>
    <t>Jenny Tsai)</t>
  </si>
  <si>
    <t>Kelley Duron)</t>
  </si>
  <si>
    <t>Linda Hudson)</t>
  </si>
  <si>
    <t>Jessica Jacobsen)</t>
  </si>
  <si>
    <t>Jennifer Evans)</t>
  </si>
  <si>
    <t>Rashidah Haqq)</t>
  </si>
  <si>
    <t>Joan Stein)</t>
  </si>
  <si>
    <t>Eric Follis)</t>
  </si>
  <si>
    <t>Bill Osborne)</t>
  </si>
  <si>
    <t>Amy Solt)</t>
  </si>
  <si>
    <t>Celia Throop)</t>
  </si>
  <si>
    <t>Cheryl Lemley)</t>
  </si>
  <si>
    <t>Jessica Ramirez-Pichette)</t>
  </si>
  <si>
    <t>natasha archer)</t>
  </si>
  <si>
    <t>Yolanda Gonzalez)</t>
  </si>
  <si>
    <t>Hilary Gray)</t>
  </si>
  <si>
    <t>E. Scott Williams)</t>
  </si>
  <si>
    <t>EASA)</t>
  </si>
  <si>
    <t>Ayla Terry-Mitchell)</t>
  </si>
  <si>
    <t>Hilary Gray</t>
  </si>
  <si>
    <t>Cynthia Lambert)</t>
  </si>
  <si>
    <t>Carmelle Cooper)</t>
  </si>
  <si>
    <t>Temporary With Benefits</t>
  </si>
  <si>
    <t>Kathy McCarter)</t>
  </si>
  <si>
    <t>MITT)</t>
  </si>
  <si>
    <t>Deandre Kenyanjui)</t>
  </si>
  <si>
    <t>Darcell Dance)</t>
  </si>
  <si>
    <t>Billie Gibbs)</t>
  </si>
  <si>
    <t>Sara Simmers)</t>
  </si>
  <si>
    <t>Brett Szymoniak)</t>
  </si>
  <si>
    <t>SBMH) Program</t>
  </si>
  <si>
    <t>Temporary No Benefits</t>
  </si>
  <si>
    <t>name</t>
  </si>
  <si>
    <t>category</t>
  </si>
  <si>
    <t>amount</t>
  </si>
  <si>
    <t>program</t>
  </si>
  <si>
    <t>approval</t>
  </si>
  <si>
    <t>Behavioral Health Resource Center. We are requesting funding for two positions:  Partnership Development Internship and Equity &amp; Harm Reduction Safety Partner Coordinator Internship. The total cost per intern is $15,000 (total $30,000). Thank you!</t>
  </si>
  <si>
    <t>Post Funding Survey</t>
  </si>
  <si>
    <t>All Recipients - 7.23.25</t>
  </si>
  <si>
    <t>Unique</t>
  </si>
  <si>
    <t>Sup/Man Only</t>
  </si>
  <si>
    <t>Represented / Blank</t>
  </si>
  <si>
    <t>All Recipients - 5.21.25</t>
  </si>
  <si>
    <t>Already submitted survey</t>
  </si>
  <si>
    <t>To send survey</t>
  </si>
  <si>
    <t>Address not found - 5/22/25 &gt;&gt; remove from next one</t>
  </si>
  <si>
    <t>isidro54994@gmail.com</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</si>
</sst>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quot;$&quot;#,##0.00"/>
    <numFmt numFmtId="165" formatCode="m/d/yyyy h:mm:ss"/>
    <numFmt numFmtId="166" formatCode="m/d/yy"/>
    <numFmt numFmtId="167" formatCode="m/d"/>
    <numFmt numFmtId="168" formatCode="&quot;$&quot;#,##0"/>
    <numFmt numFmtId="169" formatCode="m/d/yyyy"/>
    <numFmt numFmtId="170" formatCode="mm/dd/yyyy"/>
    <numFmt numFmtId="171" formatCode="_(&quot;$&quot;* #,##0.00_);_(&quot;$&quot;* \(#,##0.00\);_(&quot;$&quot;* &quot;-&quot;??_);_(@_)"/>
    <numFmt numFmtId="172" formatCode="M/d/yyyy"/>
    <numFmt numFmtId="173" formatCode="mmm yyyy"/>
    <numFmt numFmtId="174" formatCode="mmmm yyyy"/>
  </numFmts>
  <fonts count="73">
    <font>
      <sz val="10.0"/>
      <color rgb="FF000000"/>
      <name val="Arial"/>
      <scheme val="minor"/>
    </font>
    <font>
      <b/>
      <sz val="10.0"/>
      <color rgb="FFFFFFFF"/>
      <name val="Arial"/>
      <scheme val="minor"/>
    </font>
    <font>
      <sz val="10.0"/>
      <color rgb="FFFFFFFF"/>
      <name val="Arial"/>
      <scheme val="minor"/>
    </font>
    <font>
      <color theme="1"/>
      <name val="Arial"/>
      <scheme val="minor"/>
    </font>
    <font>
      <color theme="1"/>
      <name val="Arial"/>
    </font>
    <font>
      <u/>
      <color rgb="FF0000FF"/>
    </font>
    <font>
      <sz val="10.0"/>
      <color rgb="FF000000"/>
      <name val="Arial"/>
    </font>
    <font>
      <u/>
      <color rgb="FF0000FF"/>
    </font>
    <font>
      <u/>
      <color rgb="FF0000FF"/>
    </font>
    <font>
      <sz val="11.0"/>
      <color rgb="FF000000"/>
      <name val="Arial"/>
    </font>
    <font>
      <u/>
      <color rgb="FF0000FF"/>
    </font>
    <font>
      <u/>
      <color theme="1"/>
      <name val="Arial"/>
      <scheme val="minor"/>
    </font>
    <font>
      <u/>
      <color rgb="FF0000FF"/>
    </font>
    <font>
      <u/>
      <color rgb="FF0000FF"/>
    </font>
    <font>
      <u/>
      <color rgb="FF0000FF"/>
    </font>
    <font>
      <u/>
      <color rgb="FF0000FF"/>
    </font>
    <font>
      <u/>
      <color rgb="FF0000FF"/>
    </font>
    <font>
      <u/>
      <color rgb="FF0000FF"/>
    </font>
    <font>
      <u/>
      <color rgb="FF0000FF"/>
    </font>
    <font>
      <sz val="11.0"/>
      <color theme="1"/>
      <name val="Arial"/>
      <scheme val="minor"/>
    </font>
    <font>
      <u/>
      <color rgb="FF0000FF"/>
      <name val="Verdana"/>
    </font>
    <font>
      <u/>
      <color rgb="FF0000FF"/>
    </font>
    <font>
      <u/>
      <color rgb="FF0000FF"/>
    </font>
    <font>
      <u/>
      <color rgb="FF1155CC"/>
      <name val="Verdana"/>
    </font>
    <font>
      <u/>
      <color rgb="FF0000FF"/>
    </font>
    <font>
      <u/>
      <sz val="9.0"/>
      <color rgb="FF0000FF"/>
    </font>
    <font>
      <u/>
      <color rgb="FF0000FF"/>
    </font>
    <font>
      <u/>
      <color rgb="FF0000FF"/>
    </font>
    <font>
      <u/>
      <color rgb="FF0000FF"/>
    </font>
    <font>
      <u/>
      <color rgb="FF0000FF"/>
    </font>
    <font>
      <u/>
      <sz val="15.0"/>
      <color rgb="FF0000FF"/>
    </font>
    <font>
      <u/>
      <color rgb="FF0000FF"/>
    </font>
    <font>
      <u/>
      <color rgb="FF0000FF"/>
    </font>
    <font>
      <u/>
      <color rgb="FF0000FF"/>
    </font>
    <font>
      <u/>
      <color rgb="FF0000FF"/>
    </font>
    <font>
      <u/>
      <sz val="15.0"/>
      <color rgb="FF0000FF"/>
    </font>
    <font>
      <u/>
      <sz val="10.0"/>
      <color rgb="FF0000FF"/>
    </font>
    <font>
      <u/>
      <color rgb="FF0000FF"/>
    </font>
    <font>
      <u/>
      <sz val="15.0"/>
      <color rgb="FF0000FF"/>
    </font>
    <font>
      <u/>
      <color theme="1"/>
      <name val="Arial"/>
      <scheme val="minor"/>
    </font>
    <font>
      <u/>
      <color rgb="FF0000FF"/>
    </font>
    <font>
      <u/>
      <color rgb="FF0000FF"/>
    </font>
    <font>
      <color rgb="FF444444"/>
      <name val="Verdana"/>
    </font>
    <font>
      <u/>
      <color rgb="FF444444"/>
      <name val="Verdana"/>
    </font>
    <font>
      <u/>
      <color rgb="FF0000FF"/>
    </font>
    <font>
      <u/>
      <sz val="13.0"/>
      <color rgb="FF0000FF"/>
    </font>
    <font>
      <u/>
      <color rgb="FF0000FF"/>
    </font>
    <font>
      <u/>
      <color rgb="FF0000FF"/>
    </font>
    <font>
      <u/>
      <color rgb="FF0000FF"/>
    </font>
    <font>
      <u/>
      <color rgb="FF0000FF"/>
    </font>
    <font>
      <u/>
      <sz val="11.0"/>
      <color rgb="FF0000FF"/>
    </font>
    <font>
      <u/>
      <color rgb="FF0000FF"/>
    </font>
    <font>
      <u/>
      <color rgb="FF0000FF"/>
    </font>
    <font>
      <b/>
      <sz val="10.0"/>
      <color theme="1"/>
      <name val="Arial"/>
      <scheme val="minor"/>
    </font>
    <font>
      <sz val="10.0"/>
      <color theme="1"/>
      <name val="Arial"/>
      <scheme val="minor"/>
    </font>
    <font>
      <sz val="10.0"/>
      <color rgb="FFFF0000"/>
      <name val="Arial"/>
      <scheme val="minor"/>
    </font>
    <font>
      <b/>
      <color theme="1"/>
      <name val="Arial"/>
    </font>
    <font>
      <sz val="10.0"/>
      <color rgb="FF1F1F1F"/>
      <name val="Arial"/>
      <scheme val="minor"/>
    </font>
    <font>
      <color rgb="FF000000"/>
      <name val="Arial"/>
    </font>
    <font>
      <sz val="9.0"/>
      <color rgb="FF000000"/>
      <name val="Arial"/>
    </font>
    <font>
      <sz val="9.0"/>
      <color rgb="FF1F1F1F"/>
      <name val="&quot;Google Sans&quot;"/>
    </font>
    <font>
      <b/>
      <color theme="1"/>
      <name val="Arial"/>
      <scheme val="minor"/>
    </font>
    <font>
      <u/>
      <color rgb="FF0000FF"/>
    </font>
    <font>
      <sz val="11.0"/>
      <color theme="1"/>
      <name val="Arial"/>
    </font>
    <font>
      <b/>
      <sz val="17.0"/>
      <color theme="1"/>
      <name val="Arial"/>
      <scheme val="minor"/>
    </font>
    <font>
      <sz val="9.0"/>
      <color rgb="FF000000"/>
      <name val="&quot;Google Sans Mono&quot;"/>
    </font>
    <font>
      <sz val="9.0"/>
      <color theme="1"/>
      <name val="&quot;Google Sans Mono&quot;"/>
    </font>
    <font>
      <b/>
      <sz val="9.0"/>
      <color rgb="FF000000"/>
      <name val="&quot;Google Sans Mono&quot;"/>
    </font>
    <font>
      <b/>
      <color rgb="FF000000"/>
      <name val="Arial"/>
      <scheme val="minor"/>
    </font>
    <font>
      <color rgb="FF000000"/>
      <name val="Arial"/>
      <scheme val="minor"/>
    </font>
    <font>
      <b/>
      <sz val="17.0"/>
      <color theme="1"/>
      <name val="Arial"/>
    </font>
    <font>
      <b/>
      <sz val="12.0"/>
      <color theme="1"/>
      <name val="Arial"/>
    </font>
    <font>
      <b/>
      <sz val="12.0"/>
      <color theme="1"/>
      <name val="Arial"/>
      <scheme val="minor"/>
    </font>
  </fonts>
  <fills count="33">
    <fill>
      <patternFill patternType="none"/>
    </fill>
    <fill>
      <patternFill patternType="lightGray"/>
    </fill>
    <fill>
      <patternFill patternType="solid">
        <fgColor rgb="FF000000"/>
        <bgColor rgb="FF000000"/>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FFFF00"/>
        <bgColor rgb="FFFFFF00"/>
      </patternFill>
    </fill>
    <fill>
      <patternFill patternType="solid">
        <fgColor rgb="FFB6D7A8"/>
        <bgColor rgb="FFB6D7A8"/>
      </patternFill>
    </fill>
    <fill>
      <patternFill patternType="solid">
        <fgColor rgb="FFD9D2E9"/>
        <bgColor rgb="FFD9D2E9"/>
      </patternFill>
    </fill>
    <fill>
      <patternFill patternType="solid">
        <fgColor rgb="FFCCCCCC"/>
        <bgColor rgb="FFCCCCCC"/>
      </patternFill>
    </fill>
    <fill>
      <patternFill patternType="solid">
        <fgColor rgb="FFFCE5CD"/>
        <bgColor rgb="FFFCE5CD"/>
      </patternFill>
    </fill>
    <fill>
      <patternFill patternType="solid">
        <fgColor rgb="FFD9D9D9"/>
        <bgColor rgb="FFD9D9D9"/>
      </patternFill>
    </fill>
    <fill>
      <patternFill patternType="solid">
        <fgColor rgb="FFCFE2F3"/>
        <bgColor rgb="FFCFE2F3"/>
      </patternFill>
    </fill>
    <fill>
      <patternFill patternType="solid">
        <fgColor rgb="FFFFFFFF"/>
        <bgColor rgb="FFFFFFFF"/>
      </patternFill>
    </fill>
    <fill>
      <patternFill patternType="solid">
        <fgColor rgb="FFC9DAF8"/>
        <bgColor rgb="FFC9DAF8"/>
      </patternFill>
    </fill>
    <fill>
      <patternFill patternType="solid">
        <fgColor rgb="FFEFEFEF"/>
        <bgColor rgb="FFEFEFEF"/>
      </patternFill>
    </fill>
    <fill>
      <patternFill patternType="solid">
        <fgColor rgb="FFB7B7B7"/>
        <bgColor rgb="FFB7B7B7"/>
      </patternFill>
    </fill>
    <fill>
      <patternFill patternType="solid">
        <fgColor rgb="FF9FC5E8"/>
        <bgColor rgb="FF9FC5E8"/>
      </patternFill>
    </fill>
    <fill>
      <patternFill patternType="solid">
        <fgColor rgb="FFB4A7D6"/>
        <bgColor rgb="FFB4A7D6"/>
      </patternFill>
    </fill>
    <fill>
      <patternFill patternType="solid">
        <fgColor rgb="FFEAD1DC"/>
        <bgColor rgb="FFEAD1DC"/>
      </patternFill>
    </fill>
    <fill>
      <patternFill patternType="solid">
        <fgColor rgb="FFF9CB9C"/>
        <bgColor rgb="FFF9CB9C"/>
      </patternFill>
    </fill>
    <fill>
      <patternFill patternType="solid">
        <fgColor rgb="FF00FF00"/>
        <bgColor rgb="FF00FF00"/>
      </patternFill>
    </fill>
    <fill>
      <patternFill patternType="solid">
        <fgColor rgb="FFF4CCCC"/>
        <bgColor rgb="FFF4CCCC"/>
      </patternFill>
    </fill>
    <fill>
      <patternFill patternType="solid">
        <fgColor rgb="FFD0E0E3"/>
        <bgColor rgb="FFD0E0E3"/>
      </patternFill>
    </fill>
    <fill>
      <patternFill patternType="solid">
        <fgColor rgb="FFFF00FF"/>
        <bgColor rgb="FFFF00FF"/>
      </patternFill>
    </fill>
    <fill>
      <patternFill patternType="solid">
        <fgColor theme="8"/>
        <bgColor theme="8"/>
      </patternFill>
    </fill>
    <fill>
      <patternFill patternType="solid">
        <fgColor rgb="FFF7CB4D"/>
        <bgColor rgb="FFF7CB4D"/>
      </patternFill>
    </fill>
    <fill>
      <patternFill patternType="solid">
        <fgColor theme="4"/>
        <bgColor theme="4"/>
      </patternFill>
    </fill>
    <fill>
      <patternFill patternType="solid">
        <fgColor rgb="FF8E7CC3"/>
        <bgColor rgb="FF8E7CC3"/>
      </patternFill>
    </fill>
    <fill>
      <patternFill patternType="solid">
        <fgColor rgb="FFE06666"/>
        <bgColor rgb="FFE06666"/>
      </patternFill>
    </fill>
    <fill>
      <patternFill patternType="solid">
        <fgColor rgb="FFFF0000"/>
        <bgColor rgb="FFFF0000"/>
      </patternFill>
    </fill>
    <fill>
      <patternFill patternType="solid">
        <fgColor rgb="FF4A86E8"/>
        <bgColor rgb="FF4A86E8"/>
      </patternFill>
    </fill>
    <fill>
      <patternFill patternType="solid">
        <fgColor rgb="FFFFE699"/>
        <bgColor rgb="FFFFE6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6">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1" fillId="2" fontId="1" numFmtId="0" xfId="0" applyAlignment="1" applyBorder="1" applyFont="1">
      <alignment horizontal="left" shrinkToFit="0" vertical="top" wrapText="1"/>
    </xf>
    <xf borderId="1" fillId="2" fontId="1" numFmtId="164" xfId="0" applyAlignment="1" applyBorder="1" applyFont="1" applyNumberFormat="1">
      <alignment horizontal="left" shrinkToFit="0" vertical="top" wrapText="1"/>
    </xf>
    <xf borderId="1" fillId="2" fontId="2" numFmtId="0" xfId="0" applyAlignment="1" applyBorder="1" applyFont="1">
      <alignment horizontal="left" shrinkToFit="0" vertical="top" wrapText="1"/>
    </xf>
    <xf borderId="1" fillId="2" fontId="2" numFmtId="0" xfId="0" applyAlignment="1" applyBorder="1" applyFont="1">
      <alignment horizontal="left" readingOrder="0" shrinkToFit="0" vertical="top" wrapText="1"/>
    </xf>
    <xf borderId="1" fillId="2" fontId="1" numFmtId="0" xfId="0" applyAlignment="1" applyBorder="1" applyFont="1">
      <alignment horizontal="left" readingOrder="0" shrinkToFit="0" vertical="top" wrapText="1"/>
    </xf>
    <xf borderId="0" fillId="2" fontId="1" numFmtId="0" xfId="0" applyAlignment="1" applyFont="1">
      <alignment horizontal="left" readingOrder="0" shrinkToFit="0" vertical="top" wrapText="1"/>
    </xf>
    <xf borderId="0" fillId="3" fontId="3" numFmtId="0" xfId="0" applyAlignment="1" applyFill="1" applyFont="1">
      <alignment horizontal="left" readingOrder="0" shrinkToFit="0" vertical="top" wrapText="1"/>
    </xf>
    <xf borderId="1" fillId="3" fontId="3" numFmtId="165" xfId="0" applyAlignment="1" applyBorder="1" applyFont="1" applyNumberFormat="1">
      <alignment horizontal="left" readingOrder="0" shrinkToFit="0" vertical="top" wrapText="1"/>
    </xf>
    <xf borderId="1" fillId="3" fontId="3" numFmtId="164" xfId="0" applyAlignment="1" applyBorder="1" applyFont="1" applyNumberFormat="1">
      <alignment horizontal="left" readingOrder="0" shrinkToFit="0" vertical="top" wrapText="1"/>
    </xf>
    <xf borderId="1" fillId="3" fontId="3" numFmtId="0" xfId="0" applyAlignment="1" applyBorder="1" applyFont="1">
      <alignment horizontal="left" readingOrder="0" shrinkToFit="0" vertical="top" wrapText="1"/>
    </xf>
    <xf borderId="1" fillId="3" fontId="3" numFmtId="0" xfId="0" applyAlignment="1" applyBorder="1" applyFont="1">
      <alignment horizontal="left" shrinkToFit="0" vertical="top" wrapText="1"/>
    </xf>
    <xf borderId="1" fillId="4" fontId="4" numFmtId="0" xfId="0" applyAlignment="1" applyBorder="1" applyFill="1" applyFont="1">
      <alignment horizontal="left" readingOrder="0" shrinkToFit="0" vertical="top" wrapText="1"/>
    </xf>
    <xf borderId="1" fillId="3" fontId="3" numFmtId="0" xfId="0" applyAlignment="1" applyBorder="1" applyFont="1">
      <alignment horizontal="left" readingOrder="0" shrinkToFit="0" vertical="top" wrapText="1"/>
    </xf>
    <xf borderId="0" fillId="4" fontId="4" numFmtId="0" xfId="0" applyAlignment="1" applyFont="1">
      <alignment horizontal="left" readingOrder="0" shrinkToFit="0" vertical="top" wrapText="1"/>
    </xf>
    <xf borderId="1" fillId="5" fontId="3" numFmtId="0" xfId="0" applyAlignment="1" applyBorder="1" applyFill="1" applyFont="1">
      <alignment horizontal="left" readingOrder="0" shrinkToFit="0" vertical="top" wrapText="1"/>
    </xf>
    <xf borderId="0" fillId="4" fontId="3" numFmtId="0" xfId="0" applyAlignment="1" applyFont="1">
      <alignment horizontal="left" readingOrder="0" shrinkToFit="0" vertical="top" wrapText="1"/>
    </xf>
    <xf borderId="1" fillId="4" fontId="3" numFmtId="165" xfId="0" applyAlignment="1" applyBorder="1" applyFont="1" applyNumberFormat="1">
      <alignment horizontal="left" readingOrder="0" shrinkToFit="0" vertical="top" wrapText="1"/>
    </xf>
    <xf borderId="1" fillId="4" fontId="3" numFmtId="164" xfId="0" applyAlignment="1" applyBorder="1" applyFont="1" applyNumberFormat="1">
      <alignment horizontal="left" readingOrder="0" shrinkToFit="0" vertical="top" wrapText="1"/>
    </xf>
    <xf borderId="1" fillId="4" fontId="3" numFmtId="0" xfId="0" applyAlignment="1" applyBorder="1" applyFont="1">
      <alignment horizontal="left" readingOrder="0" shrinkToFit="0" vertical="top" wrapText="1"/>
    </xf>
    <xf borderId="1" fillId="4" fontId="3" numFmtId="0" xfId="0" applyAlignment="1" applyBorder="1" applyFont="1">
      <alignment horizontal="left" shrinkToFit="0" vertical="top" wrapText="1"/>
    </xf>
    <xf borderId="1" fillId="4" fontId="3" numFmtId="0" xfId="0" applyAlignment="1" applyBorder="1" applyFont="1">
      <alignment horizontal="left" readingOrder="0" shrinkToFit="0" vertical="top" wrapText="1"/>
    </xf>
    <xf borderId="1" fillId="6" fontId="3" numFmtId="164" xfId="0" applyAlignment="1" applyBorder="1" applyFill="1" applyFont="1" applyNumberFormat="1">
      <alignment horizontal="left" readingOrder="0" shrinkToFit="0" vertical="top" wrapText="1"/>
    </xf>
    <xf borderId="1" fillId="3" fontId="5" numFmtId="0" xfId="0" applyAlignment="1" applyBorder="1" applyFont="1">
      <alignment horizontal="left" readingOrder="0" shrinkToFit="0" vertical="top" wrapText="1"/>
    </xf>
    <xf borderId="1" fillId="3" fontId="3" numFmtId="166" xfId="0" applyAlignment="1" applyBorder="1" applyFont="1" applyNumberFormat="1">
      <alignment horizontal="left" readingOrder="0" shrinkToFit="0" vertical="top" wrapText="1"/>
    </xf>
    <xf borderId="1" fillId="3" fontId="6" numFmtId="0" xfId="0" applyAlignment="1" applyBorder="1" applyFont="1">
      <alignment horizontal="left" readingOrder="0" shrinkToFit="0" vertical="top" wrapText="1"/>
    </xf>
    <xf borderId="1" fillId="0" fontId="4" numFmtId="0" xfId="0" applyAlignment="1" applyBorder="1" applyFont="1">
      <alignment horizontal="left" readingOrder="0" shrinkToFit="0" vertical="top" wrapText="1"/>
    </xf>
    <xf borderId="1" fillId="3" fontId="7" numFmtId="0" xfId="0" applyAlignment="1" applyBorder="1" applyFont="1">
      <alignment horizontal="left" readingOrder="0" shrinkToFit="0" vertical="top" wrapText="1"/>
    </xf>
    <xf borderId="1" fillId="4" fontId="8"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0" fillId="7" fontId="3" numFmtId="0" xfId="0" applyAlignment="1" applyFill="1" applyFont="1">
      <alignment horizontal="left" readingOrder="0" shrinkToFit="0" vertical="top" wrapText="1"/>
    </xf>
    <xf borderId="1" fillId="7" fontId="3" numFmtId="165" xfId="0" applyAlignment="1" applyBorder="1" applyFont="1" applyNumberFormat="1">
      <alignment horizontal="left" readingOrder="0" shrinkToFit="0" vertical="top" wrapText="1"/>
    </xf>
    <xf borderId="1" fillId="7" fontId="3" numFmtId="164" xfId="0" applyAlignment="1" applyBorder="1" applyFont="1" applyNumberFormat="1">
      <alignment horizontal="left" readingOrder="0" shrinkToFit="0" vertical="top" wrapText="1"/>
    </xf>
    <xf borderId="1" fillId="7" fontId="3" numFmtId="0" xfId="0" applyAlignment="1" applyBorder="1" applyFont="1">
      <alignment horizontal="left" readingOrder="0" shrinkToFit="0" vertical="top" wrapText="1"/>
    </xf>
    <xf borderId="1" fillId="7" fontId="3" numFmtId="0" xfId="0" applyAlignment="1" applyBorder="1" applyFont="1">
      <alignment horizontal="left" shrinkToFit="0" vertical="top" wrapText="1"/>
    </xf>
    <xf borderId="1" fillId="3" fontId="3" numFmtId="167" xfId="0" applyAlignment="1" applyBorder="1" applyFont="1" applyNumberFormat="1">
      <alignment horizontal="left" readingOrder="0" shrinkToFit="0" vertical="top" wrapText="1"/>
    </xf>
    <xf borderId="1" fillId="3" fontId="9" numFmtId="0" xfId="0" applyAlignment="1" applyBorder="1" applyFont="1">
      <alignment horizontal="left" readingOrder="0" shrinkToFit="0" vertical="top" wrapText="1"/>
    </xf>
    <xf borderId="0" fillId="3" fontId="3" numFmtId="0" xfId="0" applyAlignment="1" applyFont="1">
      <alignment horizontal="left" readingOrder="0" shrinkToFit="0" vertical="top" wrapText="1"/>
    </xf>
    <xf borderId="1" fillId="0" fontId="3" numFmtId="0" xfId="0" applyAlignment="1" applyBorder="1" applyFont="1">
      <alignment shrinkToFit="0" vertical="top" wrapText="1"/>
    </xf>
    <xf borderId="1" fillId="3" fontId="3" numFmtId="0" xfId="0" applyAlignment="1" applyBorder="1" applyFont="1">
      <alignment horizontal="left" readingOrder="0" shrinkToFit="0" vertical="top" wrapText="1"/>
    </xf>
    <xf borderId="0" fillId="3" fontId="3"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1" fillId="0" fontId="3" numFmtId="165" xfId="0" applyAlignment="1" applyBorder="1" applyFont="1" applyNumberFormat="1">
      <alignment horizontal="left" readingOrder="0" shrinkToFit="0" vertical="top" wrapText="1"/>
    </xf>
    <xf borderId="1" fillId="0" fontId="3" numFmtId="164" xfId="0" applyAlignment="1" applyBorder="1" applyFont="1" applyNumberFormat="1">
      <alignment horizontal="left" readingOrder="0" shrinkToFit="0" vertical="top" wrapText="1"/>
    </xf>
    <xf borderId="1" fillId="0" fontId="3" numFmtId="0" xfId="0" applyAlignment="1" applyBorder="1" applyFont="1">
      <alignment horizontal="left" readingOrder="0" shrinkToFit="0" vertical="top" wrapText="1"/>
    </xf>
    <xf borderId="1" fillId="0" fontId="10"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4" fontId="3" numFmtId="166" xfId="0" applyAlignment="1" applyBorder="1" applyFont="1" applyNumberFormat="1">
      <alignment horizontal="left" readingOrder="0" shrinkToFit="0" vertical="top" wrapText="1"/>
    </xf>
    <xf borderId="1" fillId="4" fontId="9" numFmtId="0" xfId="0" applyAlignment="1" applyBorder="1" applyFont="1">
      <alignment horizontal="left" readingOrder="0" shrinkToFit="0" vertical="top" wrapText="1"/>
    </xf>
    <xf borderId="0" fillId="4" fontId="3" numFmtId="0" xfId="0" applyAlignment="1" applyFont="1">
      <alignment horizontal="left" readingOrder="0" shrinkToFit="0" vertical="top" wrapText="1"/>
    </xf>
    <xf borderId="1" fillId="7" fontId="3" numFmtId="166" xfId="0" applyAlignment="1" applyBorder="1" applyFont="1" applyNumberFormat="1">
      <alignment horizontal="left" readingOrder="0" shrinkToFit="0" vertical="top" wrapText="1"/>
    </xf>
    <xf borderId="1" fillId="7" fontId="4" numFmtId="0" xfId="0" applyAlignment="1" applyBorder="1" applyFont="1">
      <alignment horizontal="left" readingOrder="0" shrinkToFit="0" vertical="top" wrapText="1"/>
    </xf>
    <xf borderId="0" fillId="7" fontId="3" numFmtId="0" xfId="0" applyAlignment="1" applyFont="1">
      <alignment horizontal="left" shrinkToFit="0" vertical="top" wrapText="1"/>
    </xf>
    <xf borderId="0" fillId="6" fontId="3" numFmtId="0" xfId="0" applyAlignment="1" applyFont="1">
      <alignment horizontal="left" readingOrder="0" shrinkToFit="0" vertical="top" wrapText="1"/>
    </xf>
    <xf borderId="1" fillId="6" fontId="3" numFmtId="165" xfId="0" applyAlignment="1" applyBorder="1" applyFont="1" applyNumberFormat="1">
      <alignment horizontal="left" readingOrder="0" shrinkToFit="0" vertical="top" wrapText="1"/>
    </xf>
    <xf borderId="1" fillId="6" fontId="3" numFmtId="0" xfId="0" applyAlignment="1" applyBorder="1" applyFont="1">
      <alignment horizontal="left" readingOrder="0" shrinkToFit="0" vertical="top" wrapText="1"/>
    </xf>
    <xf borderId="1" fillId="6" fontId="3" numFmtId="0" xfId="0" applyAlignment="1" applyBorder="1" applyFont="1">
      <alignment horizontal="left" shrinkToFit="0" vertical="top" wrapText="1"/>
    </xf>
    <xf borderId="1" fillId="6" fontId="3" numFmtId="167" xfId="0" applyAlignment="1" applyBorder="1" applyFont="1" applyNumberFormat="1">
      <alignment horizontal="left" readingOrder="0" shrinkToFit="0" vertical="top" wrapText="1"/>
    </xf>
    <xf borderId="1" fillId="6" fontId="9" numFmtId="0" xfId="0" applyAlignment="1" applyBorder="1" applyFont="1">
      <alignment horizontal="left" readingOrder="0" shrinkToFit="0" vertical="top" wrapText="1"/>
    </xf>
    <xf borderId="1" fillId="6" fontId="4" numFmtId="0" xfId="0" applyAlignment="1" applyBorder="1" applyFont="1">
      <alignment horizontal="left" readingOrder="0" shrinkToFit="0" vertical="top" wrapText="1"/>
    </xf>
    <xf borderId="0" fillId="6" fontId="3" numFmtId="0" xfId="0" applyAlignment="1" applyFont="1">
      <alignment horizontal="left" shrinkToFit="0" vertical="top" wrapText="1"/>
    </xf>
    <xf borderId="0" fillId="8" fontId="3" numFmtId="0" xfId="0" applyAlignment="1" applyFill="1" applyFont="1">
      <alignment horizontal="left" readingOrder="0" shrinkToFit="0" vertical="top" wrapText="1"/>
    </xf>
    <xf borderId="1" fillId="8" fontId="3" numFmtId="165" xfId="0" applyAlignment="1" applyBorder="1" applyFont="1" applyNumberFormat="1">
      <alignment horizontal="left" readingOrder="0" shrinkToFit="0" vertical="top" wrapText="1"/>
    </xf>
    <xf borderId="1" fillId="8" fontId="3" numFmtId="164" xfId="0" applyAlignment="1" applyBorder="1" applyFont="1" applyNumberFormat="1">
      <alignment horizontal="left" readingOrder="0" shrinkToFit="0" vertical="top" wrapText="1"/>
    </xf>
    <xf borderId="1" fillId="8" fontId="3" numFmtId="0" xfId="0" applyAlignment="1" applyBorder="1" applyFont="1">
      <alignment horizontal="left" readingOrder="0" shrinkToFit="0" vertical="top" wrapText="1"/>
    </xf>
    <xf borderId="1" fillId="8" fontId="3" numFmtId="0" xfId="0" applyAlignment="1" applyBorder="1" applyFont="1">
      <alignment horizontal="left" shrinkToFit="0" vertical="top" wrapText="1"/>
    </xf>
    <xf borderId="1" fillId="0" fontId="11" numFmtId="0" xfId="0" applyAlignment="1" applyBorder="1" applyFont="1">
      <alignment horizontal="left" readingOrder="0" shrinkToFit="0" vertical="top" wrapText="1"/>
    </xf>
    <xf borderId="1" fillId="0" fontId="12"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3" fontId="4" numFmtId="0" xfId="0" applyAlignment="1" applyBorder="1" applyFont="1">
      <alignment horizontal="left" readingOrder="0" shrinkToFit="0" vertical="top" wrapText="1"/>
    </xf>
    <xf borderId="1" fillId="3" fontId="3" numFmtId="168" xfId="0" applyAlignment="1" applyBorder="1" applyFont="1" applyNumberFormat="1">
      <alignment horizontal="left" readingOrder="0" shrinkToFit="0" vertical="top" wrapText="1"/>
    </xf>
    <xf borderId="0" fillId="9" fontId="3" numFmtId="0" xfId="0" applyAlignment="1" applyFill="1" applyFont="1">
      <alignment horizontal="left" readingOrder="0" shrinkToFit="0" vertical="top" wrapText="1"/>
    </xf>
    <xf borderId="1" fillId="9" fontId="3" numFmtId="165" xfId="0" applyAlignment="1" applyBorder="1" applyFont="1" applyNumberFormat="1">
      <alignment horizontal="left" readingOrder="0" shrinkToFit="0" vertical="top" wrapText="1"/>
    </xf>
    <xf borderId="1" fillId="9" fontId="3" numFmtId="164" xfId="0" applyAlignment="1" applyBorder="1" applyFont="1" applyNumberFormat="1">
      <alignment horizontal="left" readingOrder="0" shrinkToFit="0" vertical="top" wrapText="1"/>
    </xf>
    <xf borderId="1" fillId="9" fontId="3" numFmtId="0" xfId="0" applyAlignment="1" applyBorder="1" applyFont="1">
      <alignment horizontal="left" readingOrder="0" shrinkToFit="0" vertical="top" wrapText="1"/>
    </xf>
    <xf borderId="1" fillId="9" fontId="13" numFmtId="0" xfId="0" applyAlignment="1" applyBorder="1" applyFont="1">
      <alignment horizontal="left" readingOrder="0" shrinkToFit="0" vertical="top" wrapText="1"/>
    </xf>
    <xf borderId="1" fillId="3" fontId="3" numFmtId="164" xfId="0" applyAlignment="1" applyBorder="1" applyFont="1" applyNumberFormat="1">
      <alignment horizontal="left" readingOrder="0" shrinkToFit="0" vertical="top" wrapText="1"/>
    </xf>
    <xf borderId="1" fillId="3" fontId="3" numFmtId="169" xfId="0" applyAlignment="1" applyBorder="1" applyFont="1" applyNumberFormat="1">
      <alignment horizontal="left" readingOrder="0" shrinkToFit="0" vertical="top" wrapText="1"/>
    </xf>
    <xf borderId="1" fillId="10" fontId="3" numFmtId="0" xfId="0" applyAlignment="1" applyBorder="1" applyFill="1" applyFont="1">
      <alignment horizontal="left" readingOrder="0" shrinkToFit="0" vertical="top" wrapText="1"/>
    </xf>
    <xf borderId="1" fillId="10" fontId="3" numFmtId="165" xfId="0" applyAlignment="1" applyBorder="1" applyFont="1" applyNumberFormat="1">
      <alignment horizontal="left" readingOrder="0" shrinkToFit="0" vertical="top" wrapText="1"/>
    </xf>
    <xf borderId="1" fillId="10" fontId="3" numFmtId="164" xfId="0" applyAlignment="1" applyBorder="1" applyFont="1" applyNumberFormat="1">
      <alignment horizontal="left" readingOrder="0" shrinkToFit="0" vertical="top" wrapText="1"/>
    </xf>
    <xf borderId="1" fillId="10" fontId="3" numFmtId="0" xfId="0" applyAlignment="1" applyBorder="1" applyFont="1">
      <alignment horizontal="left" shrinkToFit="0" vertical="top" wrapText="1"/>
    </xf>
    <xf borderId="0" fillId="0" fontId="3" numFmtId="0" xfId="0" applyAlignment="1" applyFont="1">
      <alignment shrinkToFit="0" vertical="top" wrapText="1"/>
    </xf>
    <xf borderId="1" fillId="4" fontId="3" numFmtId="164" xfId="0" applyAlignment="1" applyBorder="1" applyFont="1" applyNumberFormat="1">
      <alignment horizontal="left" readingOrder="0" shrinkToFit="0" vertical="top" wrapText="1"/>
    </xf>
    <xf borderId="1" fillId="4" fontId="14" numFmtId="0" xfId="0" applyAlignment="1" applyBorder="1" applyFont="1">
      <alignment horizontal="left" readingOrder="0" shrinkToFit="0" vertical="top" wrapText="1"/>
    </xf>
    <xf borderId="1" fillId="3" fontId="3" numFmtId="0" xfId="0" applyAlignment="1" applyBorder="1" applyFont="1">
      <alignment readingOrder="0" shrinkToFit="0" vertical="top" wrapText="1"/>
    </xf>
    <xf borderId="1" fillId="3" fontId="3" numFmtId="165" xfId="0" applyAlignment="1" applyBorder="1" applyFont="1" applyNumberFormat="1">
      <alignment readingOrder="0" shrinkToFit="0" vertical="top" wrapText="1"/>
    </xf>
    <xf borderId="1" fillId="3" fontId="3" numFmtId="164" xfId="0" applyAlignment="1" applyBorder="1" applyFont="1" applyNumberFormat="1">
      <alignment readingOrder="0" shrinkToFit="0" vertical="top" wrapText="1"/>
    </xf>
    <xf borderId="1" fillId="3" fontId="3" numFmtId="0" xfId="0" applyAlignment="1" applyBorder="1" applyFont="1">
      <alignment shrinkToFit="0" vertical="top" wrapText="1"/>
    </xf>
    <xf borderId="1" fillId="4" fontId="3" numFmtId="0" xfId="0" applyAlignment="1" applyBorder="1" applyFont="1">
      <alignment readingOrder="0" shrinkToFit="0" vertical="top" wrapText="1"/>
    </xf>
    <xf borderId="1" fillId="4" fontId="3" numFmtId="165" xfId="0" applyAlignment="1" applyBorder="1" applyFont="1" applyNumberFormat="1">
      <alignment readingOrder="0" shrinkToFit="0" vertical="top" wrapText="1"/>
    </xf>
    <xf borderId="1" fillId="4" fontId="3" numFmtId="164" xfId="0" applyAlignment="1" applyBorder="1" applyFont="1" applyNumberFormat="1">
      <alignment readingOrder="0" shrinkToFit="0" vertical="top" wrapText="1"/>
    </xf>
    <xf borderId="1" fillId="4" fontId="3" numFmtId="164" xfId="0" applyAlignment="1" applyBorder="1" applyFont="1" applyNumberFormat="1">
      <alignment readingOrder="0" shrinkToFit="0" vertical="top" wrapText="1"/>
    </xf>
    <xf borderId="1" fillId="4" fontId="3" numFmtId="0" xfId="0" applyAlignment="1" applyBorder="1" applyFont="1">
      <alignment shrinkToFit="0" vertical="top" wrapText="1"/>
    </xf>
    <xf borderId="1" fillId="4" fontId="15" numFmtId="0" xfId="0" applyAlignment="1" applyBorder="1" applyFont="1">
      <alignment readingOrder="0" shrinkToFit="0" vertical="top" wrapText="1"/>
    </xf>
    <xf borderId="1" fillId="4" fontId="3" numFmtId="0" xfId="0" applyAlignment="1" applyBorder="1" applyFont="1">
      <alignment readingOrder="0" shrinkToFit="0" vertical="top" wrapText="1"/>
    </xf>
    <xf borderId="1" fillId="4" fontId="3" numFmtId="169" xfId="0" applyAlignment="1" applyBorder="1" applyFont="1" applyNumberFormat="1">
      <alignment readingOrder="0" shrinkToFit="0" vertical="top" wrapText="1"/>
    </xf>
    <xf borderId="0" fillId="4" fontId="3" numFmtId="0" xfId="0" applyAlignment="1" applyFont="1">
      <alignment readingOrder="0" shrinkToFit="0" vertical="top" wrapText="1"/>
    </xf>
    <xf borderId="1" fillId="3" fontId="3" numFmtId="164" xfId="0" applyAlignment="1" applyBorder="1" applyFont="1" applyNumberFormat="1">
      <alignment readingOrder="0" shrinkToFit="0" vertical="top" wrapText="1"/>
    </xf>
    <xf borderId="1" fillId="3" fontId="16" numFmtId="0" xfId="0" applyAlignment="1" applyBorder="1" applyFont="1">
      <alignment readingOrder="0" shrinkToFit="0" vertical="top" wrapText="1"/>
    </xf>
    <xf borderId="1" fillId="8" fontId="3" numFmtId="168" xfId="0" applyAlignment="1" applyBorder="1" applyFont="1" applyNumberFormat="1">
      <alignment horizontal="left" readingOrder="0" shrinkToFit="0" vertical="top" wrapText="1"/>
    </xf>
    <xf borderId="1" fillId="7" fontId="3" numFmtId="3" xfId="0" applyAlignment="1" applyBorder="1" applyFont="1" applyNumberFormat="1">
      <alignment horizontal="left" readingOrder="0" shrinkToFit="0" vertical="top" wrapText="1"/>
    </xf>
    <xf borderId="1" fillId="7" fontId="3" numFmtId="168" xfId="0" applyAlignment="1" applyBorder="1" applyFont="1" applyNumberFormat="1">
      <alignment horizontal="left" readingOrder="0" shrinkToFit="0" vertical="top" wrapText="1"/>
    </xf>
    <xf borderId="1" fillId="7" fontId="3" numFmtId="0" xfId="0" applyAlignment="1" applyBorder="1" applyFont="1">
      <alignment readingOrder="0" shrinkToFit="0" vertical="top" wrapText="1"/>
    </xf>
    <xf borderId="1" fillId="7" fontId="3" numFmtId="165" xfId="0" applyAlignment="1" applyBorder="1" applyFont="1" applyNumberFormat="1">
      <alignment readingOrder="0" shrinkToFit="0" vertical="top" wrapText="1"/>
    </xf>
    <xf borderId="1" fillId="7" fontId="3" numFmtId="164" xfId="0" applyAlignment="1" applyBorder="1" applyFont="1" applyNumberFormat="1">
      <alignment readingOrder="0" shrinkToFit="0" vertical="top" wrapText="1"/>
    </xf>
    <xf borderId="1" fillId="7" fontId="3" numFmtId="168" xfId="0" applyAlignment="1" applyBorder="1" applyFont="1" applyNumberFormat="1">
      <alignment readingOrder="0" shrinkToFit="0" vertical="top" wrapText="1"/>
    </xf>
    <xf borderId="1" fillId="7" fontId="3" numFmtId="0" xfId="0" applyAlignment="1" applyBorder="1" applyFont="1">
      <alignment shrinkToFit="0" vertical="top" wrapText="1"/>
    </xf>
    <xf borderId="1" fillId="4" fontId="3" numFmtId="168" xfId="0" applyAlignment="1" applyBorder="1" applyFont="1" applyNumberFormat="1">
      <alignment horizontal="left" readingOrder="0" shrinkToFit="0" vertical="top" wrapText="1"/>
    </xf>
    <xf borderId="1" fillId="4" fontId="3" numFmtId="169" xfId="0" applyAlignment="1" applyBorder="1" applyFont="1" applyNumberFormat="1">
      <alignment horizontal="left" readingOrder="0" shrinkToFit="0" vertical="top" wrapText="1"/>
    </xf>
    <xf borderId="1" fillId="7" fontId="3" numFmtId="0" xfId="0" applyAlignment="1" applyBorder="1" applyFont="1">
      <alignment horizontal="left" readingOrder="0" shrinkToFit="0" vertical="top" wrapText="1"/>
    </xf>
    <xf borderId="1" fillId="7" fontId="3" numFmtId="169" xfId="0" applyAlignment="1" applyBorder="1" applyFont="1" applyNumberFormat="1">
      <alignment horizontal="left" readingOrder="0" shrinkToFit="0" vertical="top" wrapText="1"/>
    </xf>
    <xf borderId="1" fillId="3" fontId="3" numFmtId="3" xfId="0" applyAlignment="1" applyBorder="1" applyFont="1" applyNumberFormat="1">
      <alignment horizontal="left" readingOrder="0" shrinkToFit="0" vertical="top" wrapText="1"/>
    </xf>
    <xf borderId="1" fillId="9" fontId="3" numFmtId="0" xfId="0" applyAlignment="1" applyBorder="1" applyFont="1">
      <alignment horizontal="left" shrinkToFit="0" vertical="top" wrapText="1"/>
    </xf>
    <xf borderId="1" fillId="9" fontId="17" numFmtId="0" xfId="0" applyAlignment="1" applyBorder="1" applyFont="1">
      <alignment horizontal="left" readingOrder="0" shrinkToFit="0" vertical="top" wrapText="1"/>
    </xf>
    <xf borderId="1" fillId="5" fontId="3" numFmtId="165" xfId="0" applyAlignment="1" applyBorder="1" applyFont="1" applyNumberFormat="1">
      <alignment horizontal="left" readingOrder="0" shrinkToFit="0" vertical="top" wrapText="1"/>
    </xf>
    <xf borderId="1" fillId="5" fontId="3" numFmtId="164" xfId="0" applyAlignment="1" applyBorder="1" applyFont="1" applyNumberFormat="1">
      <alignment horizontal="left" readingOrder="0" shrinkToFit="0" vertical="top" wrapText="1"/>
    </xf>
    <xf borderId="1" fillId="5" fontId="3" numFmtId="0" xfId="0" applyAlignment="1" applyBorder="1" applyFont="1">
      <alignment horizontal="left" shrinkToFit="0" vertical="top" wrapText="1"/>
    </xf>
    <xf borderId="1" fillId="5" fontId="3" numFmtId="0" xfId="0" applyAlignment="1" applyBorder="1" applyFont="1">
      <alignment horizontal="left" readingOrder="0" shrinkToFit="0" vertical="top" wrapText="1"/>
    </xf>
    <xf borderId="0" fillId="5" fontId="3" numFmtId="0" xfId="0" applyAlignment="1" applyFont="1">
      <alignment horizontal="left" readingOrder="0" shrinkToFit="0" vertical="top" wrapText="1"/>
    </xf>
    <xf borderId="1" fillId="9" fontId="3" numFmtId="168" xfId="0" applyAlignment="1" applyBorder="1" applyFont="1" applyNumberFormat="1">
      <alignment horizontal="left" readingOrder="0" shrinkToFit="0" vertical="top" wrapText="1"/>
    </xf>
    <xf borderId="1" fillId="3" fontId="3" numFmtId="4" xfId="0" applyAlignment="1" applyBorder="1" applyFont="1" applyNumberFormat="1">
      <alignment horizontal="left" readingOrder="0" shrinkToFit="0" vertical="top" wrapText="1"/>
    </xf>
    <xf borderId="1" fillId="3" fontId="3" numFmtId="0" xfId="0" applyAlignment="1" applyBorder="1" applyFont="1">
      <alignment horizontal="left" readingOrder="0" shrinkToFit="0" vertical="top" wrapText="1"/>
    </xf>
    <xf borderId="1" fillId="11" fontId="3" numFmtId="0" xfId="0" applyAlignment="1" applyBorder="1" applyFill="1" applyFont="1">
      <alignment horizontal="left" readingOrder="0" shrinkToFit="0" vertical="top" wrapText="1"/>
    </xf>
    <xf borderId="1" fillId="11" fontId="3" numFmtId="165" xfId="0" applyAlignment="1" applyBorder="1" applyFont="1" applyNumberFormat="1">
      <alignment horizontal="left" readingOrder="0" shrinkToFit="0" vertical="top" wrapText="1"/>
    </xf>
    <xf borderId="1" fillId="11" fontId="3" numFmtId="164" xfId="0" applyAlignment="1" applyBorder="1" applyFont="1" applyNumberFormat="1">
      <alignment horizontal="left" readingOrder="0" shrinkToFit="0" vertical="top" wrapText="1"/>
    </xf>
    <xf borderId="0" fillId="11" fontId="3" numFmtId="0" xfId="0" applyAlignment="1" applyFont="1">
      <alignment horizontal="left" readingOrder="0" shrinkToFit="0" vertical="top" wrapText="1"/>
    </xf>
    <xf borderId="1" fillId="11" fontId="18" numFmtId="0" xfId="0" applyAlignment="1" applyBorder="1" applyFont="1">
      <alignment horizontal="left" readingOrder="0" shrinkToFit="0" vertical="top" wrapText="1"/>
    </xf>
    <xf borderId="1" fillId="9" fontId="3" numFmtId="0" xfId="0" applyAlignment="1" applyBorder="1" applyFont="1">
      <alignment horizontal="left" readingOrder="0" shrinkToFit="0" vertical="top" wrapText="1"/>
    </xf>
    <xf borderId="1" fillId="9" fontId="3" numFmtId="169" xfId="0" applyAlignment="1" applyBorder="1" applyFont="1" applyNumberFormat="1">
      <alignment horizontal="left" readingOrder="0" shrinkToFit="0" vertical="top" wrapText="1"/>
    </xf>
    <xf borderId="1" fillId="9" fontId="4" numFmtId="0" xfId="0" applyAlignment="1" applyBorder="1" applyFont="1">
      <alignment horizontal="left" readingOrder="0" shrinkToFit="0" vertical="top" wrapText="1"/>
    </xf>
    <xf borderId="1" fillId="11" fontId="3" numFmtId="0" xfId="0" applyAlignment="1" applyBorder="1" applyFont="1">
      <alignment horizontal="left" shrinkToFit="0" vertical="top" wrapText="1"/>
    </xf>
    <xf borderId="1" fillId="11" fontId="3" numFmtId="0" xfId="0" applyAlignment="1" applyBorder="1" applyFont="1">
      <alignment horizontal="left" readingOrder="0" shrinkToFit="0" vertical="top" wrapText="1"/>
    </xf>
    <xf borderId="1" fillId="11" fontId="4" numFmtId="0" xfId="0" applyAlignment="1" applyBorder="1" applyFont="1">
      <alignment horizontal="left" readingOrder="0" shrinkToFit="0" vertical="top" wrapText="1"/>
    </xf>
    <xf borderId="0" fillId="11" fontId="4" numFmtId="0" xfId="0" applyAlignment="1" applyFont="1">
      <alignment horizontal="left" readingOrder="0" shrinkToFit="0" vertical="top" wrapText="1"/>
    </xf>
    <xf borderId="1" fillId="3" fontId="19" numFmtId="0" xfId="0" applyAlignment="1" applyBorder="1" applyFont="1">
      <alignment horizontal="left" readingOrder="0" shrinkToFit="0" vertical="top" wrapText="1"/>
    </xf>
    <xf borderId="1" fillId="9" fontId="3" numFmtId="164" xfId="0" applyAlignment="1" applyBorder="1" applyFont="1" applyNumberFormat="1">
      <alignment horizontal="left" readingOrder="0" shrinkToFit="0" vertical="top" wrapText="1"/>
    </xf>
    <xf borderId="1" fillId="3" fontId="19" numFmtId="164" xfId="0" applyAlignment="1" applyBorder="1" applyFont="1" applyNumberFormat="1">
      <alignment horizontal="left" readingOrder="0" shrinkToFit="0" vertical="top" wrapText="1"/>
    </xf>
    <xf borderId="0" fillId="3" fontId="4" numFmtId="0" xfId="0" applyAlignment="1" applyFont="1">
      <alignment horizontal="left" readingOrder="0" shrinkToFit="0" vertical="top" wrapText="1"/>
    </xf>
    <xf borderId="0" fillId="3" fontId="3" numFmtId="0" xfId="0" applyAlignment="1" applyFont="1">
      <alignment horizontal="left" shrinkToFit="0" vertical="top" wrapText="1"/>
    </xf>
    <xf borderId="0" fillId="9" fontId="3" numFmtId="0" xfId="0" applyAlignment="1" applyFont="1">
      <alignment horizontal="left" shrinkToFit="0" vertical="top" wrapText="1"/>
    </xf>
    <xf borderId="0" fillId="11" fontId="3" numFmtId="0" xfId="0" applyAlignment="1" applyFont="1">
      <alignment horizontal="left" shrinkToFit="0" vertical="top" wrapText="1"/>
    </xf>
    <xf borderId="0" fillId="3" fontId="20" numFmtId="0" xfId="0" applyAlignment="1" applyFont="1">
      <alignment horizontal="left" readingOrder="0" shrinkToFit="0" vertical="top" wrapText="1"/>
    </xf>
    <xf borderId="1" fillId="9" fontId="3" numFmtId="166" xfId="0" applyAlignment="1" applyBorder="1" applyFont="1" applyNumberFormat="1">
      <alignment horizontal="left" readingOrder="0" shrinkToFit="0" vertical="top" wrapText="1"/>
    </xf>
    <xf borderId="1" fillId="11" fontId="3" numFmtId="168" xfId="0" applyAlignment="1" applyBorder="1" applyFont="1" applyNumberFormat="1">
      <alignment horizontal="left" readingOrder="0" shrinkToFit="0" vertical="top" wrapText="1"/>
    </xf>
    <xf borderId="1" fillId="11" fontId="21" numFmtId="0" xfId="0" applyAlignment="1" applyBorder="1" applyFont="1">
      <alignment horizontal="left" readingOrder="0" shrinkToFit="0" vertical="top" wrapText="1"/>
    </xf>
    <xf borderId="1" fillId="11" fontId="3" numFmtId="166" xfId="0" applyAlignment="1" applyBorder="1" applyFont="1" applyNumberFormat="1">
      <alignment horizontal="left" readingOrder="0" shrinkToFit="0" vertical="top" wrapText="1"/>
    </xf>
    <xf borderId="1" fillId="0" fontId="3" numFmtId="166" xfId="0" applyAlignment="1" applyBorder="1" applyFont="1" applyNumberFormat="1">
      <alignment horizontal="left" readingOrder="0" shrinkToFit="0" vertical="top" wrapText="1"/>
    </xf>
    <xf borderId="0" fillId="0" fontId="3" numFmtId="0" xfId="0" applyAlignment="1" applyFont="1">
      <alignment horizontal="left" shrinkToFit="0" vertical="top" wrapText="1"/>
    </xf>
    <xf borderId="0" fillId="3" fontId="22" numFmtId="0" xfId="0" applyAlignment="1" applyFont="1">
      <alignment readingOrder="0" shrinkToFit="0" vertical="top" wrapText="1"/>
    </xf>
    <xf borderId="1" fillId="11" fontId="3" numFmtId="164" xfId="0" applyAlignment="1" applyBorder="1" applyFont="1" applyNumberFormat="1">
      <alignment horizontal="left" readingOrder="0" shrinkToFit="0" vertical="top" wrapText="1"/>
    </xf>
    <xf borderId="1" fillId="11" fontId="3" numFmtId="0" xfId="0" applyAlignment="1" applyBorder="1" applyFont="1">
      <alignment horizontal="left" readingOrder="0" shrinkToFit="0" vertical="top" wrapText="0"/>
    </xf>
    <xf borderId="1" fillId="12" fontId="3" numFmtId="0" xfId="0" applyAlignment="1" applyBorder="1" applyFill="1" applyFont="1">
      <alignment horizontal="left" readingOrder="0" shrinkToFit="0" vertical="top" wrapText="1"/>
    </xf>
    <xf borderId="1" fillId="12" fontId="3" numFmtId="165" xfId="0" applyAlignment="1" applyBorder="1" applyFont="1" applyNumberFormat="1">
      <alignment horizontal="left" readingOrder="0" shrinkToFit="0" vertical="top" wrapText="1"/>
    </xf>
    <xf borderId="1" fillId="12" fontId="3" numFmtId="164" xfId="0" applyAlignment="1" applyBorder="1" applyFont="1" applyNumberFormat="1">
      <alignment horizontal="left" readingOrder="0" shrinkToFit="0" vertical="top" wrapText="1"/>
    </xf>
    <xf borderId="1" fillId="12" fontId="3" numFmtId="168" xfId="0" applyAlignment="1" applyBorder="1" applyFont="1" applyNumberFormat="1">
      <alignment horizontal="left" readingOrder="0" shrinkToFit="0" vertical="top" wrapText="1"/>
    </xf>
    <xf borderId="1" fillId="12" fontId="3" numFmtId="0" xfId="0" applyAlignment="1" applyBorder="1" applyFont="1">
      <alignment horizontal="left" shrinkToFit="0" vertical="top" wrapText="1"/>
    </xf>
    <xf borderId="1" fillId="12" fontId="3" numFmtId="0" xfId="0" applyAlignment="1" applyBorder="1" applyFont="1">
      <alignment horizontal="left" readingOrder="0" shrinkToFit="0" vertical="top" wrapText="1"/>
    </xf>
    <xf borderId="1" fillId="12" fontId="3" numFmtId="169" xfId="0" applyAlignment="1" applyBorder="1" applyFont="1" applyNumberFormat="1">
      <alignment horizontal="left" readingOrder="0" shrinkToFit="0" vertical="top" wrapText="1"/>
    </xf>
    <xf borderId="0" fillId="12" fontId="3" numFmtId="0" xfId="0" applyAlignment="1" applyFont="1">
      <alignment horizontal="left" shrinkToFit="0" vertical="top" wrapText="1"/>
    </xf>
    <xf borderId="1" fillId="11" fontId="3" numFmtId="169" xfId="0" applyAlignment="1" applyBorder="1" applyFont="1" applyNumberFormat="1">
      <alignment horizontal="left" readingOrder="0" shrinkToFit="0" vertical="top" wrapText="1"/>
    </xf>
    <xf borderId="1" fillId="3" fontId="3" numFmtId="0" xfId="0" applyAlignment="1" applyBorder="1" applyFont="1">
      <alignment horizontal="left" readingOrder="0" shrinkToFit="0" vertical="top" wrapText="0"/>
    </xf>
    <xf borderId="0" fillId="11" fontId="3" numFmtId="0" xfId="0" applyAlignment="1" applyFont="1">
      <alignment shrinkToFit="0" vertical="top" wrapText="1"/>
    </xf>
    <xf borderId="1" fillId="0" fontId="3" numFmtId="168" xfId="0" applyAlignment="1" applyBorder="1" applyFont="1" applyNumberFormat="1">
      <alignment horizontal="left" readingOrder="0" shrinkToFit="0" vertical="top" wrapText="1"/>
    </xf>
    <xf borderId="0" fillId="13" fontId="23" numFmtId="0" xfId="0" applyAlignment="1" applyFill="1" applyFont="1">
      <alignment horizontal="left" readingOrder="0" shrinkToFit="0" vertical="top" wrapText="1"/>
    </xf>
    <xf borderId="1" fillId="14" fontId="3" numFmtId="0" xfId="0" applyAlignment="1" applyBorder="1" applyFill="1" applyFont="1">
      <alignment horizontal="left" readingOrder="0" shrinkToFit="0" vertical="top" wrapText="1"/>
    </xf>
    <xf borderId="1" fillId="14" fontId="3" numFmtId="165" xfId="0" applyAlignment="1" applyBorder="1" applyFont="1" applyNumberFormat="1">
      <alignment horizontal="left" readingOrder="0" shrinkToFit="0" vertical="top" wrapText="1"/>
    </xf>
    <xf borderId="1" fillId="14" fontId="3" numFmtId="164" xfId="0" applyAlignment="1" applyBorder="1" applyFont="1" applyNumberFormat="1">
      <alignment horizontal="left" readingOrder="0" shrinkToFit="0" vertical="top" wrapText="1"/>
    </xf>
    <xf borderId="1" fillId="14" fontId="3" numFmtId="0" xfId="0" applyAlignment="1" applyBorder="1" applyFont="1">
      <alignment horizontal="left" shrinkToFit="0" vertical="top" wrapText="1"/>
    </xf>
    <xf borderId="1" fillId="14" fontId="24" numFmtId="0" xfId="0" applyAlignment="1" applyBorder="1" applyFont="1">
      <alignment horizontal="left" readingOrder="0" shrinkToFit="0" vertical="top" wrapText="1"/>
    </xf>
    <xf borderId="1" fillId="14" fontId="3" numFmtId="0" xfId="0" applyAlignment="1" applyBorder="1" applyFont="1">
      <alignment horizontal="left" readingOrder="0" shrinkToFit="0" vertical="top" wrapText="1"/>
    </xf>
    <xf borderId="0" fillId="14" fontId="3" numFmtId="0" xfId="0" applyAlignment="1" applyFont="1">
      <alignment horizontal="left" shrinkToFit="0" vertical="top" wrapText="1"/>
    </xf>
    <xf borderId="0" fillId="12" fontId="3" numFmtId="0" xfId="0" applyAlignment="1" applyFont="1">
      <alignment horizontal="left" readingOrder="0" shrinkToFit="0" vertical="top" wrapText="1"/>
    </xf>
    <xf quotePrefix="1" borderId="1" fillId="3" fontId="3" numFmtId="0" xfId="0" applyAlignment="1" applyBorder="1" applyFont="1">
      <alignment horizontal="left" readingOrder="0" shrinkToFit="0" vertical="top" wrapText="1"/>
    </xf>
    <xf borderId="1" fillId="3" fontId="25" numFmtId="0" xfId="0" applyAlignment="1" applyBorder="1" applyFont="1">
      <alignment horizontal="left" readingOrder="0" shrinkToFit="0" vertical="top" wrapText="0"/>
    </xf>
    <xf borderId="1" fillId="0" fontId="3" numFmtId="0" xfId="0" applyAlignment="1" applyBorder="1" applyFont="1">
      <alignment readingOrder="0" shrinkToFit="0" vertical="top" wrapText="1"/>
    </xf>
    <xf borderId="1" fillId="0" fontId="3" numFmtId="165" xfId="0" applyAlignment="1" applyBorder="1" applyFont="1" applyNumberFormat="1">
      <alignment readingOrder="0" shrinkToFit="0" vertical="top" wrapText="1"/>
    </xf>
    <xf borderId="1" fillId="0" fontId="3" numFmtId="164" xfId="0" applyAlignment="1" applyBorder="1" applyFont="1" applyNumberFormat="1">
      <alignment readingOrder="0" shrinkToFit="0" vertical="top" wrapText="1"/>
    </xf>
    <xf borderId="1" fillId="0" fontId="26"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shrinkToFit="0" vertical="top" wrapText="1"/>
    </xf>
    <xf borderId="0" fillId="0" fontId="3" numFmtId="0" xfId="0" applyAlignment="1" applyFont="1">
      <alignment shrinkToFit="0" vertical="top" wrapText="1"/>
    </xf>
    <xf borderId="1" fillId="3" fontId="3" numFmtId="170" xfId="0" applyAlignment="1" applyBorder="1" applyFont="1" applyNumberFormat="1">
      <alignment horizontal="left" readingOrder="0" shrinkToFit="0" vertical="top" wrapText="1"/>
    </xf>
    <xf quotePrefix="1" borderId="1" fillId="11" fontId="3" numFmtId="0" xfId="0" applyAlignment="1" applyBorder="1" applyFont="1">
      <alignment horizontal="left" readingOrder="0" shrinkToFit="0" vertical="top" wrapText="1"/>
    </xf>
    <xf quotePrefix="1" borderId="1" fillId="9" fontId="3" numFmtId="0" xfId="0" applyAlignment="1" applyBorder="1" applyFont="1">
      <alignment horizontal="left" readingOrder="0" shrinkToFit="0" vertical="top" wrapText="1"/>
    </xf>
    <xf borderId="1" fillId="9" fontId="3" numFmtId="0" xfId="0" applyAlignment="1" applyBorder="1" applyFont="1">
      <alignment horizontal="left" readingOrder="0" shrinkToFit="0" vertical="top" wrapText="0"/>
    </xf>
    <xf borderId="1" fillId="15" fontId="3" numFmtId="0" xfId="0" applyAlignment="1" applyBorder="1" applyFill="1" applyFont="1">
      <alignment horizontal="left" readingOrder="0" shrinkToFit="0" vertical="top" wrapText="1"/>
    </xf>
    <xf borderId="1" fillId="15" fontId="3" numFmtId="165" xfId="0" applyAlignment="1" applyBorder="1" applyFont="1" applyNumberFormat="1">
      <alignment horizontal="left" readingOrder="0" shrinkToFit="0" vertical="top" wrapText="1"/>
    </xf>
    <xf borderId="1" fillId="15" fontId="3" numFmtId="164" xfId="0" applyAlignment="1" applyBorder="1" applyFont="1" applyNumberFormat="1">
      <alignment horizontal="left" readingOrder="0" shrinkToFit="0" vertical="top" wrapText="1"/>
    </xf>
    <xf borderId="1" fillId="15" fontId="3" numFmtId="0" xfId="0" applyAlignment="1" applyBorder="1" applyFont="1">
      <alignment horizontal="left" shrinkToFit="0" vertical="top" wrapText="1"/>
    </xf>
    <xf borderId="1" fillId="15" fontId="27" numFmtId="0" xfId="0" applyAlignment="1" applyBorder="1" applyFont="1">
      <alignment horizontal="left" readingOrder="0" shrinkToFit="0" vertical="top" wrapText="1"/>
    </xf>
    <xf borderId="1" fillId="15" fontId="3" numFmtId="0" xfId="0" applyAlignment="1" applyBorder="1" applyFont="1">
      <alignment horizontal="left" readingOrder="0" shrinkToFit="0" vertical="top" wrapText="1"/>
    </xf>
    <xf borderId="1" fillId="15" fontId="3" numFmtId="169" xfId="0" applyAlignment="1" applyBorder="1" applyFont="1" applyNumberFormat="1">
      <alignment horizontal="left" readingOrder="0" shrinkToFit="0" vertical="top" wrapText="1"/>
    </xf>
    <xf borderId="0" fillId="15" fontId="3" numFmtId="0" xfId="0" applyAlignment="1" applyFont="1">
      <alignment horizontal="left" shrinkToFit="0" vertical="top" wrapText="1"/>
    </xf>
    <xf quotePrefix="1" borderId="1" fillId="4" fontId="3" numFmtId="0" xfId="0" applyAlignment="1" applyBorder="1" applyFont="1">
      <alignment horizontal="left" readingOrder="0" shrinkToFit="0" vertical="top" wrapText="1"/>
    </xf>
    <xf borderId="1" fillId="4" fontId="3" numFmtId="164" xfId="0" applyAlignment="1" applyBorder="1" applyFont="1" applyNumberFormat="1">
      <alignment horizontal="left" shrinkToFit="0" vertical="top" wrapText="1"/>
    </xf>
    <xf borderId="0" fillId="4" fontId="3" numFmtId="0" xfId="0" applyAlignment="1" applyFont="1">
      <alignment horizontal="left" shrinkToFit="0" vertical="top" wrapText="1"/>
    </xf>
    <xf borderId="1" fillId="3" fontId="4" numFmtId="0" xfId="0" applyAlignment="1" applyBorder="1" applyFont="1">
      <alignment readingOrder="0" shrinkToFit="0" vertical="top" wrapText="1"/>
    </xf>
    <xf borderId="1" fillId="3" fontId="4" numFmtId="165" xfId="0" applyAlignment="1" applyBorder="1" applyFont="1" applyNumberFormat="1">
      <alignment shrinkToFit="0" vertical="top" wrapText="1"/>
    </xf>
    <xf borderId="1" fillId="3" fontId="4" numFmtId="164" xfId="0" applyAlignment="1" applyBorder="1" applyFont="1" applyNumberFormat="1">
      <alignment shrinkToFit="0" vertical="top" wrapText="1"/>
    </xf>
    <xf borderId="1" fillId="3" fontId="4" numFmtId="0" xfId="0" applyAlignment="1" applyBorder="1" applyFont="1">
      <alignment shrinkToFit="0" vertical="top" wrapText="1"/>
    </xf>
    <xf borderId="1" fillId="5" fontId="4" numFmtId="0" xfId="0" applyAlignment="1" applyBorder="1" applyFont="1">
      <alignment shrinkToFit="0" vertical="top" wrapText="1"/>
    </xf>
    <xf borderId="1" fillId="3" fontId="4" numFmtId="0" xfId="0" applyAlignment="1" applyBorder="1" applyFont="1">
      <alignment vertical="top"/>
    </xf>
    <xf borderId="1" fillId="3" fontId="4" numFmtId="0" xfId="0" applyAlignment="1" applyBorder="1" applyFont="1">
      <alignment vertical="top"/>
    </xf>
    <xf borderId="1" fillId="3" fontId="28" numFmtId="0" xfId="0" applyAlignment="1" applyBorder="1" applyFont="1">
      <alignment horizontal="left" readingOrder="0" shrinkToFit="0" vertical="top" wrapText="0"/>
    </xf>
    <xf borderId="1" fillId="3" fontId="3" numFmtId="165" xfId="0" applyAlignment="1" applyBorder="1" applyFont="1" applyNumberFormat="1">
      <alignment horizontal="left" readingOrder="0" shrinkToFit="0" vertical="top" wrapText="0"/>
    </xf>
    <xf borderId="1" fillId="3" fontId="3" numFmtId="164" xfId="0" applyAlignment="1" applyBorder="1" applyFont="1" applyNumberFormat="1">
      <alignment horizontal="left" readingOrder="0" shrinkToFit="0" vertical="top" wrapText="0"/>
    </xf>
    <xf borderId="1" fillId="3" fontId="3" numFmtId="0" xfId="0" applyAlignment="1" applyBorder="1" applyFont="1">
      <alignment horizontal="left" shrinkToFit="0" vertical="top" wrapText="0"/>
    </xf>
    <xf borderId="1" fillId="3" fontId="3" numFmtId="0" xfId="0" applyAlignment="1" applyBorder="1" applyFont="1">
      <alignment horizontal="left" readingOrder="0" shrinkToFit="0" vertical="top" wrapText="0"/>
    </xf>
    <xf borderId="1" fillId="3" fontId="3" numFmtId="169" xfId="0" applyAlignment="1" applyBorder="1" applyFont="1" applyNumberFormat="1">
      <alignment horizontal="left" readingOrder="0" shrinkToFit="0" vertical="top" wrapText="0"/>
    </xf>
    <xf borderId="0" fillId="3" fontId="3" numFmtId="0" xfId="0" applyAlignment="1" applyFont="1">
      <alignment horizontal="left" shrinkToFit="0" vertical="top" wrapText="0"/>
    </xf>
    <xf borderId="1" fillId="3" fontId="3" numFmtId="168" xfId="0" applyAlignment="1" applyBorder="1" applyFont="1" applyNumberFormat="1">
      <alignment horizontal="left" readingOrder="0" shrinkToFit="0" vertical="top" wrapText="0"/>
    </xf>
    <xf borderId="1" fillId="3" fontId="3" numFmtId="0" xfId="0" applyAlignment="1" applyBorder="1" applyFont="1">
      <alignment horizontal="left" readingOrder="0" shrinkToFit="0" wrapText="0"/>
    </xf>
    <xf borderId="1" fillId="3" fontId="3" numFmtId="165" xfId="0" applyAlignment="1" applyBorder="1" applyFont="1" applyNumberFormat="1">
      <alignment horizontal="left" readingOrder="0" shrinkToFit="0" wrapText="0"/>
    </xf>
    <xf borderId="1" fillId="3" fontId="3" numFmtId="164" xfId="0" applyAlignment="1" applyBorder="1" applyFont="1" applyNumberFormat="1">
      <alignment horizontal="left" readingOrder="0" shrinkToFit="0" wrapText="0"/>
    </xf>
    <xf borderId="1" fillId="3" fontId="29" numFmtId="0" xfId="0" applyAlignment="1" applyBorder="1" applyFont="1">
      <alignment horizontal="left" readingOrder="0" shrinkToFit="0" wrapText="0"/>
    </xf>
    <xf borderId="1" fillId="3" fontId="3" numFmtId="0" xfId="0" applyAlignment="1" applyBorder="1" applyFont="1">
      <alignment horizontal="left" shrinkToFit="0" wrapText="0"/>
    </xf>
    <xf borderId="0" fillId="3" fontId="3" numFmtId="0" xfId="0" applyAlignment="1" applyFont="1">
      <alignment horizontal="left" shrinkToFit="0" wrapText="0"/>
    </xf>
    <xf borderId="1" fillId="3" fontId="30" numFmtId="0" xfId="0" applyAlignment="1" applyBorder="1" applyFont="1">
      <alignment horizontal="left" readingOrder="0" shrinkToFit="0" wrapText="0"/>
    </xf>
    <xf borderId="1" fillId="0" fontId="3" numFmtId="0" xfId="0" applyAlignment="1" applyBorder="1" applyFont="1">
      <alignment horizontal="left" readingOrder="0" shrinkToFit="0" wrapText="1"/>
    </xf>
    <xf borderId="1" fillId="0" fontId="3" numFmtId="165" xfId="0" applyAlignment="1" applyBorder="1" applyFont="1" applyNumberFormat="1">
      <alignment horizontal="left" readingOrder="0" shrinkToFit="0" wrapText="1"/>
    </xf>
    <xf borderId="1" fillId="0" fontId="3" numFmtId="0" xfId="0" applyAlignment="1" applyBorder="1" applyFont="1">
      <alignment horizontal="left" shrinkToFit="0" wrapText="1"/>
    </xf>
    <xf quotePrefix="1" borderId="1" fillId="0" fontId="3" numFmtId="0" xfId="0" applyAlignment="1" applyBorder="1" applyFont="1">
      <alignment horizontal="left" readingOrder="0" shrinkToFit="0" wrapText="1"/>
    </xf>
    <xf borderId="1" fillId="0" fontId="3" numFmtId="0" xfId="0" applyAlignment="1" applyBorder="1" applyFont="1">
      <alignment horizontal="left" readingOrder="0" shrinkToFit="0" wrapText="0"/>
    </xf>
    <xf borderId="0" fillId="0" fontId="3" numFmtId="0" xfId="0" applyAlignment="1" applyFont="1">
      <alignment horizontal="left" shrinkToFit="0" wrapText="1"/>
    </xf>
    <xf borderId="1" fillId="3" fontId="3" numFmtId="0" xfId="0" applyAlignment="1" applyBorder="1" applyFont="1">
      <alignment horizontal="left" readingOrder="0" shrinkToFit="0" wrapText="1"/>
    </xf>
    <xf borderId="1" fillId="3" fontId="3" numFmtId="165" xfId="0" applyAlignment="1" applyBorder="1" applyFont="1" applyNumberFormat="1">
      <alignment horizontal="left" readingOrder="0" shrinkToFit="0" wrapText="1"/>
    </xf>
    <xf borderId="1" fillId="3" fontId="3" numFmtId="168" xfId="0" applyAlignment="1" applyBorder="1" applyFont="1" applyNumberFormat="1">
      <alignment horizontal="left" readingOrder="0" shrinkToFit="0" wrapText="1"/>
    </xf>
    <xf borderId="1" fillId="3" fontId="3" numFmtId="0" xfId="0" applyAlignment="1" applyBorder="1" applyFont="1">
      <alignment horizontal="left" shrinkToFit="0" wrapText="1"/>
    </xf>
    <xf borderId="1" fillId="3" fontId="31" numFmtId="0" xfId="0" applyAlignment="1" applyBorder="1" applyFont="1">
      <alignment horizontal="left" readingOrder="0" shrinkToFit="0" wrapText="1"/>
    </xf>
    <xf borderId="0" fillId="3" fontId="3" numFmtId="0" xfId="0" applyAlignment="1" applyFont="1">
      <alignment horizontal="left" shrinkToFit="0" wrapText="1"/>
    </xf>
    <xf quotePrefix="1" borderId="1" fillId="3" fontId="3" numFmtId="0" xfId="0" applyAlignment="1" applyBorder="1" applyFont="1">
      <alignment horizontal="left" readingOrder="0" shrinkToFit="0" wrapText="1"/>
    </xf>
    <xf borderId="1" fillId="3" fontId="3" numFmtId="0" xfId="0" applyAlignment="1" applyBorder="1" applyFont="1">
      <alignment horizontal="left" readingOrder="0" shrinkToFit="0" wrapText="1"/>
    </xf>
    <xf borderId="1" fillId="11" fontId="3" numFmtId="0" xfId="0" applyAlignment="1" applyBorder="1" applyFont="1">
      <alignment horizontal="left" readingOrder="0" shrinkToFit="0" wrapText="1"/>
    </xf>
    <xf borderId="1" fillId="11" fontId="3" numFmtId="165" xfId="0" applyAlignment="1" applyBorder="1" applyFont="1" applyNumberFormat="1">
      <alignment horizontal="left" readingOrder="0" shrinkToFit="0" wrapText="1"/>
    </xf>
    <xf borderId="1" fillId="11" fontId="3" numFmtId="0" xfId="0" applyAlignment="1" applyBorder="1" applyFont="1">
      <alignment horizontal="left" shrinkToFit="0" wrapText="1"/>
    </xf>
    <xf borderId="0" fillId="11" fontId="3" numFmtId="0" xfId="0" applyAlignment="1" applyFont="1">
      <alignment horizontal="left" shrinkToFit="0" wrapText="1"/>
    </xf>
    <xf borderId="1" fillId="3" fontId="3" numFmtId="164" xfId="0" applyAlignment="1" applyBorder="1" applyFont="1" applyNumberFormat="1">
      <alignment horizontal="left" readingOrder="0" shrinkToFit="0" wrapText="1"/>
    </xf>
    <xf borderId="1" fillId="3" fontId="3" numFmtId="0" xfId="0" applyAlignment="1" applyBorder="1" applyFont="1">
      <alignment horizontal="left" readingOrder="0" shrinkToFit="0" wrapText="0"/>
    </xf>
    <xf borderId="1" fillId="3" fontId="32" numFmtId="0" xfId="0" applyAlignment="1" applyBorder="1" applyFont="1">
      <alignment horizontal="left" readingOrder="0" shrinkToFit="0" wrapText="1"/>
    </xf>
    <xf borderId="1" fillId="3" fontId="3" numFmtId="0" xfId="0" applyAlignment="1" applyBorder="1" applyFont="1">
      <alignment horizontal="left" readingOrder="0" shrinkToFit="0" wrapText="0"/>
    </xf>
    <xf borderId="1" fillId="3" fontId="3" numFmtId="0" xfId="0" applyAlignment="1" applyBorder="1" applyFont="1">
      <alignment horizontal="left" readingOrder="0"/>
    </xf>
    <xf borderId="1" fillId="3" fontId="3" numFmtId="165" xfId="0" applyAlignment="1" applyBorder="1" applyFont="1" applyNumberFormat="1">
      <alignment horizontal="left" readingOrder="0"/>
    </xf>
    <xf borderId="1" fillId="3" fontId="3" numFmtId="0" xfId="0" applyAlignment="1" applyBorder="1" applyFont="1">
      <alignment horizontal="left"/>
    </xf>
    <xf borderId="1" fillId="3" fontId="33" numFmtId="0" xfId="0" applyAlignment="1" applyBorder="1" applyFont="1">
      <alignment horizontal="left" readingOrder="0"/>
    </xf>
    <xf quotePrefix="1" borderId="1" fillId="3" fontId="3" numFmtId="0" xfId="0" applyAlignment="1" applyBorder="1" applyFont="1">
      <alignment horizontal="left" readingOrder="0"/>
    </xf>
    <xf borderId="1" fillId="3" fontId="34" numFmtId="0" xfId="0" applyAlignment="1" applyBorder="1" applyFont="1">
      <alignment horizontal="left" readingOrder="0"/>
    </xf>
    <xf borderId="1" fillId="3" fontId="3" numFmtId="0" xfId="0" applyAlignment="1" applyBorder="1" applyFont="1">
      <alignment horizontal="left" readingOrder="0"/>
    </xf>
    <xf borderId="1" fillId="3" fontId="35" numFmtId="0" xfId="0" applyAlignment="1" applyBorder="1" applyFont="1">
      <alignment horizontal="left" readingOrder="0"/>
    </xf>
    <xf borderId="1" fillId="3" fontId="3" numFmtId="3" xfId="0" applyAlignment="1" applyBorder="1" applyFont="1" applyNumberFormat="1">
      <alignment horizontal="left" readingOrder="0" shrinkToFit="0" wrapText="1"/>
    </xf>
    <xf borderId="1" fillId="3" fontId="36" numFmtId="0" xfId="0" applyAlignment="1" applyBorder="1" applyFont="1">
      <alignment horizontal="left" readingOrder="0" shrinkToFit="0" wrapText="1"/>
    </xf>
    <xf borderId="1" fillId="11" fontId="3" numFmtId="168" xfId="0" applyAlignment="1" applyBorder="1" applyFont="1" applyNumberFormat="1">
      <alignment horizontal="left" readingOrder="0" shrinkToFit="0" wrapText="1"/>
    </xf>
    <xf borderId="1" fillId="11" fontId="3" numFmtId="0" xfId="0" applyAlignment="1" applyBorder="1" applyFont="1">
      <alignment horizontal="left" readingOrder="0" shrinkToFit="0" wrapText="0"/>
    </xf>
    <xf borderId="1" fillId="11" fontId="3" numFmtId="0" xfId="0" applyAlignment="1" applyBorder="1" applyFont="1">
      <alignment horizontal="left" readingOrder="0" shrinkToFit="0" wrapText="1"/>
    </xf>
    <xf borderId="1" fillId="5" fontId="3" numFmtId="0" xfId="0" applyAlignment="1" applyBorder="1" applyFont="1">
      <alignment horizontal="left" readingOrder="0" shrinkToFit="0" wrapText="1"/>
    </xf>
    <xf borderId="1" fillId="5" fontId="3" numFmtId="165" xfId="0" applyAlignment="1" applyBorder="1" applyFont="1" applyNumberFormat="1">
      <alignment horizontal="left" readingOrder="0" shrinkToFit="0" wrapText="1"/>
    </xf>
    <xf borderId="1" fillId="5" fontId="3" numFmtId="168" xfId="0" applyAlignment="1" applyBorder="1" applyFont="1" applyNumberFormat="1">
      <alignment horizontal="left" readingOrder="0" shrinkToFit="0" wrapText="1"/>
    </xf>
    <xf borderId="1" fillId="5" fontId="37" numFmtId="0" xfId="0" applyAlignment="1" applyBorder="1" applyFont="1">
      <alignment horizontal="left" readingOrder="0" shrinkToFit="0" wrapText="1"/>
    </xf>
    <xf borderId="1" fillId="5" fontId="3" numFmtId="0" xfId="0" applyAlignment="1" applyBorder="1" applyFont="1">
      <alignment horizontal="left" readingOrder="0" shrinkToFit="0" wrapText="0"/>
    </xf>
    <xf borderId="1" fillId="5" fontId="3" numFmtId="0" xfId="0" applyAlignment="1" applyBorder="1" applyFont="1">
      <alignment horizontal="left" readingOrder="0" shrinkToFit="0" wrapText="0"/>
    </xf>
    <xf borderId="1" fillId="5" fontId="3" numFmtId="0" xfId="0" applyAlignment="1" applyBorder="1" applyFont="1">
      <alignment horizontal="left" shrinkToFit="0" wrapText="1"/>
    </xf>
    <xf borderId="1" fillId="3" fontId="38" numFmtId="0" xfId="0" applyAlignment="1" applyBorder="1" applyFont="1">
      <alignment horizontal="left" readingOrder="0" shrinkToFit="0" wrapText="1"/>
    </xf>
    <xf quotePrefix="1" borderId="1" fillId="3" fontId="3" numFmtId="0" xfId="0" applyAlignment="1" applyBorder="1" applyFont="1">
      <alignment horizontal="left" readingOrder="0" shrinkToFit="0" wrapText="0"/>
    </xf>
    <xf borderId="1" fillId="3" fontId="3" numFmtId="164" xfId="0" applyAlignment="1" applyBorder="1" applyFont="1" applyNumberFormat="1">
      <alignment horizontal="left" readingOrder="0"/>
    </xf>
    <xf borderId="1" fillId="3" fontId="3" numFmtId="3" xfId="0" applyAlignment="1" applyBorder="1" applyFont="1" applyNumberFormat="1">
      <alignment horizontal="left" readingOrder="0"/>
    </xf>
    <xf borderId="1" fillId="3" fontId="3" numFmtId="168" xfId="0" applyAlignment="1" applyBorder="1" applyFont="1" applyNumberFormat="1">
      <alignment horizontal="left" readingOrder="0"/>
    </xf>
    <xf borderId="1" fillId="3" fontId="39" numFmtId="0" xfId="0" applyAlignment="1" applyBorder="1" applyFont="1">
      <alignment horizontal="left" readingOrder="0"/>
    </xf>
    <xf borderId="1" fillId="11" fontId="3" numFmtId="0" xfId="0" applyAlignment="1" applyBorder="1" applyFont="1">
      <alignment horizontal="left" readingOrder="0"/>
    </xf>
    <xf borderId="1" fillId="11" fontId="3" numFmtId="165" xfId="0" applyAlignment="1" applyBorder="1" applyFont="1" applyNumberFormat="1">
      <alignment horizontal="left" readingOrder="0"/>
    </xf>
    <xf borderId="1" fillId="11" fontId="40" numFmtId="0" xfId="0" applyAlignment="1" applyBorder="1" applyFont="1">
      <alignment horizontal="left" readingOrder="0"/>
    </xf>
    <xf borderId="1" fillId="11" fontId="3" numFmtId="0" xfId="0" applyAlignment="1" applyBorder="1" applyFont="1">
      <alignment horizontal="left"/>
    </xf>
    <xf borderId="1" fillId="9" fontId="3" numFmtId="0" xfId="0" applyAlignment="1" applyBorder="1" applyFont="1">
      <alignment horizontal="left" readingOrder="0"/>
    </xf>
    <xf borderId="1" fillId="9" fontId="3" numFmtId="165" xfId="0" applyAlignment="1" applyBorder="1" applyFont="1" applyNumberFormat="1">
      <alignment horizontal="left" readingOrder="0"/>
    </xf>
    <xf borderId="1" fillId="9" fontId="3" numFmtId="0" xfId="0" applyAlignment="1" applyBorder="1" applyFont="1">
      <alignment horizontal="left"/>
    </xf>
    <xf borderId="1" fillId="9" fontId="3" numFmtId="0" xfId="0" applyAlignment="1" applyBorder="1" applyFont="1">
      <alignment horizontal="left" readingOrder="0"/>
    </xf>
    <xf borderId="0" fillId="3" fontId="41" numFmtId="0" xfId="0" applyAlignment="1" applyFont="1">
      <alignment readingOrder="0"/>
    </xf>
    <xf borderId="0" fillId="3" fontId="3" numFmtId="0" xfId="0" applyAlignment="1" applyFont="1">
      <alignment readingOrder="0"/>
    </xf>
    <xf borderId="0" fillId="3" fontId="3" numFmtId="165" xfId="0" applyAlignment="1" applyFont="1" applyNumberFormat="1">
      <alignment readingOrder="0"/>
    </xf>
    <xf borderId="0" fillId="3" fontId="3" numFmtId="0" xfId="0" applyFont="1"/>
    <xf borderId="1" fillId="3" fontId="3" numFmtId="4" xfId="0" applyAlignment="1" applyBorder="1" applyFont="1" applyNumberFormat="1">
      <alignment horizontal="left" readingOrder="0"/>
    </xf>
    <xf borderId="0" fillId="3" fontId="42" numFmtId="0" xfId="0" applyAlignment="1" applyFont="1">
      <alignment horizontal="left" readingOrder="0"/>
    </xf>
    <xf borderId="0" fillId="3" fontId="43" numFmtId="0" xfId="0" applyAlignment="1" applyFont="1">
      <alignment horizontal="left" readingOrder="0"/>
    </xf>
    <xf borderId="1" fillId="11" fontId="44" numFmtId="0" xfId="0" applyAlignment="1" applyBorder="1" applyFont="1">
      <alignment horizontal="left" readingOrder="0"/>
    </xf>
    <xf borderId="1" fillId="3" fontId="3" numFmtId="0" xfId="0" applyAlignment="1" applyBorder="1" applyFont="1">
      <alignment horizontal="left" readingOrder="0"/>
    </xf>
    <xf borderId="1" fillId="3" fontId="45" numFmtId="0" xfId="0" applyAlignment="1" applyBorder="1" applyFont="1">
      <alignment horizontal="left" readingOrder="0"/>
    </xf>
    <xf borderId="1" fillId="3" fontId="3" numFmtId="169" xfId="0" applyAlignment="1" applyBorder="1" applyFont="1" applyNumberFormat="1">
      <alignment horizontal="left" readingOrder="0"/>
    </xf>
    <xf quotePrefix="1" borderId="1" fillId="9" fontId="3" numFmtId="0" xfId="0" applyAlignment="1" applyBorder="1" applyFont="1">
      <alignment horizontal="left" readingOrder="0"/>
    </xf>
    <xf borderId="1" fillId="9" fontId="46" numFmtId="0" xfId="0" applyAlignment="1" applyBorder="1" applyFont="1">
      <alignment horizontal="left" readingOrder="0"/>
    </xf>
    <xf borderId="1" fillId="9" fontId="3" numFmtId="0" xfId="0" applyAlignment="1" applyBorder="1" applyFont="1">
      <alignment horizontal="left" readingOrder="0" shrinkToFit="0" wrapText="0"/>
    </xf>
    <xf borderId="1" fillId="3" fontId="47" numFmtId="0" xfId="0" applyAlignment="1" applyBorder="1" applyFont="1">
      <alignment horizontal="left" readingOrder="0" vertical="bottom"/>
    </xf>
    <xf borderId="1" fillId="16" fontId="3" numFmtId="0" xfId="0" applyAlignment="1" applyBorder="1" applyFill="1" applyFont="1">
      <alignment horizontal="left" readingOrder="0"/>
    </xf>
    <xf borderId="1" fillId="16" fontId="3" numFmtId="165" xfId="0" applyAlignment="1" applyBorder="1" applyFont="1" applyNumberFormat="1">
      <alignment horizontal="left" readingOrder="0"/>
    </xf>
    <xf borderId="1" fillId="16" fontId="3" numFmtId="164" xfId="0" applyAlignment="1" applyBorder="1" applyFont="1" applyNumberFormat="1">
      <alignment horizontal="left" readingOrder="0"/>
    </xf>
    <xf borderId="1" fillId="16" fontId="3" numFmtId="0" xfId="0" applyAlignment="1" applyBorder="1" applyFont="1">
      <alignment horizontal="left"/>
    </xf>
    <xf borderId="1" fillId="16" fontId="48" numFmtId="0" xfId="0" applyAlignment="1" applyBorder="1" applyFont="1">
      <alignment horizontal="left" readingOrder="0"/>
    </xf>
    <xf borderId="1" fillId="9" fontId="49" numFmtId="0" xfId="0" applyAlignment="1" applyBorder="1" applyFont="1">
      <alignment horizontal="left" readingOrder="0"/>
    </xf>
    <xf borderId="1" fillId="3" fontId="50" numFmtId="0" xfId="0" applyAlignment="1" applyBorder="1" applyFont="1">
      <alignment horizontal="left" readingOrder="0"/>
    </xf>
    <xf borderId="1" fillId="0" fontId="3" numFmtId="0" xfId="0" applyAlignment="1" applyBorder="1" applyFont="1">
      <alignment horizontal="left" readingOrder="0"/>
    </xf>
    <xf borderId="1" fillId="0" fontId="3" numFmtId="165" xfId="0" applyAlignment="1" applyBorder="1" applyFont="1" applyNumberFormat="1">
      <alignment horizontal="left" readingOrder="0"/>
    </xf>
    <xf borderId="1" fillId="0" fontId="3" numFmtId="0" xfId="0" applyAlignment="1" applyBorder="1" applyFont="1">
      <alignment horizontal="left"/>
    </xf>
    <xf borderId="1" fillId="0" fontId="51" numFmtId="0" xfId="0" applyAlignment="1" applyBorder="1" applyFont="1">
      <alignment horizontal="left" readingOrder="0"/>
    </xf>
    <xf borderId="1" fillId="0" fontId="52" numFmtId="0" xfId="0" applyAlignment="1" applyBorder="1" applyFont="1">
      <alignment horizontal="left" readingOrder="0"/>
    </xf>
    <xf borderId="1" fillId="0" fontId="3" numFmtId="164" xfId="0" applyAlignment="1" applyBorder="1" applyFont="1" applyNumberFormat="1">
      <alignment horizontal="left" shrinkToFit="0" vertical="top" wrapText="1"/>
    </xf>
    <xf borderId="0" fillId="0" fontId="3" numFmtId="164" xfId="0" applyAlignment="1" applyFont="1" applyNumberFormat="1">
      <alignment horizontal="left" shrinkToFit="0" vertical="top" wrapText="1"/>
    </xf>
    <xf borderId="0" fillId="16" fontId="53" numFmtId="164" xfId="0" applyAlignment="1" applyFont="1" applyNumberFormat="1">
      <alignment horizontal="left" readingOrder="0" shrinkToFit="0" vertical="top" wrapText="0"/>
    </xf>
    <xf borderId="0" fillId="16" fontId="53" numFmtId="164" xfId="0" applyAlignment="1" applyFont="1" applyNumberFormat="1">
      <alignment horizontal="center" readingOrder="0" shrinkToFit="0" vertical="top" wrapText="1"/>
    </xf>
    <xf borderId="0" fillId="16" fontId="54" numFmtId="164" xfId="0" applyAlignment="1" applyFont="1" applyNumberFormat="1">
      <alignment horizontal="center" shrinkToFit="0" vertical="top" wrapText="1"/>
    </xf>
    <xf borderId="0" fillId="0" fontId="54" numFmtId="164" xfId="0" applyAlignment="1" applyFont="1" applyNumberFormat="1">
      <alignment shrinkToFit="0" vertical="top" wrapText="1"/>
    </xf>
    <xf borderId="0" fillId="0" fontId="54" numFmtId="4" xfId="0" applyAlignment="1" applyFont="1" applyNumberFormat="1">
      <alignment shrinkToFit="0" vertical="top" wrapText="1"/>
    </xf>
    <xf borderId="0" fillId="17" fontId="53" numFmtId="164" xfId="0" applyAlignment="1" applyFill="1" applyFont="1" applyNumberFormat="1">
      <alignment horizontal="left" readingOrder="0" shrinkToFit="0" vertical="top" wrapText="0"/>
    </xf>
    <xf borderId="0" fillId="17" fontId="53" numFmtId="164" xfId="0" applyAlignment="1" applyFont="1" applyNumberFormat="1">
      <alignment horizontal="center" readingOrder="0" shrinkToFit="0" vertical="top" wrapText="1"/>
    </xf>
    <xf borderId="0" fillId="3" fontId="53" numFmtId="164" xfId="0" applyAlignment="1" applyFont="1" applyNumberFormat="1">
      <alignment horizontal="center" readingOrder="0" shrinkToFit="0" vertical="top" wrapText="1"/>
    </xf>
    <xf borderId="0" fillId="5" fontId="53" numFmtId="164" xfId="0" applyAlignment="1" applyFont="1" applyNumberFormat="1">
      <alignment horizontal="center" readingOrder="0" shrinkToFit="0" vertical="top" wrapText="1"/>
    </xf>
    <xf borderId="0" fillId="18" fontId="53" numFmtId="164" xfId="0" applyAlignment="1" applyFill="1" applyFont="1" applyNumberFormat="1">
      <alignment horizontal="center" readingOrder="0" shrinkToFit="0" vertical="top" wrapText="1"/>
    </xf>
    <xf borderId="0" fillId="14" fontId="53" numFmtId="164" xfId="0" applyAlignment="1" applyFont="1" applyNumberFormat="1">
      <alignment horizontal="center" readingOrder="0" shrinkToFit="0" vertical="top" wrapText="1"/>
    </xf>
    <xf borderId="0" fillId="19" fontId="53" numFmtId="164" xfId="0" applyAlignment="1" applyFill="1" applyFont="1" applyNumberFormat="1">
      <alignment horizontal="center" readingOrder="0" shrinkToFit="0" vertical="top" wrapText="1"/>
    </xf>
    <xf borderId="0" fillId="20" fontId="53" numFmtId="164" xfId="0" applyAlignment="1" applyFill="1" applyFont="1" applyNumberFormat="1">
      <alignment horizontal="center" readingOrder="0" shrinkToFit="0" vertical="top" wrapText="1"/>
    </xf>
    <xf borderId="0" fillId="16" fontId="53" numFmtId="164" xfId="0" applyAlignment="1" applyFont="1" applyNumberFormat="1">
      <alignment horizontal="center" vertical="top"/>
    </xf>
    <xf borderId="0" fillId="16" fontId="54" numFmtId="164" xfId="0" applyAlignment="1" applyFont="1" applyNumberFormat="1">
      <alignment shrinkToFit="0" vertical="top" wrapText="1"/>
    </xf>
    <xf borderId="0" fillId="16" fontId="55" numFmtId="171" xfId="0" applyAlignment="1" applyFont="1" applyNumberFormat="1">
      <alignment shrinkToFit="0" vertical="top" wrapText="1"/>
    </xf>
    <xf borderId="0" fillId="10" fontId="53" numFmtId="164" xfId="0" applyAlignment="1" applyFont="1" applyNumberFormat="1">
      <alignment horizontal="left" readingOrder="0" shrinkToFit="0" vertical="top" wrapText="0"/>
    </xf>
    <xf borderId="0" fillId="10" fontId="54" numFmtId="164" xfId="0" applyAlignment="1" applyFont="1" applyNumberFormat="1">
      <alignment horizontal="center" readingOrder="0" shrinkToFit="0" vertical="top" wrapText="1"/>
    </xf>
    <xf borderId="0" fillId="10" fontId="54" numFmtId="4" xfId="0" applyAlignment="1" applyFont="1" applyNumberFormat="1">
      <alignment horizontal="center" readingOrder="0" shrinkToFit="0" vertical="top" wrapText="1"/>
    </xf>
    <xf borderId="0" fillId="10" fontId="56" numFmtId="164" xfId="0" applyAlignment="1" applyFont="1" applyNumberFormat="1">
      <alignment horizontal="center" shrinkToFit="0" vertical="top" wrapText="1"/>
    </xf>
    <xf borderId="0" fillId="10" fontId="56" numFmtId="4" xfId="0" applyAlignment="1" applyFont="1" applyNumberFormat="1">
      <alignment horizontal="center" shrinkToFit="0" vertical="top" wrapText="1"/>
    </xf>
    <xf borderId="0" fillId="10" fontId="56" numFmtId="4" xfId="0" applyAlignment="1" applyFont="1" applyNumberFormat="1">
      <alignment horizontal="center" readingOrder="0" shrinkToFit="0" vertical="top" wrapText="1"/>
    </xf>
    <xf borderId="0" fillId="12" fontId="53" numFmtId="164" xfId="0" applyAlignment="1" applyFont="1" applyNumberFormat="1">
      <alignment horizontal="center" readingOrder="0" shrinkToFit="0" vertical="top" wrapText="1"/>
    </xf>
    <xf borderId="0" fillId="16" fontId="53" numFmtId="0" xfId="0" applyAlignment="1" applyFont="1">
      <alignment horizontal="center" readingOrder="0" vertical="top"/>
    </xf>
    <xf borderId="0" fillId="0" fontId="53" numFmtId="164" xfId="0" applyAlignment="1" applyFont="1" applyNumberFormat="1">
      <alignment readingOrder="0" shrinkToFit="0" vertical="top" wrapText="1"/>
    </xf>
    <xf borderId="0" fillId="0" fontId="54" numFmtId="172" xfId="0" applyAlignment="1" applyFont="1" applyNumberFormat="1">
      <alignment readingOrder="0" shrinkToFit="0" vertical="top" wrapText="1"/>
    </xf>
    <xf borderId="0" fillId="0" fontId="54" numFmtId="0" xfId="0" applyAlignment="1" applyFont="1">
      <alignment readingOrder="0" shrinkToFit="0" vertical="top" wrapText="1"/>
    </xf>
    <xf borderId="0" fillId="0" fontId="54" numFmtId="164" xfId="0" applyAlignment="1" applyFont="1" applyNumberFormat="1">
      <alignment readingOrder="0" shrinkToFit="0" vertical="top" wrapText="1"/>
    </xf>
    <xf borderId="0" fillId="16" fontId="54" numFmtId="172" xfId="0" applyAlignment="1" applyFont="1" applyNumberFormat="1">
      <alignment readingOrder="0" shrinkToFit="0" vertical="top" wrapText="1"/>
    </xf>
    <xf borderId="0" fillId="6" fontId="54" numFmtId="172" xfId="0" applyAlignment="1" applyFont="1" applyNumberFormat="1">
      <alignment readingOrder="0" shrinkToFit="0" vertical="top" wrapText="1"/>
    </xf>
    <xf borderId="0" fillId="13" fontId="54" numFmtId="0" xfId="0" applyAlignment="1" applyFont="1">
      <alignment vertical="top"/>
    </xf>
    <xf borderId="0" fillId="21" fontId="54" numFmtId="164" xfId="0" applyAlignment="1" applyFill="1" applyFont="1" applyNumberFormat="1">
      <alignment readingOrder="0" shrinkToFit="0" vertical="top" wrapText="1"/>
    </xf>
    <xf borderId="0" fillId="7" fontId="54" numFmtId="0" xfId="0" applyAlignment="1" applyFont="1">
      <alignment readingOrder="0" shrinkToFit="0" vertical="top" wrapText="1"/>
    </xf>
    <xf borderId="0" fillId="16" fontId="54" numFmtId="172" xfId="0" applyAlignment="1" applyFont="1" applyNumberFormat="1">
      <alignment shrinkToFit="0" vertical="top" wrapText="1"/>
    </xf>
    <xf borderId="0" fillId="6" fontId="54" numFmtId="172" xfId="0" applyAlignment="1" applyFont="1" applyNumberFormat="1">
      <alignment shrinkToFit="0" vertical="top" wrapText="1"/>
    </xf>
    <xf borderId="0" fillId="13" fontId="54" numFmtId="0" xfId="0" applyAlignment="1" applyFont="1">
      <alignment readingOrder="0" shrinkToFit="0" vertical="top" wrapText="1"/>
    </xf>
    <xf borderId="0" fillId="13" fontId="57" numFmtId="164" xfId="0" applyAlignment="1" applyFont="1" applyNumberFormat="1">
      <alignment readingOrder="0" vertical="top"/>
    </xf>
    <xf borderId="0" fillId="13" fontId="54" numFmtId="172" xfId="0" applyAlignment="1" applyFont="1" applyNumberFormat="1">
      <alignment readingOrder="0" shrinkToFit="0" vertical="top" wrapText="1"/>
    </xf>
    <xf borderId="0" fillId="13" fontId="54" numFmtId="164" xfId="0" applyAlignment="1" applyFont="1" applyNumberFormat="1">
      <alignment readingOrder="0" shrinkToFit="0" vertical="top" wrapText="1"/>
    </xf>
    <xf borderId="0" fillId="6" fontId="54" numFmtId="164" xfId="0" applyAlignment="1" applyFont="1" applyNumberFormat="1">
      <alignment readingOrder="0" shrinkToFit="0" vertical="top" wrapText="1"/>
    </xf>
    <xf borderId="0" fillId="6" fontId="57" numFmtId="164" xfId="0" applyAlignment="1" applyFont="1" applyNumberFormat="1">
      <alignment readingOrder="0" vertical="top"/>
    </xf>
    <xf borderId="0" fillId="16" fontId="54" numFmtId="164" xfId="0" applyAlignment="1" applyFont="1" applyNumberFormat="1">
      <alignment readingOrder="0" shrinkToFit="0" vertical="top" wrapText="1"/>
    </xf>
    <xf borderId="0" fillId="6" fontId="54" numFmtId="0" xfId="0" applyAlignment="1" applyFont="1">
      <alignment readingOrder="0" shrinkToFit="0" vertical="top" wrapText="1"/>
    </xf>
    <xf borderId="0" fillId="22" fontId="54" numFmtId="172" xfId="0" applyAlignment="1" applyFill="1" applyFont="1" applyNumberFormat="1">
      <alignment readingOrder="0" shrinkToFit="0" vertical="top" wrapText="1"/>
    </xf>
    <xf borderId="0" fillId="22" fontId="54" numFmtId="0" xfId="0" applyAlignment="1" applyFont="1">
      <alignment readingOrder="0" shrinkToFit="0" vertical="top" wrapText="1"/>
    </xf>
    <xf borderId="0" fillId="22" fontId="54" numFmtId="164" xfId="0" applyAlignment="1" applyFont="1" applyNumberFormat="1">
      <alignment readingOrder="0" shrinkToFit="0" vertical="top" wrapText="1"/>
    </xf>
    <xf borderId="0" fillId="22" fontId="57" numFmtId="164" xfId="0" applyAlignment="1" applyFont="1" applyNumberFormat="1">
      <alignment readingOrder="0" vertical="top"/>
    </xf>
    <xf borderId="0" fillId="22" fontId="54" numFmtId="172" xfId="0" applyAlignment="1" applyFont="1" applyNumberFormat="1">
      <alignment shrinkToFit="0" vertical="top" wrapText="1"/>
    </xf>
    <xf borderId="0" fillId="22" fontId="54" numFmtId="164" xfId="0" applyAlignment="1" applyFont="1" applyNumberFormat="1">
      <alignment shrinkToFit="0" vertical="top" wrapText="1"/>
    </xf>
    <xf borderId="0" fillId="22" fontId="54" numFmtId="4" xfId="0" applyAlignment="1" applyFont="1" applyNumberFormat="1">
      <alignment shrinkToFit="0" vertical="top" wrapText="1"/>
    </xf>
    <xf borderId="0" fillId="16" fontId="54" numFmtId="0" xfId="0" applyAlignment="1" applyFont="1">
      <alignment readingOrder="0" shrinkToFit="0" vertical="top" wrapText="1"/>
    </xf>
    <xf borderId="0" fillId="19" fontId="54" numFmtId="0" xfId="0" applyAlignment="1" applyFont="1">
      <alignment readingOrder="0" shrinkToFit="0" vertical="top" wrapText="1"/>
    </xf>
    <xf borderId="0" fillId="10" fontId="58" numFmtId="0" xfId="0" applyAlignment="1" applyFont="1">
      <alignment horizontal="left" readingOrder="0" shrinkToFit="0" vertical="top" wrapText="1"/>
    </xf>
    <xf borderId="0" fillId="13" fontId="58" numFmtId="164" xfId="0" applyAlignment="1" applyFont="1" applyNumberFormat="1">
      <alignment horizontal="left" readingOrder="0" vertical="top"/>
    </xf>
    <xf borderId="0" fillId="3" fontId="54" numFmtId="172" xfId="0" applyAlignment="1" applyFont="1" applyNumberFormat="1">
      <alignment readingOrder="0" shrinkToFit="0" vertical="top" wrapText="1"/>
    </xf>
    <xf borderId="0" fillId="3" fontId="54" numFmtId="164" xfId="0" applyAlignment="1" applyFont="1" applyNumberFormat="1">
      <alignment readingOrder="0" shrinkToFit="0" vertical="top" wrapText="1"/>
    </xf>
    <xf borderId="0" fillId="3" fontId="54" numFmtId="0" xfId="0" applyAlignment="1" applyFont="1">
      <alignment readingOrder="0" shrinkToFit="0" vertical="top" wrapText="1"/>
    </xf>
    <xf borderId="0" fillId="7" fontId="54" numFmtId="172" xfId="0" applyAlignment="1" applyFont="1" applyNumberFormat="1">
      <alignment readingOrder="0" shrinkToFit="0" vertical="top" wrapText="1"/>
    </xf>
    <xf borderId="0" fillId="7" fontId="54" numFmtId="164" xfId="0" applyAlignment="1" applyFont="1" applyNumberFormat="1">
      <alignment readingOrder="0" shrinkToFit="0" vertical="top" wrapText="1"/>
    </xf>
    <xf borderId="0" fillId="23" fontId="54" numFmtId="172" xfId="0" applyAlignment="1" applyFill="1" applyFont="1" applyNumberFormat="1">
      <alignment readingOrder="0" shrinkToFit="0" vertical="top" wrapText="1"/>
    </xf>
    <xf borderId="0" fillId="23" fontId="54" numFmtId="164" xfId="0" applyAlignment="1" applyFont="1" applyNumberFormat="1">
      <alignment readingOrder="0" shrinkToFit="0" vertical="top" wrapText="1"/>
    </xf>
    <xf borderId="0" fillId="23" fontId="54" numFmtId="0" xfId="0" applyAlignment="1" applyFont="1">
      <alignment readingOrder="0" shrinkToFit="0" vertical="top" wrapText="1"/>
    </xf>
    <xf borderId="0" fillId="9" fontId="54" numFmtId="172" xfId="0" applyAlignment="1" applyFont="1" applyNumberFormat="1">
      <alignment readingOrder="0" shrinkToFit="0" vertical="top" wrapText="1"/>
    </xf>
    <xf borderId="0" fillId="9" fontId="54" numFmtId="164" xfId="0" applyAlignment="1" applyFont="1" applyNumberFormat="1">
      <alignment readingOrder="0" shrinkToFit="0" vertical="top" wrapText="1"/>
    </xf>
    <xf borderId="0" fillId="9" fontId="54" numFmtId="0" xfId="0" applyAlignment="1" applyFont="1">
      <alignment readingOrder="0" shrinkToFit="0" vertical="top" wrapText="1"/>
    </xf>
    <xf borderId="0" fillId="9" fontId="54" numFmtId="172" xfId="0" applyAlignment="1" applyFont="1" applyNumberFormat="1">
      <alignment shrinkToFit="0" vertical="top" wrapText="1"/>
    </xf>
    <xf borderId="0" fillId="9" fontId="54" numFmtId="164" xfId="0" applyAlignment="1" applyFont="1" applyNumberFormat="1">
      <alignment shrinkToFit="0" vertical="top" wrapText="1"/>
    </xf>
    <xf borderId="0" fillId="9" fontId="54" numFmtId="4" xfId="0" applyAlignment="1" applyFont="1" applyNumberFormat="1">
      <alignment shrinkToFit="0" vertical="top" wrapText="1"/>
    </xf>
    <xf borderId="0" fillId="0" fontId="54" numFmtId="166" xfId="0" applyAlignment="1" applyFont="1" applyNumberFormat="1">
      <alignment readingOrder="0" shrinkToFit="0" vertical="top" wrapText="1"/>
    </xf>
    <xf borderId="0" fillId="6" fontId="54" numFmtId="164" xfId="0" applyAlignment="1" applyFont="1" applyNumberFormat="1">
      <alignment shrinkToFit="0" vertical="top" wrapText="1"/>
    </xf>
    <xf borderId="0" fillId="0" fontId="54" numFmtId="164" xfId="0" applyAlignment="1" applyFont="1" applyNumberFormat="1">
      <alignment horizontal="right" readingOrder="0" shrinkToFit="0" vertical="top" wrapText="1"/>
    </xf>
    <xf borderId="0" fillId="9" fontId="54" numFmtId="164" xfId="0" applyAlignment="1" applyFont="1" applyNumberFormat="1">
      <alignment horizontal="right" readingOrder="0" shrinkToFit="0" vertical="top" wrapText="1"/>
    </xf>
    <xf borderId="0" fillId="13" fontId="54" numFmtId="164" xfId="0" applyAlignment="1" applyFont="1" applyNumberFormat="1">
      <alignment shrinkToFit="0" vertical="top" wrapText="1"/>
    </xf>
    <xf borderId="0" fillId="11" fontId="54" numFmtId="164" xfId="0" applyAlignment="1" applyFont="1" applyNumberFormat="1">
      <alignment readingOrder="0" shrinkToFit="0" vertical="top" wrapText="1"/>
    </xf>
    <xf borderId="0" fillId="0" fontId="58" numFmtId="164" xfId="0" applyAlignment="1" applyFont="1" applyNumberFormat="1">
      <alignment horizontal="left" readingOrder="0" vertical="top"/>
    </xf>
    <xf borderId="0" fillId="13" fontId="58" numFmtId="164" xfId="0" applyAlignment="1" applyFont="1" applyNumberFormat="1">
      <alignment horizontal="left" readingOrder="0"/>
    </xf>
    <xf borderId="0" fillId="13" fontId="59" numFmtId="164" xfId="0" applyAlignment="1" applyFont="1" applyNumberFormat="1">
      <alignment horizontal="left" readingOrder="0"/>
    </xf>
    <xf borderId="0" fillId="13" fontId="60" numFmtId="164" xfId="0" applyAlignment="1" applyFont="1" applyNumberFormat="1">
      <alignment readingOrder="0"/>
    </xf>
    <xf borderId="0" fillId="11" fontId="3" numFmtId="164" xfId="0" applyAlignment="1" applyFont="1" applyNumberFormat="1">
      <alignment readingOrder="0"/>
    </xf>
    <xf borderId="0" fillId="0" fontId="3" numFmtId="164" xfId="0" applyAlignment="1" applyFont="1" applyNumberFormat="1">
      <alignment readingOrder="0"/>
    </xf>
    <xf borderId="0" fillId="0" fontId="3" numFmtId="4" xfId="0" applyFont="1" applyNumberFormat="1"/>
    <xf borderId="0" fillId="0" fontId="3" numFmtId="169" xfId="0" applyAlignment="1" applyFont="1" applyNumberFormat="1">
      <alignment readingOrder="0"/>
    </xf>
    <xf borderId="0" fillId="0" fontId="54" numFmtId="169" xfId="0" applyAlignment="1" applyFont="1" applyNumberFormat="1">
      <alignment readingOrder="0" shrinkToFit="0" vertical="top" wrapText="1"/>
    </xf>
    <xf borderId="0" fillId="13" fontId="54" numFmtId="169" xfId="0" applyAlignment="1" applyFont="1" applyNumberFormat="1">
      <alignment readingOrder="0" shrinkToFit="0" vertical="top" wrapText="1"/>
    </xf>
    <xf borderId="0" fillId="11" fontId="54" numFmtId="169" xfId="0" applyAlignment="1" applyFont="1" applyNumberFormat="1">
      <alignment readingOrder="0" shrinkToFit="0" vertical="top" wrapText="1"/>
    </xf>
    <xf borderId="0" fillId="11" fontId="54" numFmtId="164" xfId="0" applyAlignment="1" applyFont="1" applyNumberFormat="1">
      <alignment shrinkToFit="0" vertical="top" wrapText="1"/>
    </xf>
    <xf borderId="0" fillId="16" fontId="54" numFmtId="166" xfId="0" applyAlignment="1" applyFont="1" applyNumberFormat="1">
      <alignment readingOrder="0" shrinkToFit="0" vertical="top" wrapText="1"/>
    </xf>
    <xf borderId="0" fillId="0" fontId="54" numFmtId="4" xfId="0" applyAlignment="1" applyFont="1" applyNumberFormat="1">
      <alignment readingOrder="0" shrinkToFit="0" vertical="top" wrapText="1"/>
    </xf>
    <xf borderId="0" fillId="0" fontId="54" numFmtId="173" xfId="0" applyAlignment="1" applyFont="1" applyNumberFormat="1">
      <alignment readingOrder="0" shrinkToFit="0" vertical="top" wrapText="1"/>
    </xf>
    <xf borderId="0" fillId="0" fontId="54" numFmtId="174" xfId="0" applyAlignment="1" applyFont="1" applyNumberFormat="1">
      <alignment readingOrder="0" shrinkToFit="0" vertical="top" wrapText="1"/>
    </xf>
    <xf borderId="0" fillId="0" fontId="4" numFmtId="166" xfId="0" applyAlignment="1" applyFont="1" applyNumberFormat="1">
      <alignment horizontal="right" readingOrder="0" shrinkToFit="0" vertical="top" wrapText="1"/>
    </xf>
    <xf borderId="0" fillId="0" fontId="4" numFmtId="164" xfId="0" applyAlignment="1" applyFont="1" applyNumberFormat="1">
      <alignment shrinkToFit="0" vertical="top" wrapText="1"/>
    </xf>
    <xf borderId="0" fillId="0" fontId="4" numFmtId="164" xfId="0" applyAlignment="1" applyFont="1" applyNumberFormat="1">
      <alignment vertical="top"/>
    </xf>
    <xf borderId="0" fillId="13" fontId="4" numFmtId="164" xfId="0" applyAlignment="1" applyFont="1" applyNumberFormat="1">
      <alignment shrinkToFit="0" vertical="top" wrapText="1"/>
    </xf>
    <xf borderId="0" fillId="16" fontId="4" numFmtId="166" xfId="0" applyAlignment="1" applyFont="1" applyNumberFormat="1">
      <alignment horizontal="right" readingOrder="0" shrinkToFit="0" vertical="top" wrapText="1"/>
    </xf>
    <xf borderId="0" fillId="16" fontId="4" numFmtId="164" xfId="0" applyAlignment="1" applyFont="1" applyNumberFormat="1">
      <alignment horizontal="right" readingOrder="0" shrinkToFit="0" vertical="top" wrapText="1"/>
    </xf>
    <xf borderId="0" fillId="16" fontId="4" numFmtId="164" xfId="0" applyAlignment="1" applyFont="1" applyNumberFormat="1">
      <alignment vertical="top"/>
    </xf>
    <xf borderId="0" fillId="0" fontId="4" numFmtId="4" xfId="0" applyAlignment="1" applyFont="1" applyNumberFormat="1">
      <alignment horizontal="right" readingOrder="0" shrinkToFit="0" vertical="top" wrapText="1"/>
    </xf>
    <xf borderId="0" fillId="0" fontId="4" numFmtId="4" xfId="0" applyAlignment="1" applyFont="1" applyNumberFormat="1">
      <alignment readingOrder="0" shrinkToFit="0" vertical="top" wrapText="1"/>
    </xf>
    <xf borderId="0" fillId="16" fontId="4" numFmtId="164" xfId="0" applyAlignment="1" applyFont="1" applyNumberFormat="1">
      <alignment horizontal="right" shrinkToFit="0" vertical="top" wrapText="1"/>
    </xf>
    <xf borderId="0" fillId="0" fontId="4" numFmtId="4" xfId="0" applyAlignment="1" applyFont="1" applyNumberFormat="1">
      <alignment horizontal="right" shrinkToFit="0" vertical="top" wrapText="1"/>
    </xf>
    <xf borderId="1" fillId="5" fontId="56" numFmtId="164" xfId="0" applyAlignment="1" applyBorder="1" applyFont="1" applyNumberFormat="1">
      <alignment shrinkToFit="0" vertical="top" wrapText="1"/>
    </xf>
    <xf borderId="0" fillId="5" fontId="61" numFmtId="0" xfId="0" applyAlignment="1" applyFont="1">
      <alignment readingOrder="0"/>
    </xf>
    <xf borderId="0" fillId="5" fontId="61" numFmtId="0" xfId="0" applyAlignment="1" applyFont="1">
      <alignment readingOrder="0" shrinkToFit="0" wrapText="1"/>
    </xf>
    <xf borderId="0" fillId="5" fontId="61" numFmtId="0" xfId="0" applyFont="1"/>
    <xf borderId="0" fillId="0" fontId="3" numFmtId="164" xfId="0" applyFont="1" applyNumberFormat="1"/>
    <xf borderId="0" fillId="0" fontId="3" numFmtId="0" xfId="0" applyAlignment="1" applyFont="1">
      <alignment readingOrder="0"/>
    </xf>
    <xf borderId="0" fillId="0" fontId="62" numFmtId="0" xfId="0" applyFont="1"/>
    <xf borderId="0" fillId="0" fontId="3" numFmtId="0" xfId="0" applyFont="1"/>
    <xf borderId="1" fillId="4" fontId="4" numFmtId="164" xfId="0" applyAlignment="1" applyBorder="1" applyFont="1" applyNumberFormat="1">
      <alignment shrinkToFit="0" vertical="top" wrapText="1"/>
    </xf>
    <xf borderId="1" fillId="7" fontId="4" numFmtId="164" xfId="0" applyAlignment="1" applyBorder="1" applyFont="1" applyNumberFormat="1">
      <alignment shrinkToFit="0" vertical="top" wrapText="1"/>
    </xf>
    <xf borderId="1" fillId="6" fontId="4" numFmtId="164" xfId="0" applyAlignment="1" applyBorder="1" applyFont="1" applyNumberFormat="1">
      <alignment shrinkToFit="0" vertical="top" wrapText="1"/>
    </xf>
    <xf borderId="1" fillId="0" fontId="4" numFmtId="164" xfId="0" applyAlignment="1" applyBorder="1" applyFont="1" applyNumberFormat="1">
      <alignment shrinkToFit="0" vertical="top" wrapText="1"/>
    </xf>
    <xf borderId="1" fillId="10" fontId="4" numFmtId="164" xfId="0" applyAlignment="1" applyBorder="1" applyFont="1" applyNumberFormat="1">
      <alignment shrinkToFit="0" vertical="top" wrapText="1"/>
    </xf>
    <xf borderId="1" fillId="8" fontId="4" numFmtId="164" xfId="0" applyAlignment="1" applyBorder="1" applyFont="1" applyNumberFormat="1">
      <alignment shrinkToFit="0" vertical="top" wrapText="1"/>
    </xf>
    <xf borderId="1" fillId="5" fontId="4" numFmtId="164" xfId="0" applyAlignment="1" applyBorder="1" applyFont="1" applyNumberFormat="1">
      <alignment shrinkToFit="0" vertical="top" wrapText="1"/>
    </xf>
    <xf borderId="1" fillId="11" fontId="4" numFmtId="164" xfId="0" applyAlignment="1" applyBorder="1" applyFont="1" applyNumberFormat="1">
      <alignment shrinkToFit="0" vertical="top" wrapText="1"/>
    </xf>
    <xf borderId="1" fillId="3" fontId="63" numFmtId="164" xfId="0" applyAlignment="1" applyBorder="1" applyFont="1" applyNumberFormat="1">
      <alignment shrinkToFit="0" vertical="top" wrapText="1"/>
    </xf>
    <xf borderId="1" fillId="15" fontId="4" numFmtId="164" xfId="0" applyAlignment="1" applyBorder="1" applyFont="1" applyNumberFormat="1">
      <alignment shrinkToFit="0" vertical="top" wrapText="1"/>
    </xf>
    <xf borderId="1" fillId="3" fontId="4" numFmtId="164" xfId="0" applyAlignment="1" applyBorder="1" applyFont="1" applyNumberFormat="1">
      <alignment vertical="top"/>
    </xf>
    <xf borderId="1" fillId="3" fontId="4" numFmtId="0" xfId="0" applyAlignment="1" applyBorder="1" applyFont="1">
      <alignment shrinkToFit="0" vertical="top" wrapText="1"/>
    </xf>
    <xf borderId="1" fillId="3" fontId="4" numFmtId="0" xfId="0" applyAlignment="1" applyBorder="1" applyFont="1">
      <alignment vertical="bottom"/>
    </xf>
    <xf borderId="1" fillId="0" fontId="4" numFmtId="0" xfId="0" applyAlignment="1" applyBorder="1" applyFont="1">
      <alignment shrinkToFit="0" vertical="bottom" wrapText="1"/>
    </xf>
    <xf borderId="1" fillId="3" fontId="4" numFmtId="0" xfId="0" applyAlignment="1" applyBorder="1" applyFont="1">
      <alignment shrinkToFit="0" vertical="bottom" wrapText="1"/>
    </xf>
    <xf borderId="0" fillId="0" fontId="4" numFmtId="0" xfId="0" applyAlignment="1" applyFont="1">
      <alignment vertical="bottom"/>
    </xf>
    <xf borderId="1" fillId="0" fontId="4" numFmtId="164" xfId="0" applyAlignment="1" applyBorder="1" applyFont="1" applyNumberFormat="1">
      <alignment vertical="top"/>
    </xf>
    <xf borderId="0" fillId="24" fontId="64" numFmtId="0" xfId="0" applyAlignment="1" applyFill="1" applyFont="1">
      <alignment readingOrder="0"/>
    </xf>
    <xf borderId="0" fillId="25" fontId="61" numFmtId="0" xfId="0" applyAlignment="1" applyFill="1" applyFont="1">
      <alignment readingOrder="0"/>
    </xf>
    <xf borderId="0" fillId="25" fontId="61" numFmtId="1" xfId="0" applyFont="1" applyNumberFormat="1"/>
    <xf borderId="0" fillId="25" fontId="3" numFmtId="9" xfId="0" applyFont="1" applyNumberFormat="1"/>
    <xf borderId="0" fillId="0" fontId="61" numFmtId="0" xfId="0" applyAlignment="1" applyFont="1">
      <alignment readingOrder="0"/>
    </xf>
    <xf borderId="0" fillId="0" fontId="61" numFmtId="1" xfId="0" applyAlignment="1" applyFont="1" applyNumberFormat="1">
      <alignment readingOrder="0"/>
    </xf>
    <xf borderId="0" fillId="0" fontId="3" numFmtId="0" xfId="0" applyFont="1"/>
    <xf borderId="0" fillId="0" fontId="3" numFmtId="1" xfId="0" applyFont="1" applyNumberFormat="1"/>
    <xf borderId="0" fillId="0" fontId="3" numFmtId="9" xfId="0" applyFont="1" applyNumberFormat="1"/>
    <xf borderId="0" fillId="0" fontId="3" numFmtId="1" xfId="0" applyFont="1" applyNumberFormat="1"/>
    <xf borderId="0" fillId="0" fontId="3" numFmtId="9" xfId="0" applyFont="1" applyNumberFormat="1"/>
    <xf borderId="0" fillId="26" fontId="61" numFmtId="0" xfId="0" applyAlignment="1" applyFill="1" applyFont="1">
      <alignment readingOrder="0"/>
    </xf>
    <xf borderId="0" fillId="26" fontId="61" numFmtId="1" xfId="0" applyFont="1" applyNumberFormat="1"/>
    <xf borderId="0" fillId="26" fontId="3" numFmtId="9" xfId="0" applyFont="1" applyNumberFormat="1"/>
    <xf borderId="0" fillId="0" fontId="3" numFmtId="0" xfId="0" applyAlignment="1" applyFont="1">
      <alignment readingOrder="0"/>
    </xf>
    <xf borderId="0" fillId="13" fontId="65" numFmtId="168" xfId="0" applyFont="1" applyNumberFormat="1"/>
    <xf borderId="0" fillId="0" fontId="4" numFmtId="0" xfId="0" applyAlignment="1" applyFont="1">
      <alignment readingOrder="0" vertical="top"/>
    </xf>
    <xf borderId="0" fillId="0" fontId="4" numFmtId="0" xfId="0" applyAlignment="1" applyFont="1">
      <alignment readingOrder="0" vertical="top"/>
    </xf>
    <xf borderId="0" fillId="13" fontId="65" numFmtId="168" xfId="0" applyFont="1" applyNumberFormat="1"/>
    <xf borderId="0" fillId="4" fontId="61" numFmtId="0" xfId="0" applyAlignment="1" applyFont="1">
      <alignment readingOrder="0"/>
    </xf>
    <xf borderId="0" fillId="0" fontId="61" numFmtId="0" xfId="0" applyAlignment="1" applyFont="1">
      <alignment readingOrder="0"/>
    </xf>
    <xf borderId="0" fillId="0" fontId="4" numFmtId="0" xfId="0" applyAlignment="1" applyFont="1">
      <alignment vertical="bottom"/>
    </xf>
    <xf borderId="0" fillId="13" fontId="66" numFmtId="1" xfId="0" applyAlignment="1" applyFont="1" applyNumberFormat="1">
      <alignment horizontal="right" vertical="bottom"/>
    </xf>
    <xf borderId="0" fillId="0" fontId="3" numFmtId="0" xfId="0" applyFont="1"/>
    <xf borderId="0" fillId="13" fontId="65" numFmtId="0" xfId="0" applyFont="1"/>
    <xf borderId="0" fillId="0" fontId="3" numFmtId="0" xfId="0" applyAlignment="1" applyFont="1">
      <alignment readingOrder="0"/>
    </xf>
    <xf borderId="0" fillId="0" fontId="4" numFmtId="0" xfId="0" applyAlignment="1" applyFont="1">
      <alignment vertical="bottom"/>
    </xf>
    <xf borderId="0" fillId="27" fontId="61" numFmtId="0" xfId="0" applyAlignment="1" applyFill="1" applyFont="1">
      <alignment readingOrder="0"/>
    </xf>
    <xf borderId="0" fillId="27" fontId="3" numFmtId="1" xfId="0" applyFont="1" applyNumberFormat="1"/>
    <xf borderId="0" fillId="27" fontId="3" numFmtId="9" xfId="0" applyFont="1" applyNumberFormat="1"/>
    <xf borderId="0" fillId="13" fontId="67" numFmtId="0" xfId="0" applyAlignment="1" applyFont="1">
      <alignment readingOrder="0"/>
    </xf>
    <xf borderId="0" fillId="13" fontId="66" numFmtId="168" xfId="0" applyAlignment="1" applyFont="1" applyNumberFormat="1">
      <alignment horizontal="right" vertical="bottom"/>
    </xf>
    <xf borderId="0" fillId="0" fontId="3" numFmtId="168" xfId="0" applyAlignment="1" applyFont="1" applyNumberFormat="1">
      <alignment readingOrder="0"/>
    </xf>
    <xf borderId="0" fillId="0" fontId="3" numFmtId="168" xfId="0" applyFont="1" applyNumberFormat="1"/>
    <xf borderId="0" fillId="13" fontId="65" numFmtId="1" xfId="0" applyAlignment="1" applyFont="1" applyNumberFormat="1">
      <alignment readingOrder="0"/>
    </xf>
    <xf borderId="0" fillId="0" fontId="4" numFmtId="0" xfId="0" applyAlignment="1" applyFont="1">
      <alignment readingOrder="0" vertical="bottom"/>
    </xf>
    <xf borderId="0" fillId="0" fontId="3" numFmtId="0" xfId="0" applyFont="1"/>
    <xf borderId="0" fillId="0" fontId="61" numFmtId="0" xfId="0" applyAlignment="1" applyFont="1">
      <alignment readingOrder="0"/>
    </xf>
    <xf borderId="0" fillId="0" fontId="61" numFmtId="1" xfId="0" applyFont="1" applyNumberFormat="1"/>
    <xf borderId="0" fillId="28" fontId="61" numFmtId="0" xfId="0" applyAlignment="1" applyFill="1" applyFont="1">
      <alignment readingOrder="0"/>
    </xf>
    <xf borderId="0" fillId="28" fontId="61" numFmtId="1" xfId="0" applyFont="1" applyNumberFormat="1"/>
    <xf borderId="0" fillId="28" fontId="3" numFmtId="9" xfId="0" applyFont="1" applyNumberFormat="1"/>
    <xf borderId="0" fillId="0" fontId="61" numFmtId="1" xfId="0" applyAlignment="1" applyFont="1" applyNumberFormat="1">
      <alignment readingOrder="0"/>
    </xf>
    <xf borderId="0" fillId="13" fontId="65" numFmtId="1" xfId="0" applyFont="1" applyNumberFormat="1"/>
    <xf borderId="0" fillId="0" fontId="3" numFmtId="168" xfId="0" applyFont="1" applyNumberFormat="1"/>
    <xf borderId="0" fillId="29" fontId="61" numFmtId="0" xfId="0" applyAlignment="1" applyFill="1" applyFont="1">
      <alignment readingOrder="0"/>
    </xf>
    <xf borderId="0" fillId="29" fontId="61" numFmtId="1" xfId="0" applyFont="1" applyNumberFormat="1"/>
    <xf borderId="0" fillId="29" fontId="3" numFmtId="9" xfId="0" applyFont="1" applyNumberFormat="1"/>
    <xf borderId="0" fillId="29" fontId="61" numFmtId="1" xfId="0" applyAlignment="1" applyFont="1" applyNumberFormat="1">
      <alignment readingOrder="0"/>
    </xf>
    <xf borderId="0" fillId="21" fontId="64" numFmtId="0" xfId="0" applyAlignment="1" applyFont="1">
      <alignment readingOrder="0" shrinkToFit="0" wrapText="1"/>
    </xf>
    <xf borderId="0" fillId="0" fontId="61" numFmtId="0" xfId="0" applyAlignment="1" applyFont="1">
      <alignment readingOrder="0" shrinkToFit="0" wrapText="1"/>
    </xf>
    <xf borderId="0" fillId="0" fontId="61" numFmtId="1" xfId="0" applyFont="1" applyNumberFormat="1"/>
    <xf borderId="0" fillId="0" fontId="3" numFmtId="0" xfId="0" applyAlignment="1" applyFont="1">
      <alignment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vertical="top" wrapText="1"/>
    </xf>
    <xf borderId="0" fillId="0" fontId="3" numFmtId="0" xfId="0" applyAlignment="1" applyFont="1">
      <alignment readingOrder="0" shrinkToFit="0" wrapText="1"/>
    </xf>
    <xf borderId="0" fillId="0" fontId="61" numFmtId="0" xfId="0" applyAlignment="1" applyFont="1">
      <alignment readingOrder="0" shrinkToFit="0" wrapText="1"/>
    </xf>
    <xf borderId="0" fillId="0" fontId="61" numFmtId="164" xfId="0" applyAlignment="1" applyFont="1" applyNumberFormat="1">
      <alignment readingOrder="0" shrinkToFit="0" wrapText="1"/>
    </xf>
    <xf borderId="0" fillId="0" fontId="3" numFmtId="164" xfId="0" applyFont="1" applyNumberFormat="1"/>
    <xf borderId="0" fillId="3" fontId="54" numFmtId="164" xfId="0" applyAlignment="1" applyFont="1" applyNumberFormat="1">
      <alignment horizontal="left" readingOrder="0" shrinkToFit="0" vertical="top" wrapText="1"/>
    </xf>
    <xf borderId="0" fillId="13" fontId="65" numFmtId="9" xfId="0" applyFont="1" applyNumberFormat="1"/>
    <xf borderId="0" fillId="13" fontId="65" numFmtId="164" xfId="0" applyFont="1" applyNumberFormat="1"/>
    <xf borderId="0" fillId="5" fontId="54" numFmtId="164" xfId="0" applyAlignment="1" applyFont="1" applyNumberFormat="1">
      <alignment horizontal="left" readingOrder="0" shrinkToFit="0" vertical="top" wrapText="1"/>
    </xf>
    <xf borderId="0" fillId="18" fontId="54" numFmtId="164" xfId="0" applyAlignment="1" applyFont="1" applyNumberFormat="1">
      <alignment horizontal="left" readingOrder="0" shrinkToFit="0" vertical="top" wrapText="1"/>
    </xf>
    <xf borderId="0" fillId="14" fontId="54" numFmtId="164" xfId="0" applyAlignment="1" applyFont="1" applyNumberFormat="1">
      <alignment horizontal="left" readingOrder="0" shrinkToFit="0" vertical="top" wrapText="1"/>
    </xf>
    <xf borderId="0" fillId="19" fontId="54" numFmtId="164" xfId="0" applyAlignment="1" applyFont="1" applyNumberFormat="1">
      <alignment horizontal="left" readingOrder="0" shrinkToFit="0" vertical="top" wrapText="1"/>
    </xf>
    <xf borderId="0" fillId="20" fontId="54" numFmtId="164" xfId="0" applyAlignment="1" applyFont="1" applyNumberFormat="1">
      <alignment horizontal="left" readingOrder="0" shrinkToFit="0" vertical="top" wrapText="1"/>
    </xf>
    <xf borderId="0" fillId="0" fontId="3" numFmtId="164" xfId="0" applyAlignment="1" applyFont="1" applyNumberFormat="1">
      <alignment shrinkToFit="0" wrapText="1"/>
    </xf>
    <xf borderId="0" fillId="30" fontId="68" numFmtId="0" xfId="0" applyAlignment="1" applyFill="1" applyFont="1">
      <alignment readingOrder="0" shrinkToFit="0" wrapText="1"/>
    </xf>
    <xf borderId="0" fillId="30" fontId="68" numFmtId="1" xfId="0" applyFont="1" applyNumberFormat="1"/>
    <xf borderId="0" fillId="30" fontId="68" numFmtId="1" xfId="0" applyAlignment="1" applyFont="1" applyNumberFormat="1">
      <alignment readingOrder="0"/>
    </xf>
    <xf borderId="0" fillId="30" fontId="69" numFmtId="0" xfId="0" applyAlignment="1" applyFont="1">
      <alignment shrinkToFit="0" wrapText="1"/>
    </xf>
    <xf borderId="0" fillId="30" fontId="65" numFmtId="1" xfId="0" applyFont="1" applyNumberFormat="1"/>
    <xf borderId="0" fillId="30" fontId="61" numFmtId="0" xfId="0" applyAlignment="1" applyFont="1">
      <alignment readingOrder="0"/>
    </xf>
    <xf borderId="0" fillId="30" fontId="61" numFmtId="1" xfId="0" applyFont="1" applyNumberFormat="1"/>
    <xf borderId="0" fillId="30" fontId="61" numFmtId="1" xfId="0" applyAlignment="1" applyFont="1" applyNumberFormat="1">
      <alignment readingOrder="0"/>
    </xf>
    <xf borderId="0" fillId="30" fontId="69" numFmtId="0" xfId="0" applyAlignment="1" applyFont="1">
      <alignment shrinkToFit="0" wrapText="1"/>
    </xf>
    <xf borderId="0" fillId="30" fontId="69" numFmtId="1" xfId="0" applyFont="1" applyNumberFormat="1"/>
    <xf borderId="0" fillId="30" fontId="4" numFmtId="0" xfId="0" applyAlignment="1" applyFont="1">
      <alignment vertical="bottom"/>
    </xf>
    <xf borderId="0" fillId="30" fontId="66" numFmtId="1" xfId="0" applyAlignment="1" applyFont="1" applyNumberFormat="1">
      <alignment horizontal="right" vertical="bottom"/>
    </xf>
    <xf borderId="0" fillId="30" fontId="4" numFmtId="0" xfId="0" applyAlignment="1" applyFont="1">
      <alignment vertical="bottom"/>
    </xf>
    <xf borderId="0" fillId="30" fontId="3" numFmtId="0" xfId="0" applyFont="1"/>
    <xf borderId="0" fillId="30" fontId="3" numFmtId="1" xfId="0" applyFont="1" applyNumberFormat="1"/>
    <xf borderId="0" fillId="31" fontId="64" numFmtId="0" xfId="0" applyAlignment="1" applyFill="1" applyFont="1">
      <alignment readingOrder="0"/>
    </xf>
    <xf borderId="0" fillId="31" fontId="70" numFmtId="0" xfId="0" applyAlignment="1" applyFont="1">
      <alignment horizontal="center" readingOrder="0" vertical="top"/>
    </xf>
    <xf borderId="0" fillId="32" fontId="56" numFmtId="0" xfId="0" applyAlignment="1" applyFill="1" applyFont="1">
      <alignment horizontal="center" readingOrder="0" vertical="top"/>
    </xf>
    <xf borderId="1" fillId="32" fontId="56" numFmtId="0" xfId="0" applyAlignment="1" applyBorder="1" applyFont="1">
      <alignment horizontal="center" readingOrder="0" vertical="top"/>
    </xf>
    <xf borderId="0" fillId="0" fontId="4" numFmtId="0" xfId="0" applyAlignment="1" applyFont="1">
      <alignment readingOrder="0" vertical="top"/>
    </xf>
    <xf borderId="0" fillId="0" fontId="4" numFmtId="0" xfId="0" applyAlignment="1" applyFont="1">
      <alignment shrinkToFit="0" vertical="bottom" wrapText="0"/>
    </xf>
    <xf borderId="0" fillId="0" fontId="71" numFmtId="0" xfId="0" applyAlignment="1" applyFont="1">
      <alignment readingOrder="0" shrinkToFit="0" vertical="bottom" wrapText="1"/>
    </xf>
    <xf borderId="0" fillId="0" fontId="71" numFmtId="164" xfId="0" applyAlignment="1" applyFont="1" applyNumberFormat="1">
      <alignment horizontal="right" readingOrder="0" shrinkToFit="0" vertical="bottom" wrapText="1"/>
    </xf>
    <xf borderId="0" fillId="0" fontId="72" numFmtId="0" xfId="0" applyAlignment="1" applyFont="1">
      <alignment readingOrder="0"/>
    </xf>
    <xf borderId="0" fillId="0" fontId="4" numFmtId="0" xfId="0" applyAlignment="1" applyFont="1">
      <alignment shrinkToFit="0" vertical="bottom" wrapText="1"/>
    </xf>
    <xf borderId="0" fillId="0" fontId="4" numFmtId="164" xfId="0" applyAlignment="1" applyFont="1" applyNumberFormat="1">
      <alignment horizontal="right" shrinkToFit="0" vertical="bottom" wrapText="1"/>
    </xf>
    <xf borderId="0" fillId="0" fontId="4" numFmtId="168" xfId="0" applyAlignment="1" applyFont="1" applyNumberFormat="1">
      <alignment horizontal="right" shrinkToFit="0" vertical="bottom" wrapText="1"/>
    </xf>
    <xf borderId="0" fillId="0" fontId="4" numFmtId="0" xfId="0" applyAlignment="1" applyFont="1">
      <alignment horizontal="right" shrinkToFit="0" vertical="bottom" wrapText="1"/>
    </xf>
    <xf borderId="0" fillId="0" fontId="4" numFmtId="3" xfId="0" applyAlignment="1" applyFont="1" applyNumberFormat="1">
      <alignment horizontal="right" shrinkToFit="0" vertical="bottom" wrapText="1"/>
    </xf>
    <xf borderId="0" fillId="0" fontId="61" numFmtId="0" xfId="0" applyAlignment="1" applyFont="1">
      <alignment shrinkToFit="0" wrapText="1"/>
    </xf>
    <xf borderId="0" fillId="19" fontId="61" numFmtId="0" xfId="0" applyAlignment="1" applyFont="1">
      <alignment readingOrder="0" shrinkToFit="0" wrapText="1"/>
    </xf>
    <xf borderId="0" fillId="19" fontId="61" numFmtId="0" xfId="0" applyAlignment="1" applyFont="1">
      <alignment shrinkToFit="0" wrapText="1"/>
    </xf>
    <xf borderId="0" fillId="0" fontId="4" numFmtId="0" xfId="0" applyAlignment="1" applyFont="1">
      <alignment shrinkToFit="0" vertical="top" wrapText="1"/>
    </xf>
    <xf borderId="0" fillId="0" fontId="4" numFmtId="0" xfId="0" applyAlignment="1" applyFont="1">
      <alignment readingOrder="0" shrinkToFit="0" vertical="bottom" wrapText="1"/>
    </xf>
    <xf borderId="0" fillId="3" fontId="4" numFmtId="0" xfId="0" applyAlignment="1" applyFont="1">
      <alignment vertical="bottom"/>
    </xf>
    <xf borderId="0" fillId="3" fontId="4" numFmtId="0" xfId="0" applyAlignment="1" applyFont="1">
      <alignment shrinkToFit="0" vertical="bottom" wrapText="1"/>
    </xf>
  </cellXfs>
  <cellStyles count="1">
    <cellStyle xfId="0" name="Normal" builtinId="0"/>
  </cellStyles>
  <dxfs count="15">
    <dxf>
      <font/>
      <fill>
        <patternFill patternType="solid">
          <fgColor rgb="FFB7E1CD"/>
          <bgColor rgb="FFB7E1CD"/>
        </patternFill>
      </fill>
      <border/>
    </dxf>
    <dxf>
      <font/>
      <fill>
        <patternFill patternType="none"/>
      </fill>
      <border/>
    </dxf>
    <dxf>
      <font/>
      <fill>
        <patternFill patternType="solid">
          <fgColor rgb="FFF46524"/>
          <bgColor rgb="FFF46524"/>
        </patternFill>
      </fill>
      <border/>
    </dxf>
    <dxf>
      <font/>
      <fill>
        <patternFill patternType="solid">
          <fgColor rgb="FFFFFFFF"/>
          <bgColor rgb="FFFFFFFF"/>
        </patternFill>
      </fill>
      <border/>
    </dxf>
    <dxf>
      <font/>
      <fill>
        <patternFill patternType="solid">
          <fgColor rgb="FFFFE6DD"/>
          <bgColor rgb="FFFFE6DD"/>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8BC34A"/>
          <bgColor rgb="FF8BC34A"/>
        </patternFill>
      </fill>
      <border/>
    </dxf>
    <dxf>
      <font/>
      <fill>
        <patternFill patternType="solid">
          <fgColor rgb="FFEEF7E3"/>
          <bgColor rgb="FFEEF7E3"/>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8989EB"/>
          <bgColor rgb="FF8989EB"/>
        </patternFill>
      </fill>
      <border/>
    </dxf>
    <dxf>
      <font/>
      <fill>
        <patternFill patternType="solid">
          <fgColor rgb="FFE8E7FC"/>
          <bgColor rgb="FFE8E7FC"/>
        </patternFill>
      </fill>
      <border/>
    </dxf>
    <dxf>
      <font/>
      <fill>
        <patternFill patternType="solid">
          <fgColor rgb="FFCC0000"/>
          <bgColor rgb="FFCC0000"/>
        </patternFill>
      </fill>
      <border/>
    </dxf>
    <dxf>
      <font/>
      <fill>
        <patternFill patternType="solid">
          <fgColor rgb="FFF4CCCC"/>
          <bgColor rgb="FFF4CCCC"/>
        </patternFill>
      </fill>
      <border/>
    </dxf>
  </dxfs>
  <tableStyles count="11">
    <tableStyle count="3" pivot="0" name="Requests Charts-style">
      <tableStyleElement dxfId="2" type="headerRow"/>
      <tableStyleElement dxfId="3" type="firstRowStripe"/>
      <tableStyleElement dxfId="4" type="secondRowStripe"/>
    </tableStyle>
    <tableStyle count="3" pivot="0" name="Requests Charts-style 2">
      <tableStyleElement dxfId="5" type="headerRow"/>
      <tableStyleElement dxfId="3" type="firstRowStripe"/>
      <tableStyleElement dxfId="6" type="secondRowStripe"/>
    </tableStyle>
    <tableStyle count="3" pivot="0" name="Requests Charts-style 3">
      <tableStyleElement dxfId="7" type="headerRow"/>
      <tableStyleElement dxfId="3" type="firstRowStripe"/>
      <tableStyleElement dxfId="8" type="secondRowStripe"/>
    </tableStyle>
    <tableStyle count="3" pivot="0" name="Requests Charts-style 4">
      <tableStyleElement dxfId="9" type="headerRow"/>
      <tableStyleElement dxfId="3" type="firstRowStripe"/>
      <tableStyleElement dxfId="10" type="secondRowStripe"/>
    </tableStyle>
    <tableStyle count="3" pivot="0" name="Requests Charts-style 5">
      <tableStyleElement dxfId="11" type="headerRow"/>
      <tableStyleElement dxfId="3" type="firstRowStripe"/>
      <tableStyleElement dxfId="12" type="secondRowStripe"/>
    </tableStyle>
    <tableStyle count="3" pivot="0" name="Requests Charts-style 6">
      <tableStyleElement dxfId="13" type="headerRow"/>
      <tableStyleElement dxfId="3" type="firstRowStripe"/>
      <tableStyleElement dxfId="14" type="secondRowStripe"/>
    </tableStyle>
    <tableStyle count="3" pivot="0" name="Funding charts-style">
      <tableStyleElement dxfId="2" type="headerRow"/>
      <tableStyleElement dxfId="3" type="firstRowStripe"/>
      <tableStyleElement dxfId="4" type="secondRowStripe"/>
    </tableStyle>
    <tableStyle count="3" pivot="0" name="Funding charts-style 2">
      <tableStyleElement dxfId="5" type="headerRow"/>
      <tableStyleElement dxfId="3" type="firstRowStripe"/>
      <tableStyleElement dxfId="6" type="secondRowStripe"/>
    </tableStyle>
    <tableStyle count="3" pivot="0" name="Funding charts-style 3">
      <tableStyleElement dxfId="7" type="headerRow"/>
      <tableStyleElement dxfId="3" type="firstRowStripe"/>
      <tableStyleElement dxfId="8" type="secondRowStripe"/>
    </tableStyle>
    <tableStyle count="3" pivot="0" name="Funding charts-style 4">
      <tableStyleElement dxfId="9" type="headerRow"/>
      <tableStyleElement dxfId="3" type="firstRowStripe"/>
      <tableStyleElement dxfId="10" type="secondRowStripe"/>
    </tableStyle>
    <tableStyle count="3" pivot="0" name="Funding charts-style 5">
      <tableStyleElement dxfId="11" type="headerRow"/>
      <tableStyleElement dxfId="3"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How many requests by employee type</a:t>
            </a:r>
          </a:p>
        </c:rich>
      </c:tx>
      <c:overlay val="0"/>
    </c:title>
    <c:plotArea>
      <c:layout/>
      <c:pieChart>
        <c:varyColors val="1"/>
        <c:ser>
          <c:idx val="0"/>
          <c:order val="0"/>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'Requests Charts'!$A$4:$A$5</c:f>
            </c:strRef>
          </c:cat>
          <c:val>
            <c:numRef>
              <c:f>'Requests Charts'!$B$4:$B$5</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How much funding was requested by employee type?</a:t>
            </a:r>
          </a:p>
        </c:rich>
      </c:tx>
      <c:layout>
        <c:manualLayout>
          <c:xMode val="edge"/>
          <c:yMode val="edge"/>
          <c:x val="0.03883196721311475"/>
          <c:y val="0.05263852242744063"/>
        </c:manualLayout>
      </c:layout>
      <c:overlay val="0"/>
    </c:title>
    <c:plotArea>
      <c:layout>
        <c:manualLayout>
          <c:xMode val="edge"/>
          <c:yMode val="edge"/>
          <c:x val="0.04125000000000002"/>
          <c:y val="0.23863636363636365"/>
          <c:w val="0.943125"/>
          <c:h val="0.6477272727272727"/>
        </c:manualLayout>
      </c:layout>
      <c:pieChart>
        <c:varyColors val="1"/>
        <c:ser>
          <c:idx val="0"/>
          <c:order val="0"/>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'Requests Charts'!$A$10:$A$11</c:f>
            </c:strRef>
          </c:cat>
          <c:val>
            <c:numRef>
              <c:f>'Requests Charts'!$B$10:$B$11</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Type of funding requested by Regular Represented employees</a:t>
            </a:r>
          </a:p>
        </c:rich>
      </c:tx>
      <c:overlay val="0"/>
    </c:title>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'Requests Charts'!$A$76:$A$84</c:f>
            </c:strRef>
          </c:cat>
          <c:val>
            <c:numRef>
              <c:f>'Requests Charts'!$B$76:$B$84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Type of funding requested by Non-Represented employees</a:t>
            </a:r>
          </a:p>
        </c:rich>
      </c:tx>
      <c:overlay val="0"/>
    </c:title>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'Requests Charts'!$A$90:$A$98</c:f>
            </c:strRef>
          </c:cat>
          <c:val>
            <c:numRef>
              <c:f>'Requests Charts'!$B$90:$B$98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Amount of Funding Requests by Sr Manager Team</a:t>
            </a:r>
          </a:p>
        </c:rich>
      </c:tx>
      <c:overlay val="0"/>
    </c:title>
    <c:plotArea>
      <c:layout/>
      <c:pieChart>
        <c:varyColors val="1"/>
        <c:ser>
          <c:idx val="0"/>
          <c:order val="0"/>
          <c:tx>
            <c:strRef>
              <c:f>'Requests Charts'!$F$44</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Lbls>
            <c:showLegendKey val="0"/>
            <c:showVal val="0"/>
            <c:showCatName val="0"/>
            <c:showSerName val="0"/>
            <c:showPercent val="0"/>
            <c:showBubbleSize val="0"/>
            <c:showLeaderLines val="1"/>
          </c:dLbls>
          <c:cat>
            <c:strRef>
              <c:f>'Requests Charts'!$E$45:$E$51</c:f>
            </c:strRef>
          </c:cat>
          <c:val>
            <c:numRef>
              <c:f>'Requests Charts'!$F$45:$F$51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Funded Category by Represented</a:t>
            </a:r>
          </a:p>
        </c:rich>
      </c:tx>
      <c:layout>
        <c:manualLayout>
          <c:xMode val="edge"/>
          <c:yMode val="edge"/>
          <c:x val="0.032623330096968065"/>
          <c:y val="0.047183280469399465"/>
        </c:manualLayout>
      </c:layout>
      <c:overlay val="0"/>
    </c:title>
    <c:plotArea>
      <c:layout>
        <c:manualLayout>
          <c:xMode val="edge"/>
          <c:yMode val="edge"/>
          <c:x val="0.01994958398087174"/>
          <c:y val="0.20156695156695156"/>
          <c:w val="0.94920683078187"/>
          <c:h val="0.7571225071225072"/>
        </c:manualLayout>
      </c:layout>
      <c:pieChart>
        <c:varyColors val="1"/>
        <c:ser>
          <c:idx val="0"/>
          <c:order val="0"/>
          <c:tx>
            <c:strRef>
              <c:f>'Funding charts'!$B$15</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'Funding charts'!$A$16:$A$24</c:f>
            </c:strRef>
          </c:cat>
          <c:val>
            <c:numRef>
              <c:f>'Funding charts'!$B$16:$B$24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Funded Category by Non-Represented</a:t>
            </a:r>
          </a:p>
        </c:rich>
      </c:tx>
      <c:overlay val="0"/>
    </c:title>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'Funding charts'!$A$30:$A$38</c:f>
            </c:strRef>
          </c:cat>
          <c:val>
            <c:numRef>
              <c:f>'Funding charts'!$B$30:$B$38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Funded Requests by Employee Type</a:t>
            </a:r>
          </a:p>
        </c:rich>
      </c:tx>
      <c:overlay val="0"/>
    </c:title>
    <c:plotArea>
      <c:layout/>
      <c:pieChart>
        <c:varyColors val="1"/>
        <c:ser>
          <c:idx val="0"/>
          <c:order val="0"/>
          <c:tx>
            <c:strRef>
              <c:f>'Funding charts'!$B$3</c:f>
            </c:strRef>
          </c:tx>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'Funding charts'!$A$4:$A$5</c:f>
            </c:strRef>
          </c:cat>
          <c:val>
            <c:numRef>
              <c:f>'Funding charts'!$B$4:$B$5</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Funded Amounts by Employee Type</a:t>
            </a:r>
          </a:p>
        </c:rich>
      </c:tx>
      <c:overlay val="0"/>
    </c:title>
    <c:plotArea>
      <c:layout/>
      <c:pieChart>
        <c:varyColors val="1"/>
        <c:ser>
          <c:idx val="0"/>
          <c:order val="0"/>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'Funding charts'!$A$10:$A$11</c:f>
            </c:strRef>
          </c:cat>
          <c:val>
            <c:numRef>
              <c:f>'Funding charts'!$B$10:$B$11</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Funding by Category - All BHD</a:t>
            </a:r>
          </a:p>
        </c:rich>
      </c:tx>
      <c:overlay val="0"/>
    </c:title>
    <c:plotArea>
      <c:layout/>
      <c:pieChart>
        <c:varyColors val="1"/>
        <c:ser>
          <c:idx val="0"/>
          <c:order val="0"/>
          <c:dPt>
            <c:idx val="0"/>
          </c:dPt>
          <c:dLbls>
            <c:showLegendKey val="0"/>
            <c:showVal val="0"/>
            <c:showCatName val="0"/>
            <c:showSerName val="0"/>
            <c:showPercent val="0"/>
            <c:showBubbleSize val="0"/>
            <c:showLeaderLines val="1"/>
          </c:dLbls>
          <c:val>
            <c:numRef>
              <c:f>'Funding Tracking'!$I$5:$S$5</c:f>
              <c:numCache/>
            </c:numRef>
          </c:val>
        </c:ser>
        <c:dLbls>
          <c:showLegendKey val="0"/>
          <c:showVal val="0"/>
          <c:showCatName val="0"/>
          <c:showSerName val="0"/>
          <c:showPercent val="0"/>
          <c:showBubbleSize val="0"/>
        </c:dLbls>
        <c:firstSliceAng val="0"/>
      </c:pieChart>
    </c:plotArea>
    <c:legend>
      <c:legendPos val="r"/>
      <c:layout>
        <c:manualLayout>
          <c:xMode val="edge"/>
          <c:yMode val="edge"/>
          <c:x val="0.0"/>
          <c:y val="-0.00273224043715847"/>
        </c:manualLayout>
      </c:layout>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 Id="rId4" Type="http://schemas.openxmlformats.org/officeDocument/2006/relationships/chart" Target="../charts/chart9.xml"/><Relationship Id="rId5"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image" Target="../media/Chart11.png"/><Relationship Id="rId2" Type="http://schemas.openxmlformats.org/officeDocument/2006/relationships/image" Target="../media/Chart12.png"/><Relationship Id="rId3" Type="http://schemas.openxmlformats.org/officeDocument/2006/relationships/image" Target="../media/Chart13.png"/></Relationships>
</file>

<file path=xl/drawings/_rels/drawing8.xml.rels><?xml version="1.0" encoding="UTF-8" standalone="yes"?><Relationships xmlns="http://schemas.openxmlformats.org/package/2006/relationships"><Relationship Id="rId1" Type="http://schemas.openxmlformats.org/officeDocument/2006/relationships/image" Target="../media/Chart1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895350</xdr:colOff>
      <xdr:row>1</xdr:row>
      <xdr:rowOff>0</xdr:rowOff>
    </xdr:from>
    <xdr:ext cx="3933825" cy="24288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95250</xdr:colOff>
      <xdr:row>1</xdr:row>
      <xdr:rowOff>133350</xdr:rowOff>
    </xdr:from>
    <xdr:ext cx="4857750" cy="40671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304800</xdr:colOff>
      <xdr:row>35</xdr:row>
      <xdr:rowOff>123825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7</xdr:col>
      <xdr:colOff>304800</xdr:colOff>
      <xdr:row>54</xdr:row>
      <xdr:rowOff>171450</xdr:rowOff>
    </xdr:from>
    <xdr:ext cx="4857750" cy="300990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7</xdr:col>
      <xdr:colOff>647700</xdr:colOff>
      <xdr:row>22</xdr:row>
      <xdr:rowOff>85725</xdr:rowOff>
    </xdr:from>
    <xdr:ext cx="4162425" cy="257175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685800</xdr:colOff>
      <xdr:row>47</xdr:row>
      <xdr:rowOff>152400</xdr:rowOff>
    </xdr:from>
    <xdr:ext cx="5057775" cy="328612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866775</xdr:colOff>
      <xdr:row>33</xdr:row>
      <xdr:rowOff>304800</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552450</xdr:colOff>
      <xdr:row>1</xdr:row>
      <xdr:rowOff>0</xdr:rowOff>
    </xdr:from>
    <xdr:ext cx="4200525" cy="2590800"/>
    <xdr:graphicFrame>
      <xdr:nvGraphicFramePr>
        <xdr:cNvPr id="8" name="Chart 8"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485775</xdr:colOff>
      <xdr:row>7</xdr:row>
      <xdr:rowOff>257175</xdr:rowOff>
    </xdr:from>
    <xdr:ext cx="5334000" cy="3286125"/>
    <xdr:graphicFrame>
      <xdr:nvGraphicFramePr>
        <xdr:cNvPr id="9" name="Chart 9"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4</xdr:col>
      <xdr:colOff>400050</xdr:colOff>
      <xdr:row>20</xdr:row>
      <xdr:rowOff>57150</xdr:rowOff>
    </xdr:from>
    <xdr:ext cx="5648325" cy="3486150"/>
    <xdr:graphicFrame>
      <xdr:nvGraphicFramePr>
        <xdr:cNvPr id="10" name="Chart 10" title="Chart"/>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438150</xdr:colOff>
      <xdr:row>2</xdr:row>
      <xdr:rowOff>0</xdr:rowOff>
    </xdr:from>
    <xdr:ext cx="4000500" cy="3457575"/>
    <xdr:pic>
      <xdr:nvPicPr>
        <xdr:cNvPr id="1354729814" name="Chart1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838200</xdr:colOff>
      <xdr:row>19</xdr:row>
      <xdr:rowOff>142875</xdr:rowOff>
    </xdr:from>
    <xdr:ext cx="6153150" cy="3533775"/>
    <xdr:pic>
      <xdr:nvPicPr>
        <xdr:cNvPr id="74521627" name="Chart12" title="Chart">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914400</xdr:colOff>
      <xdr:row>38</xdr:row>
      <xdr:rowOff>142875</xdr:rowOff>
    </xdr:from>
    <xdr:ext cx="5286375" cy="3276600"/>
    <xdr:pic>
      <xdr:nvPicPr>
        <xdr:cNvPr id="1082696296" name="Chart13" title="Chart">
          <a:extLst>
            <a:ext uri="GoogleSheetsCustomDataVersion1">
              <go:sheetsCustomData xmlns:go="http://customooxmlschemas.google.com/" pictureOfChart="1"/>
            </a:ext>
          </a:extLst>
        </xdr:cNvPr>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419100</xdr:colOff>
      <xdr:row>3</xdr:row>
      <xdr:rowOff>133350</xdr:rowOff>
    </xdr:from>
    <xdr:ext cx="5715000" cy="3533775"/>
    <xdr:pic>
      <xdr:nvPicPr>
        <xdr:cNvPr id="46148931" name="Chart14"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C5" displayName="Table_1" name="Table_1" id="1">
  <tableColumns count="3">
    <tableColumn name="Employee Type" id="1"/>
    <tableColumn name="Count" id="2"/>
    <tableColumn name="Percent" id="3"/>
  </tableColumns>
  <tableStyleInfo name="Requests Charts-style" showColumnStripes="0" showFirstColumn="1" showLastColumn="1" showRowStripes="1"/>
</table>
</file>

<file path=xl/tables/table2.xml><?xml version="1.0" encoding="utf-8"?>
<table xmlns="http://schemas.openxmlformats.org/spreadsheetml/2006/main" ref="A9:C12" displayName="Table_2" name="Table_2" id="2">
  <tableColumns count="3">
    <tableColumn name="Employee Type" id="1"/>
    <tableColumn name="Amount" id="2"/>
    <tableColumn name="Percent" id="3"/>
  </tableColumns>
  <tableStyleInfo name="Requests Charts-style 2" showColumnStripes="0" showFirstColumn="1" showLastColumn="1" showRowStripes="1"/>
</table>
</file>

<file path=xl/tables/table3.xml><?xml version="1.0" encoding="utf-8"?>
<table xmlns="http://schemas.openxmlformats.org/spreadsheetml/2006/main" headerRowCount="0" ref="A15:F41" displayName="Table_3" name="Table_3" id="3">
  <tableColumns count="6">
    <tableColumn name="Column1" id="1"/>
    <tableColumn name="Column2" id="2"/>
    <tableColumn name="Column3" id="3"/>
    <tableColumn name="Column4" id="4"/>
    <tableColumn name="Column5" id="5"/>
    <tableColumn name="Column6" id="6"/>
  </tableColumns>
  <tableStyleInfo name="Requests Charts-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44:F71" displayName="Table_4" name="Table_4" id="4">
  <tableColumns count="6">
    <tableColumn name="Column1" id="1"/>
    <tableColumn name="Column2" id="2"/>
    <tableColumn name="Column3" id="3"/>
    <tableColumn name="Column4" id="4"/>
    <tableColumn name="Column5" id="5"/>
    <tableColumn name="Column6" id="6"/>
  </tableColumns>
  <tableStyleInfo name="Requests Chart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75:C84" displayName="Table_5" name="Table_5" id="5">
  <tableColumns count="3">
    <tableColumn name="Type of Funding Requested by Regular Represented" id="1"/>
    <tableColumn name="Amount" id="2"/>
    <tableColumn name="Percent" id="3"/>
  </tableColumns>
  <tableStyleInfo name="Requests Charts-style 5" showColumnStripes="0" showFirstColumn="1" showLastColumn="1" showRowStripes="1"/>
</table>
</file>

<file path=xl/tables/table6.xml><?xml version="1.0" encoding="utf-8"?>
<table xmlns="http://schemas.openxmlformats.org/spreadsheetml/2006/main" ref="A89:C98" displayName="Table_6" name="Table_6" id="6">
  <tableColumns count="3">
    <tableColumn name="Type of Funding Requested by Non-Represented" id="1"/>
    <tableColumn name="Amount" id="2"/>
    <tableColumn name="Percent" id="3"/>
  </tableColumns>
  <tableStyleInfo name="Requests Charts-style 6" showColumnStripes="0" showFirstColumn="1" showLastColumn="1" showRowStripes="1"/>
</table>
</file>

<file path=xl/tables/table7.xml><?xml version="1.0" encoding="utf-8"?>
<table xmlns="http://schemas.openxmlformats.org/spreadsheetml/2006/main" headerRowCount="0" ref="A2:C5" displayName="Table_7" name="Table_7" id="7">
  <tableColumns count="3">
    <tableColumn name="Column1" id="1"/>
    <tableColumn name="Column2" id="2"/>
    <tableColumn name="Column3" id="3"/>
  </tableColumns>
  <tableStyleInfo name="Funding chart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8:C11" displayName="Table_8" name="Table_8" id="8">
  <tableColumns count="3">
    <tableColumn name="Column1" id="1"/>
    <tableColumn name="Column2" id="2"/>
    <tableColumn name="Column3" id="3"/>
  </tableColumns>
  <tableStyleInfo name="Funding chart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14:C24" displayName="Table_9" name="Table_9" id="9">
  <tableColumns count="3">
    <tableColumn name="Column1" id="1"/>
    <tableColumn name="Column2" id="2"/>
    <tableColumn name="Column3" id="3"/>
  </tableColumns>
  <tableStyleInfo name="Funding chart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28:C39" displayName="Table_10" name="Table_10" id="10">
  <tableColumns count="3">
    <tableColumn name="Column1" id="1"/>
    <tableColumn name="Column2" id="2"/>
    <tableColumn name="Column3" id="3"/>
  </tableColumns>
  <tableStyleInfo name="Funding chart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41:C54" displayName="Table_11" name="Table_11" id="11">
  <tableColumns count="3">
    <tableColumn name="Column1" id="1"/>
    <tableColumn name="Column2" id="2"/>
    <tableColumn name="Column3" id="3"/>
  </tableColumns>
  <tableStyleInfo name="Funding charts-style 5"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y.corporatecompliance.org/s/community-event?id=a1m5f000002SauAAAS" TargetMode="External"/><Relationship Id="rId194" Type="http://schemas.openxmlformats.org/officeDocument/2006/relationships/hyperlink" Target="https://drive.google.com/open?id=1RNIklsjAa-SMl2zZiAfvFX5Bo4BkS-7G" TargetMode="External"/><Relationship Id="rId193" Type="http://schemas.openxmlformats.org/officeDocument/2006/relationships/hyperlink" Target="https://iddmhsummit.com/register/" TargetMode="External"/><Relationship Id="rId192" Type="http://schemas.openxmlformats.org/officeDocument/2006/relationships/hyperlink" Target="https://my.corporatecompliance.org/s/community-event?id=a1mUQ000000OJKrYAO" TargetMode="External"/><Relationship Id="rId191" Type="http://schemas.openxmlformats.org/officeDocument/2006/relationships/hyperlink" Target="https://my.corporatecompliance.org/s/community-event?id=a1m5f000002SauAAAS" TargetMode="External"/><Relationship Id="rId187" Type="http://schemas.openxmlformats.org/officeDocument/2006/relationships/hyperlink" Target="https://drive.google.com/open?id=16K4vmPszcnBXSShYsPA9GUNfpsxXU_jh" TargetMode="External"/><Relationship Id="rId186" Type="http://schemas.openxmlformats.org/officeDocument/2006/relationships/hyperlink" Target="https://iddmhsummit.com/" TargetMode="External"/><Relationship Id="rId185" Type="http://schemas.openxmlformats.org/officeDocument/2006/relationships/hyperlink" Target="https://store.gallup.com/p/en-us/10108/cliftonstrengths-top-5?c=1" TargetMode="External"/><Relationship Id="rId184" Type="http://schemas.openxmlformats.org/officeDocument/2006/relationships/hyperlink" Target="https://web.cvent.com/event/4ffc2832-47f4-4c5a-8fa1-5a071b4e9267/summary" TargetMode="External"/><Relationship Id="rId189" Type="http://schemas.openxmlformats.org/officeDocument/2006/relationships/hyperlink" Target="https://www.praxiscet.com/events/dbt-psychosis-sep-2024/" TargetMode="External"/><Relationship Id="rId188" Type="http://schemas.openxmlformats.org/officeDocument/2006/relationships/hyperlink" Target="https://www.leachgarden.org/" TargetMode="External"/><Relationship Id="rId183" Type="http://schemas.openxmlformats.org/officeDocument/2006/relationships/hyperlink" Target="https://drive.google.com/open?id=1p_BRawW7DT1LapMCsmPQNhFn0BLdhJcn" TargetMode="External"/><Relationship Id="rId182" Type="http://schemas.openxmlformats.org/officeDocument/2006/relationships/hyperlink" Target="http://thenationalcouncil.org/" TargetMode="External"/><Relationship Id="rId181" Type="http://schemas.openxmlformats.org/officeDocument/2006/relationships/hyperlink" Target="http://www.aocmhp.org/2024-behavioral-health-training-summit/" TargetMode="External"/><Relationship Id="rId180" Type="http://schemas.openxmlformats.org/officeDocument/2006/relationships/hyperlink" Target="https://drive.google.com/open?id=1x27GL3GnbzYyfXhYd8Y2ciUs0V-ogqgj" TargetMode="External"/><Relationship Id="rId176" Type="http://schemas.openxmlformats.org/officeDocument/2006/relationships/hyperlink" Target="http://www.aocmhp.org/2024-behavioral-health-training-summit/" TargetMode="External"/><Relationship Id="rId297" Type="http://schemas.openxmlformats.org/officeDocument/2006/relationships/hyperlink" Target="https://www.schoolmentalhealth.org/" TargetMode="External"/><Relationship Id="rId175" Type="http://schemas.openxmlformats.org/officeDocument/2006/relationships/hyperlink" Target="https://www.smartsheet.com/engage/seattle?utm_source=smartsheet&amp;utm_medium=bulletin&amp;utm_campaign=blt5192d&amp;refid=inapp2" TargetMode="External"/><Relationship Id="rId296" Type="http://schemas.openxmlformats.org/officeDocument/2006/relationships/hyperlink" Target="https://catalog.pesi.com/sales/bh_c_001915_ifstherapycompetency_organic-829169" TargetMode="External"/><Relationship Id="rId174" Type="http://schemas.openxmlformats.org/officeDocument/2006/relationships/hyperlink" Target="https://2024conference.nwias.com/event/2024conference/summary" TargetMode="External"/><Relationship Id="rId295" Type="http://schemas.openxmlformats.org/officeDocument/2006/relationships/hyperlink" Target="https://drive.google.com/open?id=1bd-7WialydHRz_4IEJzSkrjiH-Fh3Ocf7CnOirRrgOk" TargetMode="External"/><Relationship Id="rId173" Type="http://schemas.openxmlformats.org/officeDocument/2006/relationships/hyperlink" Target="https://store.gallup.com/p/en-us/10108/cliftonstrengths-top-5?c=1" TargetMode="External"/><Relationship Id="rId294" Type="http://schemas.openxmlformats.org/officeDocument/2006/relationships/hyperlink" Target="https://products.brookespublishing.com/Coaching-in-Home-Visiting-P1570.aspx?utm_medium=email&amp;utm_source=exacttarget&amp;utm_campaign=09172024-ec-newproduct-haring-promo-multi" TargetMode="External"/><Relationship Id="rId179" Type="http://schemas.openxmlformats.org/officeDocument/2006/relationships/hyperlink" Target="https://drive.google.com/open?id=1dp8kDPFoeMYNoIFERTIxuw9OxzTrDk7S" TargetMode="External"/><Relationship Id="rId178" Type="http://schemas.openxmlformats.org/officeDocument/2006/relationships/hyperlink" Target="https://legacy.livingworks.net/training-and-trainers/find-a-training-workshop/view/25674" TargetMode="External"/><Relationship Id="rId299" Type="http://schemas.openxmlformats.org/officeDocument/2006/relationships/hyperlink" Target="https://www.thetaskforce.org/creating-change/" TargetMode="External"/><Relationship Id="rId177" Type="http://schemas.openxmlformats.org/officeDocument/2006/relationships/hyperlink" Target="http://www.aocmhp.org/2024-behavioral-health-training-summit/" TargetMode="External"/><Relationship Id="rId298" Type="http://schemas.openxmlformats.org/officeDocument/2006/relationships/hyperlink" Target="https://drive.google.com/open?id=1ZSVLtY1IBvTBXlQAaMnxQySMoof45kDq" TargetMode="External"/><Relationship Id="rId198" Type="http://schemas.openxmlformats.org/officeDocument/2006/relationships/hyperlink" Target="https://ptaccollaborative.org/conference/" TargetMode="External"/><Relationship Id="rId197" Type="http://schemas.openxmlformats.org/officeDocument/2006/relationships/hyperlink" Target="https://drive.google.com/open?id=1pOApxGKKA_yZCYM1gqcPrYaLXyZ0dBXF" TargetMode="External"/><Relationship Id="rId196" Type="http://schemas.openxmlformats.org/officeDocument/2006/relationships/hyperlink" Target="https://thenationalcouncil-org.zoom.us/webinar/register/WN_6a7T_UhmSNKlLQk5OtQJAg" TargetMode="External"/><Relationship Id="rId195" Type="http://schemas.openxmlformats.org/officeDocument/2006/relationships/hyperlink" Target="https://docs.google.com/forms/d/e/1FAIpQLSePWPPSpyxDPTj3jLS8B0iv8MIDSvZIwPdiukxtECGJ0fyIjQ/viewform" TargetMode="External"/><Relationship Id="rId199" Type="http://schemas.openxmlformats.org/officeDocument/2006/relationships/hyperlink" Target="https://drive.google.com/open?id=1m9q0qnIOfcDraDZWojyFcMwQx_hF_Z6n" TargetMode="External"/><Relationship Id="rId150" Type="http://schemas.openxmlformats.org/officeDocument/2006/relationships/hyperlink" Target="https://www.apha.org/Events-and-Meetings/Annual/Registration-Information" TargetMode="External"/><Relationship Id="rId271" Type="http://schemas.openxmlformats.org/officeDocument/2006/relationships/hyperlink" Target="https://drive.google.com/open?id=1Tu4KpsFYxugjnrIBELgUwfT3rk_Uz5a3" TargetMode="External"/><Relationship Id="rId392" Type="http://schemas.openxmlformats.org/officeDocument/2006/relationships/hyperlink" Target="https://www.theeventregistration.com/aas25/6670392" TargetMode="External"/><Relationship Id="rId270" Type="http://schemas.openxmlformats.org/officeDocument/2006/relationships/hyperlink" Target="https://www.naswtexasconference.com/" TargetMode="External"/><Relationship Id="rId391" Type="http://schemas.openxmlformats.org/officeDocument/2006/relationships/hyperlink" Target="https://brightmorning.thinkific.com/courses/the-art-of-coaching-teams-april-2025" TargetMode="External"/><Relationship Id="rId390" Type="http://schemas.openxmlformats.org/officeDocument/2006/relationships/hyperlink" Target="https://web.cvent.com/event/b6e30eea-cac0-4f8f-886c-807cc1bcf88b/summary" TargetMode="External"/><Relationship Id="rId1" Type="http://schemas.openxmlformats.org/officeDocument/2006/relationships/comments" Target="../comments1.xml"/><Relationship Id="rId2" Type="http://schemas.openxmlformats.org/officeDocument/2006/relationships/hyperlink" Target="https://natcon24.eventscribe.net/aaStatic.asp?SFP=QlpWVURIUFRAMTY2Njc" TargetMode="External"/><Relationship Id="rId3" Type="http://schemas.openxmlformats.org/officeDocument/2006/relationships/hyperlink" Target="https://drive.google.com/open?id=1yYVIMTGmguvwiJLO0Uj9Wy7T6-vfOO5o" TargetMode="External"/><Relationship Id="rId149" Type="http://schemas.openxmlformats.org/officeDocument/2006/relationships/hyperlink" Target="https://www.portlandinstitute.org/address-trauma-of-suicide-and-overdose-loss" TargetMode="External"/><Relationship Id="rId4" Type="http://schemas.openxmlformats.org/officeDocument/2006/relationships/hyperlink" Target="https://drive.google.com/open?id=11-ZISkcu1-1Lg6KXjpP7wiPK6ehQ0kRg" TargetMode="External"/><Relationship Id="rId148" Type="http://schemas.openxmlformats.org/officeDocument/2006/relationships/hyperlink" Target="https://drive.google.com/open?id=16COg7CQtZR0siExNVLLgAgw92VqFSkf_" TargetMode="External"/><Relationship Id="rId269" Type="http://schemas.openxmlformats.org/officeDocument/2006/relationships/hyperlink" Target="https://cams-care.com/training-certification/cams-trained/" TargetMode="External"/><Relationship Id="rId9" Type="http://schemas.openxmlformats.org/officeDocument/2006/relationships/hyperlink" Target="https://drive.google.com/open?id=1PEGm_cmnyGqIW_PaK8_qbNGPnOXduqqG" TargetMode="External"/><Relationship Id="rId143" Type="http://schemas.openxmlformats.org/officeDocument/2006/relationships/hyperlink" Target="https://drive.google.com/open?id=1c5LJ51ecGzNfeqbSYijLy4AIJn0x6fOb" TargetMode="External"/><Relationship Id="rId264" Type="http://schemas.openxmlformats.org/officeDocument/2006/relationships/hyperlink" Target="https://drive.google.com/open?id=1LywXE0CfCkxdio2Mq_qYAmtGhm7yOzx3" TargetMode="External"/><Relationship Id="rId385" Type="http://schemas.openxmlformats.org/officeDocument/2006/relationships/hyperlink" Target="https://www.eventbrite.com/e/challenging-anti-blackness-tools-for-non-black-people-feb-2025-registration-1114822025689?aff=oddtdtcreator" TargetMode="External"/><Relationship Id="rId142" Type="http://schemas.openxmlformats.org/officeDocument/2006/relationships/hyperlink" Target="https://mail.google.com/mail/u/0/" TargetMode="External"/><Relationship Id="rId263" Type="http://schemas.openxmlformats.org/officeDocument/2006/relationships/hyperlink" Target="https://deathcafe.com/what/" TargetMode="External"/><Relationship Id="rId384" Type="http://schemas.openxmlformats.org/officeDocument/2006/relationships/hyperlink" Target="https://www.emdrhap.org/event-registration/?eventid=a1PUx000001rNp7" TargetMode="External"/><Relationship Id="rId141" Type="http://schemas.openxmlformats.org/officeDocument/2006/relationships/hyperlink" Target="https://facingrace.raceforward.org/" TargetMode="External"/><Relationship Id="rId262" Type="http://schemas.openxmlformats.org/officeDocument/2006/relationships/hyperlink" Target="http://ogle.com/document/d/1bA6YL1U-UsztjHCDw1-7E9mdy98tmbSgioroE14grKY/edit" TargetMode="External"/><Relationship Id="rId383" Type="http://schemas.openxmlformats.org/officeDocument/2006/relationships/hyperlink" Target="https://drive.google.com/open?id=1VypJkW4rSeBMRgU8DOqToM9jSWHlA2J5" TargetMode="External"/><Relationship Id="rId140" Type="http://schemas.openxmlformats.org/officeDocument/2006/relationships/hyperlink" Target="https://drive.google.com/open?id=1TplXC2CO7h-6KFDEQvhSZR5dD6wjBFSy" TargetMode="External"/><Relationship Id="rId261" Type="http://schemas.openxmlformats.org/officeDocument/2006/relationships/hyperlink" Target="https://drive.google.com/open?id=1uGUw1e40NfSBT6bgGaNigxTKtFjihNxR" TargetMode="External"/><Relationship Id="rId382" Type="http://schemas.openxmlformats.org/officeDocument/2006/relationships/hyperlink" Target="https://catalog.pesi.com/item/complex-trauma-fundamentals-50-musthave-skills-interventions-emdr-ifs-therapy-somatic-approaches-more-141774" TargetMode="External"/><Relationship Id="rId5" Type="http://schemas.openxmlformats.org/officeDocument/2006/relationships/hyperlink" Target="https://traumainformedoregon.org/" TargetMode="External"/><Relationship Id="rId147" Type="http://schemas.openxmlformats.org/officeDocument/2006/relationships/hyperlink" Target="https://app.glueup.com/event/fresh-air-fond-memories-and-a-foundation-for-learning-99854/" TargetMode="External"/><Relationship Id="rId268" Type="http://schemas.openxmlformats.org/officeDocument/2006/relationships/hyperlink" Target="https://www.aswb.org/exam/getting-ready-for-the-exam/online-practice-test/" TargetMode="External"/><Relationship Id="rId389" Type="http://schemas.openxmlformats.org/officeDocument/2006/relationships/hyperlink" Target="https://traumaresearchfoundation.org/programs/certificate-program/" TargetMode="External"/><Relationship Id="rId6" Type="http://schemas.openxmlformats.org/officeDocument/2006/relationships/hyperlink" Target="https://drive.google.com/open?id=1Nd1DUHriGq21eLC3aGzghjalWs42W3DA" TargetMode="External"/><Relationship Id="rId146" Type="http://schemas.openxmlformats.org/officeDocument/2006/relationships/hyperlink" Target="https://drive.google.com/open?id=1y7oyfu4EOvE71-yWikDb2yBZXBeWXVWottOXZXKpJtA" TargetMode="External"/><Relationship Id="rId267" Type="http://schemas.openxmlformats.org/officeDocument/2006/relationships/hyperlink" Target="https://drive.google.com/open?id=1zJoDCc0xiy8LjIrBgZ1YGpk-Y0pf1tOg" TargetMode="External"/><Relationship Id="rId388" Type="http://schemas.openxmlformats.org/officeDocument/2006/relationships/hyperlink" Target="https://suicidology.org/training-certifications/crisis-specialist-training/" TargetMode="External"/><Relationship Id="rId7" Type="http://schemas.openxmlformats.org/officeDocument/2006/relationships/hyperlink" Target="https://drive.google.com/open?id=14wb0uyw3hdlq1qWrthVhofBZN6-qZwpd" TargetMode="External"/><Relationship Id="rId145" Type="http://schemas.openxmlformats.org/officeDocument/2006/relationships/hyperlink" Target="https://learn.beckinstitute.org/s/product/cbt-for-suicide-prevention-in-youth/01t6S00000AsARnQAN" TargetMode="External"/><Relationship Id="rId266" Type="http://schemas.openxmlformats.org/officeDocument/2006/relationships/hyperlink" Target="https://drive.google.com/open?id=1MgPdh86FyXfsFOW8zOuO2v3A5X3Wl21J" TargetMode="External"/><Relationship Id="rId387" Type="http://schemas.openxmlformats.org/officeDocument/2006/relationships/hyperlink" Target="https://www.eventbrite.com/e/challenging-anti-blackness-tools-for-non-black-people-feb-2025-registration-1114822025689?aff=oddtdtcreator" TargetMode="External"/><Relationship Id="rId8" Type="http://schemas.openxmlformats.org/officeDocument/2006/relationships/hyperlink" Target="https://natcon24.eventscribe.net/aaStatic.asp?SFP=QlpWVURIUFRAMTY2Njc" TargetMode="External"/><Relationship Id="rId144" Type="http://schemas.openxmlformats.org/officeDocument/2006/relationships/hyperlink" Target="https://drive.google.com/open?id=16uAcylCWxHsOfiyKPm-8xeXt89CVW-9w" TargetMode="External"/><Relationship Id="rId265" Type="http://schemas.openxmlformats.org/officeDocument/2006/relationships/hyperlink" Target="https://www.jamiewatsonconsulting.com/event-details/play-therapy-basics-and-beyond" TargetMode="External"/><Relationship Id="rId386" Type="http://schemas.openxmlformats.org/officeDocument/2006/relationships/hyperlink" Target="https://www.eventbrite.com/e/challenging-anti-blackness-tools-for-non-black-people-feb-2025-registration-1114822025689?aff=oddtdtcreator" TargetMode="External"/><Relationship Id="rId260" Type="http://schemas.openxmlformats.org/officeDocument/2006/relationships/hyperlink" Target="https://legacy.livingworks.net/training-and-trainers/find-a-training-workshop/view/19731" TargetMode="External"/><Relationship Id="rId381" Type="http://schemas.openxmlformats.org/officeDocument/2006/relationships/hyperlink" Target="https://catalog.pesi.com/item/the-ten-bestever-anxiety-treatment-techniques-updated-strategies-challenging-clients-141787" TargetMode="External"/><Relationship Id="rId380" Type="http://schemas.openxmlformats.org/officeDocument/2006/relationships/hyperlink" Target="https://playproject.org/event/2-day-teaching-play-intensive-workshop-jan-25/" TargetMode="External"/><Relationship Id="rId139" Type="http://schemas.openxmlformats.org/officeDocument/2006/relationships/hyperlink" Target="https://drive.google.com/open?id=1Lethae_GWAvoEpvceOBHqPG7eudNayZe" TargetMode="External"/><Relationship Id="rId138" Type="http://schemas.openxmlformats.org/officeDocument/2006/relationships/hyperlink" Target="https://drive.google.com/open?id=1UKscp_6kIYOK1Vh2pzs9wlEMuYDk4q_x" TargetMode="External"/><Relationship Id="rId259" Type="http://schemas.openxmlformats.org/officeDocument/2006/relationships/hyperlink" Target="https://legacy.livingworks.net/training-and-trainers/find-a-training-workshop/view/22467" TargetMode="External"/><Relationship Id="rId137" Type="http://schemas.openxmlformats.org/officeDocument/2006/relationships/hyperlink" Target="https://drive.google.com/open?id=1WQ1bZXsekYEfhcdBZXaImh5qEDq6VH76" TargetMode="External"/><Relationship Id="rId258" Type="http://schemas.openxmlformats.org/officeDocument/2006/relationships/hyperlink" Target="https://graduate.lclark.edu/calendars/events/event/359486-clinical-supervision-online" TargetMode="External"/><Relationship Id="rId379" Type="http://schemas.openxmlformats.org/officeDocument/2006/relationships/hyperlink" Target="https://natcon25.eventscribe.net/aaStatic.asp?SFP=TURDWFlHS0dAMTgzOTFAQWJvdXQgTmF0Q29u" TargetMode="External"/><Relationship Id="rId132" Type="http://schemas.openxmlformats.org/officeDocument/2006/relationships/hyperlink" Target="https://web.cvent.com/event/4ffc2832-47f4-4c5a-8fa1-5a071b4e9267/regPage:70382a4f-a3e3-4f9d-8ade-6c961ec6662b" TargetMode="External"/><Relationship Id="rId253" Type="http://schemas.openxmlformats.org/officeDocument/2006/relationships/hyperlink" Target="https://drive.google.com/open?id=1EL7O-rMr5Rvy02soyGjkopZrypcjpFem" TargetMode="External"/><Relationship Id="rId374" Type="http://schemas.openxmlformats.org/officeDocument/2006/relationships/hyperlink" Target="https://drive.google.com/open?id=1HwxAgvGqerEowJoOd7S5Vuj9BNbGOm22" TargetMode="External"/><Relationship Id="rId495" Type="http://schemas.openxmlformats.org/officeDocument/2006/relationships/hyperlink" Target="https://drive.google.com/open?id=1ByMFcC2bme3bSYZechFa15c5Mg6ROUEK" TargetMode="External"/><Relationship Id="rId131" Type="http://schemas.openxmlformats.org/officeDocument/2006/relationships/hyperlink" Target="https://drive.google.com/open?id=1aE-ijtpXGZn6RLX7NUHW1m2_GSJE_1Bq" TargetMode="External"/><Relationship Id="rId252" Type="http://schemas.openxmlformats.org/officeDocument/2006/relationships/hyperlink" Target="https://drive.google.com/open?id=1Qqxw4t3PgWCjjtmsng0oPXZT7i5-dgIB" TargetMode="External"/><Relationship Id="rId373" Type="http://schemas.openxmlformats.org/officeDocument/2006/relationships/hyperlink" Target="https://emdrconsulting.com/event/ontario-ca-emdr-training-integrating-emdr-into-your-clinical-practice-5-day-intensive/" TargetMode="External"/><Relationship Id="rId494" Type="http://schemas.openxmlformats.org/officeDocument/2006/relationships/hyperlink" Target="https://drive.google.com/open?id=1RuxvJl7klOIb7GPDUYUuILLCnC4kxoUO" TargetMode="External"/><Relationship Id="rId130" Type="http://schemas.openxmlformats.org/officeDocument/2006/relationships/hyperlink" Target="https://convention.apa.org/" TargetMode="External"/><Relationship Id="rId251" Type="http://schemas.openxmlformats.org/officeDocument/2006/relationships/hyperlink" Target="https://graduate.lclark.edu/calendars/events/event/350457-an-introduction-to-internal-family-systems-therapy" TargetMode="External"/><Relationship Id="rId372" Type="http://schemas.openxmlformats.org/officeDocument/2006/relationships/hyperlink" Target="https://drive.google.com/open?id=1LYez2wEZ7jhML-oQ8jEdJeR5uEnLbXZU" TargetMode="External"/><Relationship Id="rId493" Type="http://schemas.openxmlformats.org/officeDocument/2006/relationships/hyperlink" Target="https://postpartum.app.neoncrm.com/np/clients/postpartum/event.jsp?event=1870&amp;_gl=1*2veypy*_gcl_au*MTA4Njg2MTYyMC4xNzQ3NDk1NTkw*_ga*MTE0MzgwMjI0NS4xNzQ2NjQ0OTQ4*_ga_BL1P5QJ821*czE3NDc0OTU1OTAkbzIkZzEkdDE3NDc0OTU4MDUkajYwJGwwJGgxNjc0MjQzODgwJGR6SThJc3pvNkY4amxoVm1ER29TRjk5ejJja3AwY3AxMENR" TargetMode="External"/><Relationship Id="rId250" Type="http://schemas.openxmlformats.org/officeDocument/2006/relationships/hyperlink" Target="https://www.enbyconsulting.com/consulting-services" TargetMode="External"/><Relationship Id="rId371" Type="http://schemas.openxmlformats.org/officeDocument/2006/relationships/hyperlink" Target="https://www.amazon.com/s?k=anxiety+and+phobia+workbook&amp;hvadid=598656801997&amp;hvdev=c&amp;hvlocphy=9032938&amp;hvnetw=g&amp;hvqmt=e&amp;hvrand=15870994169349936300&amp;hvtargid=kwd-2136376961&amp;hydadcr=15527_13558519&amp;tag=googhydr-20&amp;ref=pd_sl_8hdlphx32s_e)" TargetMode="External"/><Relationship Id="rId492" Type="http://schemas.openxmlformats.org/officeDocument/2006/relationships/hyperlink" Target="https://drive.google.com/open?id=1vfFU9ZCAaxu4jonJiUwElAwnk2IRbf3EhV4JOyfZbBQ" TargetMode="External"/><Relationship Id="rId136" Type="http://schemas.openxmlformats.org/officeDocument/2006/relationships/hyperlink" Target="https://web.cvent.com/event/4ffc2832-47f4-4c5a-8fa1-5a071b4e9267/summary" TargetMode="External"/><Relationship Id="rId257" Type="http://schemas.openxmlformats.org/officeDocument/2006/relationships/hyperlink" Target="https://drive.google.com/open?id=1rhra6jPx9p1W8cM4j8CReRnFBi7gF8bY" TargetMode="External"/><Relationship Id="rId378" Type="http://schemas.openxmlformats.org/officeDocument/2006/relationships/hyperlink" Target="https://drive.google.com/open?id=13xXFezrHzPuqbYIWCkXzyP4j_R5W1V0A" TargetMode="External"/><Relationship Id="rId499" Type="http://schemas.openxmlformats.org/officeDocument/2006/relationships/hyperlink" Target="https://2025nwbhiconference.nwbhinstitute.org/event/47de7e7a-dbd8-4ed0-b6ff-96f8bb866af2/registration-fees" TargetMode="External"/><Relationship Id="rId135" Type="http://schemas.openxmlformats.org/officeDocument/2006/relationships/hyperlink" Target="https://drive.google.com/open?id=15slDilUaqId5EfHkLomCiqxH-yX7Ydwh" TargetMode="External"/><Relationship Id="rId256" Type="http://schemas.openxmlformats.org/officeDocument/2006/relationships/hyperlink" Target="https://drive.google.com/open?id=1uFro9fwmN-ZcOHWOD6D1RisoKSqgRrl6" TargetMode="External"/><Relationship Id="rId377" Type="http://schemas.openxmlformats.org/officeDocument/2006/relationships/hyperlink" Target="https://aas25.eventscribe.net/aaStatic.asp?SFP=SkdITFdBTENAMTk4Mjg" TargetMode="External"/><Relationship Id="rId498" Type="http://schemas.openxmlformats.org/officeDocument/2006/relationships/hyperlink" Target="https://www.appa-net.org/institutes/2025-NYC/" TargetMode="External"/><Relationship Id="rId134" Type="http://schemas.openxmlformats.org/officeDocument/2006/relationships/hyperlink" Target="https://susiesnyderlcsw.vipmembervault.com/products/courses/view/1033072" TargetMode="External"/><Relationship Id="rId255" Type="http://schemas.openxmlformats.org/officeDocument/2006/relationships/hyperlink" Target="https://drive.google.com/open?id=16MF3y_M6HolF17VDyYWg5CxBtAta3ERY" TargetMode="External"/><Relationship Id="rId376" Type="http://schemas.openxmlformats.org/officeDocument/2006/relationships/hyperlink" Target="https://drive.google.com/open?id=1IuIhp98iBsWEQLAVmPbvRXkIZ3ajOwiH" TargetMode="External"/><Relationship Id="rId497" Type="http://schemas.openxmlformats.org/officeDocument/2006/relationships/hyperlink" Target="https://www.emailmeform.com/builder/form/cm2aAKV6tDe7TsP" TargetMode="External"/><Relationship Id="rId133" Type="http://schemas.openxmlformats.org/officeDocument/2006/relationships/hyperlink" Target="https://app.glueup.com/event/fresh-air-fond-memories-and-a-foundation-for-learning-99854/" TargetMode="External"/><Relationship Id="rId254" Type="http://schemas.openxmlformats.org/officeDocument/2006/relationships/hyperlink" Target="https://drive.google.com/open?id=1Fy8bRLfSkR71Vd8-XDg0xUtwfJvHqzTv" TargetMode="External"/><Relationship Id="rId375" Type="http://schemas.openxmlformats.org/officeDocument/2006/relationships/hyperlink" Target="https://catalog.pesi.com/sales/eg_c_002165_somatictraumatherapycertification_dedicatedemail-1200286?utm_campaign=EG_Resource&amp;utm_medium=email&amp;_hsenc=p2ANqtz-_RTjjHPTTeauSH-gIHA1inpevVyKLe_CoenFuxocsa8epFgrThmQesOyAOpoMAgEqIeACszU69sfqSYh2_67Yl1-1a1fX0fKh-qODPHqkwGyuARG4&amp;_hsmi=341792927&amp;utm_content=341792927&amp;utm_source=hs_email" TargetMode="External"/><Relationship Id="rId496" Type="http://schemas.openxmlformats.org/officeDocument/2006/relationships/hyperlink" Target="https://www.pesi.com/item/sexual-trauma-clinical-training-interventions-cultivate-safety-release-shame-nurture-boundaries-125829?utm_term=&amp;utm_campaign=US+%7C+BH+%7C+NB+%7C+N/A+%7C+Dynamic+%7C+Performance+Max+%7C+US+%7C+RET&amp;utm_source=google&amp;utm_medium=cpc&amp;hsa_acc=7268932594&amp;hsa_cam=20947151930&amp;hsa_grp=&amp;hsa_ad=&amp;hsa_src=x&amp;hsa_tgt=&amp;hsa_kw=&amp;hsa_mt=&amp;hsa_net=adwords&amp;hsa_ver=3&amp;gad_source=1&amp;gad_campaignid=20940663585&amp;gbraid=0AAAAABu1_nzNMyQHm11JL0i-nHGfifDyi&amp;gclid=Cj0KCQjwucDBBhDxARIsANqFdr2Ls75NCKLDiwWMZ6fj8Rvhn5U6a46VuZqJhOlzlRUvidTrsS0Z_ZQaAr7yEALw_wcB&amp;gclsrc=aw.ds" TargetMode="External"/><Relationship Id="rId172" Type="http://schemas.openxmlformats.org/officeDocument/2006/relationships/hyperlink" Target="https://www.oregon.gov/blsw/pages/renewalsstatuschange.aspx" TargetMode="External"/><Relationship Id="rId293" Type="http://schemas.openxmlformats.org/officeDocument/2006/relationships/hyperlink" Target="https://www.subductionconsulting.com/events/navigatingconflict?ss_source=sscampaigns&amp;ss_campaign_id=66e83ec01b930a0ea4646e34&amp;ss_email_id=66e8749659b4817cc8cf07a4&amp;ss_campaign_name=NAVIGATING+CONFLICT%2C+LEADING+FOR+THE+FUTURE&amp;ss_campaign_sent_date=2024-09-16T18%3A11%3A13Z" TargetMode="External"/><Relationship Id="rId171" Type="http://schemas.openxmlformats.org/officeDocument/2006/relationships/hyperlink" Target="https://www.naadac.org/annualconference" TargetMode="External"/><Relationship Id="rId292" Type="http://schemas.openxmlformats.org/officeDocument/2006/relationships/hyperlink" Target="https://drive.google.com/open?id=1DuPwEhOkaOD4P1oEnHsSjKnxy31vuGa_" TargetMode="External"/><Relationship Id="rId170" Type="http://schemas.openxmlformats.org/officeDocument/2006/relationships/hyperlink" Target="https://drive.google.com/open?id=1KDIcTo0vKQlZdSoGiCH6gD3M5VPZRlNJ" TargetMode="External"/><Relationship Id="rId291" Type="http://schemas.openxmlformats.org/officeDocument/2006/relationships/hyperlink" Target="https://chat.google.com/dm/ls1WnsAAAAE/nEHQCNm6Cf4/nEHQCNm6Cf4?cls=10" TargetMode="External"/><Relationship Id="rId290" Type="http://schemas.openxmlformats.org/officeDocument/2006/relationships/hyperlink" Target="https://www.tcpress.com/we-are-the-change-we-seek-9780807768020" TargetMode="External"/><Relationship Id="rId165" Type="http://schemas.openxmlformats.org/officeDocument/2006/relationships/hyperlink" Target="https://drive.google.com/open?id=1-4e4hCoughYfpV16lm2R_Y8kra9fUGNa" TargetMode="External"/><Relationship Id="rId286" Type="http://schemas.openxmlformats.org/officeDocument/2006/relationships/hyperlink" Target="https://ptaccollaborative.org/conference/" TargetMode="External"/><Relationship Id="rId164" Type="http://schemas.openxmlformats.org/officeDocument/2006/relationships/hyperlink" Target="https://drive.google.com/open?id=1gKiqr1WHMv_M3CBvQhblZkLadfhgg7xs" TargetMode="External"/><Relationship Id="rId285" Type="http://schemas.openxmlformats.org/officeDocument/2006/relationships/hyperlink" Target="https://drive.google.com/open?id=1BpZwQtqQOwchW6MxUXAPqmYjqm7tV4_0" TargetMode="External"/><Relationship Id="rId163" Type="http://schemas.openxmlformats.org/officeDocument/2006/relationships/hyperlink" Target="http://naadac.org/annualconference" TargetMode="External"/><Relationship Id="rId284" Type="http://schemas.openxmlformats.org/officeDocument/2006/relationships/hyperlink" Target="https://www.amazon.com/Someone-Be-Deidre-Quinlan/dp/1667891545/ref=sr_1_1?crid=2NX35MB7PKRO&amp;dib=eyJ2IjoiMSJ9.nwq7p5J9REw0YhhIdwlxV-bai_2sg6Vvw1zActdL9cTFLU6GvaHpFvJIz5iMmw8VDH6rtuIme7Qs_FRWriN9eQOMlQOiSIEVv6bEaWrFGmHchMDXGzkEx7fF6z2AuooAbTyzJ3MxBc34Psnp658h_qS2HtXdLHYcgXWywSF1i58id4IIE1soh9Dp3zUvhBXjIJUxIGT4KN0z5CQMrWBmVWJbeeVw3QmEk3QDd5Q9ufM.YI_Fh_KCVR_0L66ariJ16KIxKM3yymG96WurRZCVAMk&amp;dib_tag=se&amp;keywords=someone+to+be+with&amp;qid=1724958171&amp;sprefix=someone+to+be+with%2Caps%2C464&amp;sr=8-1" TargetMode="External"/><Relationship Id="rId162" Type="http://schemas.openxmlformats.org/officeDocument/2006/relationships/hyperlink" Target="https://thenadd.org/41st_annual/" TargetMode="External"/><Relationship Id="rId283" Type="http://schemas.openxmlformats.org/officeDocument/2006/relationships/hyperlink" Target="https://forms.gle/ZAhRj4nBPUw4QMhb8" TargetMode="External"/><Relationship Id="rId169" Type="http://schemas.openxmlformats.org/officeDocument/2006/relationships/hyperlink" Target="https://catalog.pesi.com/item/134882?_gl=1*15soox1*_gcl_aw*R0NMLjE3MTk2MTI0MDMuQ2p3S0NBand2dm16QmhBMkVpd0F0SFZyYi1GVXVkWm85UHUyYUJwSFdvWndnMmhRbkpxdEY2ZjdWOEg5dWtvQ25URXg3MHFxRy16VnV4b0NMRllRQXZEX0J3RQ..*_gcl_dc*R0NMLjE3MTk2MTI0MDMuQ2p3S0NBand2dm16QmhBMkVpd0F0SFZyYi1GVXVkWm85UHUyYUJwSFdvWndnMmhRbkpxdEY2ZjdWOEg5dWtvQ25URXg3MHFxRy16VnV4b0NMRllRQXZEX0J3RQ..*_gcl_au*MTk1NzM4NDg4Ni4xNzEyODc2MDgy*_ga*Mjc3MTYxMjcxLjE3MTI4NzYwODE.*_ga_JGEX25L44L*MTcxOTYxMjEyMC4xMS4xLjE3MTk2MTI0MDMuMC4wLjE3OTc3NjkwMTI" TargetMode="External"/><Relationship Id="rId168" Type="http://schemas.openxmlformats.org/officeDocument/2006/relationships/hyperlink" Target="https://drive.google.com/open?id=1bgcS54YOSB6maHMjuYjxFVz4wA5xq0TF" TargetMode="External"/><Relationship Id="rId289" Type="http://schemas.openxmlformats.org/officeDocument/2006/relationships/hyperlink" Target="https://scholistico.com/product/art-therapy-practitioner-training-course/?gc_id=19846987424&amp;h_ad_id=651689032462&amp;gad_source=1&amp;gclid=CjwKCAjw0aS3BhA3EiwAKaD2ZWtae51uQhx25Y94PJCYwie3vdzK6KSAz-CHbJbDNdBl2GniXAUYnBoCCbkQAvD_BwE" TargetMode="External"/><Relationship Id="rId167" Type="http://schemas.openxmlformats.org/officeDocument/2006/relationships/hyperlink" Target="https://drive.google.com/open?id=1I_1OZSs8AG2630MViwBpNARbMPrgUhfB" TargetMode="External"/><Relationship Id="rId288" Type="http://schemas.openxmlformats.org/officeDocument/2006/relationships/hyperlink" Target="https://drive.google.com/open?id=1SV_ki-wTW87fMzXy61BcvClgyUPXpIOo" TargetMode="External"/><Relationship Id="rId166" Type="http://schemas.openxmlformats.org/officeDocument/2006/relationships/hyperlink" Target="https://drive.google.com/open?id=1O9sahkf5IRlHZLJEk3CGcNn85FlEZpl8" TargetMode="External"/><Relationship Id="rId287" Type="http://schemas.openxmlformats.org/officeDocument/2006/relationships/hyperlink" Target="https://drive.google.com/open?id=1Oj1oaVCNm2oNmVW6NMykmtmtlwpt6UPy" TargetMode="External"/><Relationship Id="rId161" Type="http://schemas.openxmlformats.org/officeDocument/2006/relationships/hyperlink" Target="https://drive.google.com/open?id=1o5jw_H50omyRGZkm63_KaS2sl-8MJsIj" TargetMode="External"/><Relationship Id="rId282" Type="http://schemas.openxmlformats.org/officeDocument/2006/relationships/hyperlink" Target="https://drive.google.com/open?id=116o5xOX3g1fGhk1qd5Q-IRPYEZ5tppF6" TargetMode="External"/><Relationship Id="rId160" Type="http://schemas.openxmlformats.org/officeDocument/2006/relationships/hyperlink" Target="https://www.naadac.org/annualconference" TargetMode="External"/><Relationship Id="rId281" Type="http://schemas.openxmlformats.org/officeDocument/2006/relationships/hyperlink" Target="https://www.activateresiliency.com/start-training" TargetMode="External"/><Relationship Id="rId280" Type="http://schemas.openxmlformats.org/officeDocument/2006/relationships/hyperlink" Target="https://multco.wd1.myworkdayjobs.com/Multco_Jobs/job/Portland-OR/Substance-Use-Disorder-Referral-Clinician---Clinical-Services-Specialist----1500-Hiring-Incentive_R-15757" TargetMode="External"/><Relationship Id="rId159" Type="http://schemas.openxmlformats.org/officeDocument/2006/relationships/hyperlink" Target="https://drive.google.com/open?id=1Ul1dSLqU5MRG8tvINKPAcG2anZkDbXhG" TargetMode="External"/><Relationship Id="rId154" Type="http://schemas.openxmlformats.org/officeDocument/2006/relationships/hyperlink" Target="https://app.glueup.com/event/fresh-air-fond-memories-and-a-foundation-for-learning-99854/agenda.html" TargetMode="External"/><Relationship Id="rId275" Type="http://schemas.openxmlformats.org/officeDocument/2006/relationships/hyperlink" Target="https://drive.google.com/open?id=1BEqF8QhsgFS0PC_o8RWMkfIaALIVczc_" TargetMode="External"/><Relationship Id="rId396" Type="http://schemas.openxmlformats.org/officeDocument/2006/relationships/hyperlink" Target="https://natcon25.eventscribe.net/aaStatic.asp?SFP=TURDWFlHS0dAMTgzOTFAQWJvdXQgTmF0Q29u" TargetMode="External"/><Relationship Id="rId153" Type="http://schemas.openxmlformats.org/officeDocument/2006/relationships/hyperlink" Target="https://drive.google.com/open?id=1TjN5TIFj8iG7ixyqvydN5D2DTFH8rIt0" TargetMode="External"/><Relationship Id="rId274" Type="http://schemas.openxmlformats.org/officeDocument/2006/relationships/hyperlink" Target="https://compassionateinquiry.com/directory/vimalasara-valerie-mason-john/" TargetMode="External"/><Relationship Id="rId395" Type="http://schemas.openxmlformats.org/officeDocument/2006/relationships/hyperlink" Target="https://drive.google.com/open?id=113S3zUuAlxq0g2ma9dJNonBbKYYHJKPF" TargetMode="External"/><Relationship Id="rId152" Type="http://schemas.openxmlformats.org/officeDocument/2006/relationships/hyperlink" Target="https://drive.google.com/open?id=1jaoMGNgOx4LtyMSB-M7WsFpGNll3RvOP" TargetMode="External"/><Relationship Id="rId273" Type="http://schemas.openxmlformats.org/officeDocument/2006/relationships/hyperlink" Target="https://drive.google.com/open?id=1Sa08S2BvnDG0mHLvw5-_3nUzLON9_nRt" TargetMode="External"/><Relationship Id="rId394" Type="http://schemas.openxmlformats.org/officeDocument/2006/relationships/hyperlink" Target="https://nabsw.glueup.com/event/118032/register/XX9lLrbAu94KhzfmEoGpeA%3D%3D/payment-details/" TargetMode="External"/><Relationship Id="rId151" Type="http://schemas.openxmlformats.org/officeDocument/2006/relationships/hyperlink" Target="https://docs.google.com/document/d/1B_l3fmQibEgqK3lWDmyr7SyeTONp-HhQNJ2H16fWmQU/edit?usp=sharing" TargetMode="External"/><Relationship Id="rId272" Type="http://schemas.openxmlformats.org/officeDocument/2006/relationships/hyperlink" Target="https://book.passkey.com/event/50861722/owner/12987/landing" TargetMode="External"/><Relationship Id="rId393" Type="http://schemas.openxmlformats.org/officeDocument/2006/relationships/hyperlink" Target="https://www.mhaoforegon.org/peerpocalypse-participate" TargetMode="External"/><Relationship Id="rId158" Type="http://schemas.openxmlformats.org/officeDocument/2006/relationships/hyperlink" Target="https://www.naadac.org/annualconference" TargetMode="External"/><Relationship Id="rId279" Type="http://schemas.openxmlformats.org/officeDocument/2006/relationships/hyperlink" Target="https://drive.google.com/open?id=11l0wpFMlqeyzIvvjny8VERTwMi2AumDw" TargetMode="External"/><Relationship Id="rId157" Type="http://schemas.openxmlformats.org/officeDocument/2006/relationships/hyperlink" Target="http://www.aocmhp.org/2024-behavioral-health-training-summit/" TargetMode="External"/><Relationship Id="rId278" Type="http://schemas.openxmlformats.org/officeDocument/2006/relationships/hyperlink" Target="https://drive.google.com/open?id=1Rmzl-jAPzaasVIwFx2-E2YYlQIDNmPCJ" TargetMode="External"/><Relationship Id="rId399" Type="http://schemas.openxmlformats.org/officeDocument/2006/relationships/hyperlink" Target="https://www.windzcentre.com/certificate-programs" TargetMode="External"/><Relationship Id="rId156" Type="http://schemas.openxmlformats.org/officeDocument/2006/relationships/hyperlink" Target="https://www.expedia.com/Bend-Hotels-Red-Lion-Inn-Suites-Deschutes-River-Bend.h19409.Hotel-Information?chkin=2024-09-24&amp;chkout=2024-09-27&amp;x_pwa=1&amp;rfrr=HSR&amp;pwa_ts=1718657163848&amp;referrerUrl=aHR0cHM6Ly93d3cuZXhwZWRpYS5jb20vSG90ZWwtU2VhcmNo&amp;useRewards=false&amp;rm1=a2&amp;regionId=6051534&amp;destination=Bend%2C+Oregon%2C+United+States+of+America&amp;destType=MARKET&amp;neighborhoodId=553248635976478670&amp;selected=19409&amp;latLong=45.4978%2C-122.6937&amp;sort=RECOMMENDED&amp;top_dp=139&amp;top_cur=USD&amp;gclid=Cj0KCQjwvb-zBhCmARIsAAfUI2sGRfWfyGFjDqghhydh3oDGm_wIMcJZhRvTvZTmk0FY9UFtL96Sn8caAkkqEALw_wcB&amp;mctc=10&amp;mdpcid=US.META.HPA.HOTEL-CORESEARCH-ROOMBUNDLE-desktop.HOTEL&amp;mdpdtl=HTL.19409.20240924.20240927.DDF.99.CID.21118686848.AUDID..RRID.bex_us_desktop&amp;userIntent=&amp;selectedRoomType=214940870&amp;selectedRatePlan=385706266&amp;searchId=7e59886b-5d3f-4056-bf64-9ba77dbf8a47" TargetMode="External"/><Relationship Id="rId277" Type="http://schemas.openxmlformats.org/officeDocument/2006/relationships/hyperlink" Target="https://drive.google.com/open?id=10FQ3P4tWpVczQE1_5P_PYa8znsrmud4Y" TargetMode="External"/><Relationship Id="rId398" Type="http://schemas.openxmlformats.org/officeDocument/2006/relationships/hyperlink" Target="https://drive.google.com/open?id=1Doz_mqUU_I2UZtf6guBpIDRTlugeP6tL" TargetMode="External"/><Relationship Id="rId155" Type="http://schemas.openxmlformats.org/officeDocument/2006/relationships/hyperlink" Target="https://drive.google.com/open?id=133QBDysZAfDNTui6ZGHyAFuFU1zmsPNL" TargetMode="External"/><Relationship Id="rId276" Type="http://schemas.openxmlformats.org/officeDocument/2006/relationships/hyperlink" Target="https://www.naadac.org/annualconference" TargetMode="External"/><Relationship Id="rId397" Type="http://schemas.openxmlformats.org/officeDocument/2006/relationships/hyperlink" Target="https://www.amazon.com/Recognizing-Psychological-Cultural-Strengths-Americans/dp/036762947X" TargetMode="External"/><Relationship Id="rId40" Type="http://schemas.openxmlformats.org/officeDocument/2006/relationships/hyperlink" Target="https://tdcascadia.org/event-5565112" TargetMode="External"/><Relationship Id="rId42" Type="http://schemas.openxmlformats.org/officeDocument/2006/relationships/hyperlink" Target="https://suicidology.org/aas24/" TargetMode="External"/><Relationship Id="rId41" Type="http://schemas.openxmlformats.org/officeDocument/2006/relationships/hyperlink" Target="https://drive.google.com/open?id=1ZnhjFNXiauHxcBGpHfFYEHCNzixNt3qx" TargetMode="External"/><Relationship Id="rId44" Type="http://schemas.openxmlformats.org/officeDocument/2006/relationships/hyperlink" Target="https://drive.google.com/open?id=19hfCI2BoxlyqtEt_K40z23HxToaTvf3l" TargetMode="External"/><Relationship Id="rId43" Type="http://schemas.openxmlformats.org/officeDocument/2006/relationships/hyperlink" Target="https://drive.google.com/open?id=1JEs3CFbDMWjW9yWcnxIrYwppN1O3EjEN" TargetMode="External"/><Relationship Id="rId46" Type="http://schemas.openxmlformats.org/officeDocument/2006/relationships/hyperlink" Target="https://nationalsobering.org/membership/" TargetMode="External"/><Relationship Id="rId45" Type="http://schemas.openxmlformats.org/officeDocument/2006/relationships/hyperlink" Target="https://drive.google.com/open?id=12fZyLGcQSUMxtUO0MfgpVybQJ4npwBPL" TargetMode="External"/><Relationship Id="rId509" Type="http://schemas.openxmlformats.org/officeDocument/2006/relationships/hyperlink" Target="https://drive.google.com/open?id=1clbofJmmTufd_QN1z6W9ytnG-Mwrn-Am" TargetMode="External"/><Relationship Id="rId508" Type="http://schemas.openxmlformats.org/officeDocument/2006/relationships/hyperlink" Target="https://drive.google.com/open?id=1PPjDGS0AtirJBr_VVswIPbMtGqGrogK6" TargetMode="External"/><Relationship Id="rId503" Type="http://schemas.openxmlformats.org/officeDocument/2006/relationships/hyperlink" Target="https://drive.google.com/open?id=1pp13-UyUX20QYWBC5Mo0jVHya4Xaqo4l" TargetMode="External"/><Relationship Id="rId502" Type="http://schemas.openxmlformats.org/officeDocument/2006/relationships/hyperlink" Target="https://therapistdevelopmentcenter.com/?srsltid=AfmBOoqqS7_0-pByEtW5jTraianBw8cQWxPmDEVvtpJ0nDN6zqGhzSjJ" TargetMode="External"/><Relationship Id="rId501" Type="http://schemas.openxmlformats.org/officeDocument/2006/relationships/hyperlink" Target="https://drive.google.com/open?id=1TPGbleybHNg-yfFNB-cilLgTnXK6c-gV" TargetMode="External"/><Relationship Id="rId500" Type="http://schemas.openxmlformats.org/officeDocument/2006/relationships/hyperlink" Target="https://www.appa-net.org/institutes/2025-NYC/" TargetMode="External"/><Relationship Id="rId507" Type="http://schemas.openxmlformats.org/officeDocument/2006/relationships/hyperlink" Target="http://www.asianamericanmentalhealth.org/" TargetMode="External"/><Relationship Id="rId506" Type="http://schemas.openxmlformats.org/officeDocument/2006/relationships/hyperlink" Target="https://www.vibrationalsoundassociation.com/vst-vibrational-sound-therapy-hybrid-certification-course-seattle-wa-september-18-20-2025/" TargetMode="External"/><Relationship Id="rId505" Type="http://schemas.openxmlformats.org/officeDocument/2006/relationships/hyperlink" Target="https://nlbha.org/2025conference/" TargetMode="External"/><Relationship Id="rId504" Type="http://schemas.openxmlformats.org/officeDocument/2006/relationships/hyperlink" Target="https://drive.google.com/open?id=1HC6Cyyn9uF7hG6NWnXr5aqn4-frpxJmg" TargetMode="External"/><Relationship Id="rId48" Type="http://schemas.openxmlformats.org/officeDocument/2006/relationships/hyperlink" Target="https://drive.google.com/open?id=1c_YzcE1136Ie4MjPQrPsAQptXjA3Xkud" TargetMode="External"/><Relationship Id="rId47" Type="http://schemas.openxmlformats.org/officeDocument/2006/relationships/hyperlink" Target="https://drive.google.com/open?id=1GFTqwIvnM5pn9ZHz2lqAvxa4JCxRgI2N" TargetMode="External"/><Relationship Id="rId49" Type="http://schemas.openxmlformats.org/officeDocument/2006/relationships/hyperlink" Target="https://drive.google.com/open?id=16TMuK8gJBK1D9HfpOGY8cOhtox50-P3h" TargetMode="External"/><Relationship Id="rId31" Type="http://schemas.openxmlformats.org/officeDocument/2006/relationships/hyperlink" Target="https://ifs-institute.com/trainings/level-1/north-american-trainings/982" TargetMode="External"/><Relationship Id="rId30" Type="http://schemas.openxmlformats.org/officeDocument/2006/relationships/hyperlink" Target="https://catalog.pesi.com/sales/bh_c_001403_ifsimmersioncourse_ppc-645391?utm_term=&amp;utm_campaign=US+%7C+BH+%7C+NB+%7C+N/A+%7C+Dynamic+%7C+DSA+%7C+US&amp;utm_source=google&amp;utm_medium=cpc&amp;hsa_acc=7268932594&amp;hsa_cam=15699028317&amp;hsa_grp=134607065514&amp;hsa_ad=571893149718&amp;hsa_src=g&amp;hsa_tgt=dsa-1410349818921&amp;hsa_kw=&amp;hsa_mt=&amp;hsa_net=adwords&amp;hsa_ver=3&amp;gclid=CjwKCAiAqY6tBhAtEiwAHeRopRks0RJR4JdZKojEZbgxeRg9L5TgpPabOlhF_v1u82exE6X1kir1-BoCUxEQAvD_BwE&amp;gclsrc=aw.ds" TargetMode="External"/><Relationship Id="rId33" Type="http://schemas.openxmlformats.org/officeDocument/2006/relationships/hyperlink" Target="https://drive.google.com/open?id=1mkr0DqpHHq0FY_itmoPoT0dWQXiiFqSN" TargetMode="External"/><Relationship Id="rId32" Type="http://schemas.openxmlformats.org/officeDocument/2006/relationships/hyperlink" Target="https://drive.google.com/open?id=1MbSZX7bSKltnpb6_1E4_3tdNXPnc6Kih" TargetMode="External"/><Relationship Id="rId35" Type="http://schemas.openxmlformats.org/officeDocument/2006/relationships/hyperlink" Target="https://www.ivatcenters.org/hawaii-summit" TargetMode="External"/><Relationship Id="rId34" Type="http://schemas.openxmlformats.org/officeDocument/2006/relationships/hyperlink" Target="https://drive.google.com/open?id=1hqCZscc_zBkluzbID4olQQw7AWGYDIqg" TargetMode="External"/><Relationship Id="rId37" Type="http://schemas.openxmlformats.org/officeDocument/2006/relationships/hyperlink" Target="https://drive.google.com/open?id=1-eEjT7rP0V5c_-0cum31Jk4l4Cmz7mAc" TargetMode="External"/><Relationship Id="rId36" Type="http://schemas.openxmlformats.org/officeDocument/2006/relationships/hyperlink" Target="https://docs.google.com/document/d/1MnPT9JGwps67wUOvDPfgz9amaig3RSB9/edit" TargetMode="External"/><Relationship Id="rId39" Type="http://schemas.openxmlformats.org/officeDocument/2006/relationships/hyperlink" Target="https://drive.google.com/open?id=1Ims-DiTlH67jGfJSn5AYke5RBUIY_-JZ" TargetMode="External"/><Relationship Id="rId38" Type="http://schemas.openxmlformats.org/officeDocument/2006/relationships/hyperlink" Target="https://drive.google.com/open?id=1_3Db6DUzAZ9sHaePetvbjeJT78uqaK9Q" TargetMode="External"/><Relationship Id="rId20" Type="http://schemas.openxmlformats.org/officeDocument/2006/relationships/hyperlink" Target="https://drive.google.com/open?id=1ks4mkTsUTMGbK6iQAPISmco2Eyf7DO6M" TargetMode="External"/><Relationship Id="rId22" Type="http://schemas.openxmlformats.org/officeDocument/2006/relationships/hyperlink" Target="https://web.cvent.com/event/344b0fc4-ed99-4aa4-bbc1-8cd15f369434/summary" TargetMode="External"/><Relationship Id="rId21" Type="http://schemas.openxmlformats.org/officeDocument/2006/relationships/hyperlink" Target="https://drive.google.com/open?id=1iLHdWCpCyOQcsWCyrQQW_YkpvFgbUuAK" TargetMode="External"/><Relationship Id="rId24" Type="http://schemas.openxmlformats.org/officeDocument/2006/relationships/hyperlink" Target="https://catalog.pesi.com/item/racial-generational-trauma-evidencebased-somatic-interventions-bipoc-clients-111451" TargetMode="External"/><Relationship Id="rId23" Type="http://schemas.openxmlformats.org/officeDocument/2006/relationships/hyperlink" Target="https://drive.google.com/open?id=15embUY8r0jlA61XlasyGSd8gE_AX8eHT" TargetMode="External"/><Relationship Id="rId409" Type="http://schemas.openxmlformats.org/officeDocument/2006/relationships/hyperlink" Target="https://www.csh.org/csh-summit-2025/" TargetMode="External"/><Relationship Id="rId404" Type="http://schemas.openxmlformats.org/officeDocument/2006/relationships/hyperlink" Target="https://drive.google.com/open?id=1znVCQTB-Q5VXgOszqa-rsa09cSgBwnCH" TargetMode="External"/><Relationship Id="rId525" Type="http://schemas.openxmlformats.org/officeDocument/2006/relationships/hyperlink" Target="https://recoverycommunitysummit.org/" TargetMode="External"/><Relationship Id="rId403" Type="http://schemas.openxmlformats.org/officeDocument/2006/relationships/hyperlink" Target="https://natcon25.eventscribe.net/" TargetMode="External"/><Relationship Id="rId524" Type="http://schemas.openxmlformats.org/officeDocument/2006/relationships/hyperlink" Target="https://drive.google.com/open?id=1TN9GLd_0HpH-pVZXuezdkIAKPqYXBD1l" TargetMode="External"/><Relationship Id="rId402" Type="http://schemas.openxmlformats.org/officeDocument/2006/relationships/hyperlink" Target="https://drive.google.com/open?id=13R1kCMCMnX_IOhcsNhweW8aWj8LurPgc" TargetMode="External"/><Relationship Id="rId523" Type="http://schemas.openxmlformats.org/officeDocument/2006/relationships/hyperlink" Target="https://drive.google.com/open?id=1Unlk85QwnpP52isTUqBUN2gU-AE4zXUN" TargetMode="External"/><Relationship Id="rId401" Type="http://schemas.openxmlformats.org/officeDocument/2006/relationships/hyperlink" Target="https://www.windzcentre.com/store/The-Brief-&amp;-Narrative-Therapy-5-Day-Certificate-Program-p706845446" TargetMode="External"/><Relationship Id="rId522" Type="http://schemas.openxmlformats.org/officeDocument/2006/relationships/hyperlink" Target="https://drive.google.com/open?id=1p6gOSsbTvGBbBwpnKnoBDnk_wgcLPY34" TargetMode="External"/><Relationship Id="rId408" Type="http://schemas.openxmlformats.org/officeDocument/2006/relationships/hyperlink" Target="https://drive.google.com/file/d/10x3VnKCB0zdMnoUYvXJVbkKOTS0-QoOw/view" TargetMode="External"/><Relationship Id="rId529" Type="http://schemas.openxmlformats.org/officeDocument/2006/relationships/hyperlink" Target="https://2025nwbhiconference.nwbhinstitute.org/event/47de7e7a-dbd8-4ed0-b6ff-96f8bb866af2/summary" TargetMode="External"/><Relationship Id="rId407" Type="http://schemas.openxmlformats.org/officeDocument/2006/relationships/hyperlink" Target="https://drive.google.com/open?id=1N_R4KovhvfYX6qn4c8trx1PS-oJ_5xkG" TargetMode="External"/><Relationship Id="rId528" Type="http://schemas.openxmlformats.org/officeDocument/2006/relationships/hyperlink" Target="https://aacap.confex.com/aacap3/2025/meetinginfo.cgi" TargetMode="External"/><Relationship Id="rId406" Type="http://schemas.openxmlformats.org/officeDocument/2006/relationships/hyperlink" Target="https://drive.google.com/open?id=1_uooID70dxY9E_oj8D4FecI5miRxPg1K" TargetMode="External"/><Relationship Id="rId527" Type="http://schemas.openxmlformats.org/officeDocument/2006/relationships/hyperlink" Target="https://a.co/d/2JzHFyo" TargetMode="External"/><Relationship Id="rId405" Type="http://schemas.openxmlformats.org/officeDocument/2006/relationships/hyperlink" Target="https://drive.google.com/open?id=1gbS1_XX27jHq-yK4RSvcM-EuiWHwfcI5" TargetMode="External"/><Relationship Id="rId526" Type="http://schemas.openxmlformats.org/officeDocument/2006/relationships/hyperlink" Target="https://drive.google.com/open?id=1wTFL4SIdcgHz6Dza0MvigkZMlxaY5baC" TargetMode="External"/><Relationship Id="rId26" Type="http://schemas.openxmlformats.org/officeDocument/2006/relationships/hyperlink" Target="https://drive.google.com/open?id=1Zdrjsc9FMrm-eeUlrpZ8CVAwDt4g0jjU" TargetMode="External"/><Relationship Id="rId25" Type="http://schemas.openxmlformats.org/officeDocument/2006/relationships/hyperlink" Target="https://drive.google.com/open?id=15gOGb41NadCxbzTdMxVZRSXWXPpU2wRK" TargetMode="External"/><Relationship Id="rId28" Type="http://schemas.openxmlformats.org/officeDocument/2006/relationships/hyperlink" Target="https://pinestreetsangha.org/events/restorative-ethics-an-online-ce-workshop-for-mental-health-professionals/" TargetMode="External"/><Relationship Id="rId27" Type="http://schemas.openxmlformats.org/officeDocument/2006/relationships/hyperlink" Target="https://drive.google.com/open?id=1pUzXhfDCk9Byo_yhLMAMGjB3j-OWkoJA" TargetMode="External"/><Relationship Id="rId400" Type="http://schemas.openxmlformats.org/officeDocument/2006/relationships/hyperlink" Target="https://drive.google.com/open?id=1Ism6EWkHMzD7UMclmHOxvhaqjxZGaBqU" TargetMode="External"/><Relationship Id="rId521" Type="http://schemas.openxmlformats.org/officeDocument/2006/relationships/hyperlink" Target="https://drive.google.com/open?id=1EB4v-RvvEWWWDjr9JYpEovjPXg3il-3a" TargetMode="External"/><Relationship Id="rId29" Type="http://schemas.openxmlformats.org/officeDocument/2006/relationships/hyperlink" Target="https://shop.qualityinteractions.com/collections/oblptc?hsCtaTracking=2e97cb21-d094-40e1-9fd6-3a80395da2d4%7Cec65c58f-199a-4808-8846-a6ac436c7010" TargetMode="External"/><Relationship Id="rId520" Type="http://schemas.openxmlformats.org/officeDocument/2006/relationships/hyperlink" Target="https://drive.google.com/open?id=1ROIToNSOk5ylKj89pxLjFK2ov8SoDmg0" TargetMode="External"/><Relationship Id="rId11" Type="http://schemas.openxmlformats.org/officeDocument/2006/relationships/hyperlink" Target="https://drive.google.com/open?id=1AW-6wL0Opx9rmoS5pNzXf7_kWB0mO2sY" TargetMode="External"/><Relationship Id="rId10" Type="http://schemas.openxmlformats.org/officeDocument/2006/relationships/hyperlink" Target="https://graduate.lclark.edu/calendars/events/event/351174-clinical-supervision-online" TargetMode="External"/><Relationship Id="rId13" Type="http://schemas.openxmlformats.org/officeDocument/2006/relationships/hyperlink" Target="https://drive.google.com/open?id=1_y1WXTn-Z982VHVMlj7TlfbrZAKEp298" TargetMode="External"/><Relationship Id="rId12" Type="http://schemas.openxmlformats.org/officeDocument/2006/relationships/hyperlink" Target="https://drive.google.com/open?id=1_y1WXTn-Z982VHVMlj7TlfbrZAKEp298" TargetMode="External"/><Relationship Id="rId519" Type="http://schemas.openxmlformats.org/officeDocument/2006/relationships/hyperlink" Target="https://drive.google.com/open?id=19pJh1L_aET4X-18kXILKFbKrVDwnL9Wh" TargetMode="External"/><Relationship Id="rId514" Type="http://schemas.openxmlformats.org/officeDocument/2006/relationships/hyperlink" Target="https://drive.google.com/open?id=1fj5FXin_iqt75TH8Jd4LGY1qmjyLvh8H" TargetMode="External"/><Relationship Id="rId513" Type="http://schemas.openxmlformats.org/officeDocument/2006/relationships/hyperlink" Target="https://drive.google.com/open?id=1Rl0adtEzbpVkNfudwB0ZQ1mzH7N4c00-" TargetMode="External"/><Relationship Id="rId512" Type="http://schemas.openxmlformats.org/officeDocument/2006/relationships/hyperlink" Target="https://drive.google.com/open?id=1PPKGEh0IWrf_lESdTjjH-p6j6bz0xRM8" TargetMode="External"/><Relationship Id="rId511" Type="http://schemas.openxmlformats.org/officeDocument/2006/relationships/hyperlink" Target="https://drive.google.com/open?id=1QcKteNQOQPqLPI0A6mmyvmcLGdCpKZVi" TargetMode="External"/><Relationship Id="rId518" Type="http://schemas.openxmlformats.org/officeDocument/2006/relationships/hyperlink" Target="https://www.amazon.com/gp/cart/view.html?ref_=nav_cart" TargetMode="External"/><Relationship Id="rId517" Type="http://schemas.openxmlformats.org/officeDocument/2006/relationships/hyperlink" Target="https://drive.google.com/open?id=1WCeI2YGqfPS-jj4VEP_KEsyaWUE7FD2b" TargetMode="External"/><Relationship Id="rId516" Type="http://schemas.openxmlformats.org/officeDocument/2006/relationships/hyperlink" Target="https://innovationsinpsychotherapy.com/?refID=bh_s_002111_dedicatedemail_060525&amp;utm_campaign=10751889-002111&amp;utm_medium=email&amp;_hsenc=p2ANqtz--XYrBpYUUBffevJxVJSIi2IqL9nIpu-DD1YvDhR0EvxPdhodcov7VspuT1UeRy9qlb57w4cCeUwQcxrL8FpaEMrla-l9MffMLRXx5wdTYpcnv616A&amp;_hsmi=365150900&amp;utm_content=365150900&amp;utm_source=hs_email" TargetMode="External"/><Relationship Id="rId515" Type="http://schemas.openxmlformats.org/officeDocument/2006/relationships/hyperlink" Target="https://www.brightmorningteam.com/workshops" TargetMode="External"/><Relationship Id="rId15" Type="http://schemas.openxmlformats.org/officeDocument/2006/relationships/hyperlink" Target="https://drive.google.com/open?id=15QtqsBsEJgENKt47-V4ncfjhLd2rynthgitg4uWfNlY" TargetMode="External"/><Relationship Id="rId14" Type="http://schemas.openxmlformats.org/officeDocument/2006/relationships/hyperlink" Target="https://drive.google.com/open?id=1_RoemxeyS_UJhWdLoTRjFJ2_SSp9EQWJ" TargetMode="External"/><Relationship Id="rId17" Type="http://schemas.openxmlformats.org/officeDocument/2006/relationships/hyperlink" Target="https://drive.google.com/open?id=1gUDBPcBLxCdJWfzlcbxFHLjqznCgiHOh" TargetMode="External"/><Relationship Id="rId16" Type="http://schemas.openxmlformats.org/officeDocument/2006/relationships/hyperlink" Target="https://drive.google.com/open?id=1WgeSMHGKEc9mISdnaeovNOOFC7E7lfksLGuW9mDhHaE" TargetMode="External"/><Relationship Id="rId19" Type="http://schemas.openxmlformats.org/officeDocument/2006/relationships/hyperlink" Target="https://graduate.lclark.edu/calendars/events/event/351174-clinical-supervision-online" TargetMode="External"/><Relationship Id="rId510" Type="http://schemas.openxmlformats.org/officeDocument/2006/relationships/hyperlink" Target="https://drive.google.com/open?id=1nUpD5vSl8Dofq8JOyWh1fewIZ-zimjiH" TargetMode="External"/><Relationship Id="rId18" Type="http://schemas.openxmlformats.org/officeDocument/2006/relationships/hyperlink" Target="https://drive.google.com/open?id=19Lwy1ULlXquOEKdWQoyNUhJJkasb2SaK" TargetMode="External"/><Relationship Id="rId84" Type="http://schemas.openxmlformats.org/officeDocument/2006/relationships/hyperlink" Target="https://www.subductionconsulting.com/registration" TargetMode="External"/><Relationship Id="rId83" Type="http://schemas.openxmlformats.org/officeDocument/2006/relationships/hyperlink" Target="https://catalog.pesi.com/sales/bh_s_048690_acttraining_mta91416_organic-829163" TargetMode="External"/><Relationship Id="rId86" Type="http://schemas.openxmlformats.org/officeDocument/2006/relationships/hyperlink" Target="https://www.pmi.org/certifications/project-management-pmp" TargetMode="External"/><Relationship Id="rId85" Type="http://schemas.openxmlformats.org/officeDocument/2006/relationships/hyperlink" Target="https://drive.google.com/open?id=1Veb-skPBVwe9jsf8kY_lZPMFmszzNvKi" TargetMode="External"/><Relationship Id="rId88" Type="http://schemas.openxmlformats.org/officeDocument/2006/relationships/hyperlink" Target="https://www.naadac.org/annualconference" TargetMode="External"/><Relationship Id="rId87" Type="http://schemas.openxmlformats.org/officeDocument/2006/relationships/hyperlink" Target="https://acceleratedresolutiontherapy.com/types-of-training-available" TargetMode="External"/><Relationship Id="rId89" Type="http://schemas.openxmlformats.org/officeDocument/2006/relationships/hyperlink" Target="https://drive.google.com/open?id=1r78P_PEXC0bnsP6OU3Z7MWR_1rxNPBrX" TargetMode="External"/><Relationship Id="rId80" Type="http://schemas.openxmlformats.org/officeDocument/2006/relationships/hyperlink" Target="https://www.zerotothree.org/2024-learn-conference/" TargetMode="External"/><Relationship Id="rId82" Type="http://schemas.openxmlformats.org/officeDocument/2006/relationships/hyperlink" Target="https://drive.google.com/open?id=1PffXDGYqB225yoVwLFIUmdnnwhoKh8w7" TargetMode="External"/><Relationship Id="rId81" Type="http://schemas.openxmlformats.org/officeDocument/2006/relationships/hyperlink" Target="https://nlbha.org/2024conference/" TargetMode="External"/><Relationship Id="rId73" Type="http://schemas.openxmlformats.org/officeDocument/2006/relationships/hyperlink" Target="https://drive.google.com/open?id=1KrkUSwZpvI8ocuFxLotVM8k1BLkpXCwd" TargetMode="External"/><Relationship Id="rId72" Type="http://schemas.openxmlformats.org/officeDocument/2006/relationships/hyperlink" Target="https://drive.google.com/open?id=1NydRbsBp-Knm2M_w6h4SihAMQ1-nUIZj" TargetMode="External"/><Relationship Id="rId75" Type="http://schemas.openxmlformats.org/officeDocument/2006/relationships/hyperlink" Target="https://drive.google.com/open?id=1q1PVSnmyiUDFZERp8s0M21GjhAkbaUtU" TargetMode="External"/><Relationship Id="rId74" Type="http://schemas.openxmlformats.org/officeDocument/2006/relationships/hyperlink" Target="https://susiesnyderlcsw.vipmembervault.com/products/courses/view/1033072" TargetMode="External"/><Relationship Id="rId77" Type="http://schemas.openxmlformats.org/officeDocument/2006/relationships/hyperlink" Target="https://drive.google.com/open?id=1WiDIibvKe4VKl_ZpPW_eOac18wg5pqwn" TargetMode="External"/><Relationship Id="rId76" Type="http://schemas.openxmlformats.org/officeDocument/2006/relationships/hyperlink" Target="https://www.latinohealthequity.org/" TargetMode="External"/><Relationship Id="rId79" Type="http://schemas.openxmlformats.org/officeDocument/2006/relationships/hyperlink" Target="https://drive.google.com/open?id=1l-7w-3HLjrURgXY351N0-aaon69xnOEC" TargetMode="External"/><Relationship Id="rId78" Type="http://schemas.openxmlformats.org/officeDocument/2006/relationships/hyperlink" Target="https://compassionateinquiry.com/online-training/" TargetMode="External"/><Relationship Id="rId71" Type="http://schemas.openxmlformats.org/officeDocument/2006/relationships/hyperlink" Target="https://store.prosci.com/bookstore/adkar-a-model-for-change-en.html" TargetMode="External"/><Relationship Id="rId70" Type="http://schemas.openxmlformats.org/officeDocument/2006/relationships/hyperlink" Target="https://drive.google.com/open?id=10wLe2d1xNOhGK_tJ8wlPQ0B-HiDn8R_i" TargetMode="External"/><Relationship Id="rId62" Type="http://schemas.openxmlformats.org/officeDocument/2006/relationships/hyperlink" Target="https://drive.google.com/open?id=1NDrDq-tdau7enfImHZgLBwNyZXkpZtCcZPB2ppvfpq8" TargetMode="External"/><Relationship Id="rId61" Type="http://schemas.openxmlformats.org/officeDocument/2006/relationships/hyperlink" Target="https://www.ochinlearningforum.org/event/48fc662b-c4f5-41cb-a56b-000de081803b/summary" TargetMode="External"/><Relationship Id="rId64" Type="http://schemas.openxmlformats.org/officeDocument/2006/relationships/hyperlink" Target="https://drive.google.com/open?id=1sGY4UjFGb9oIPa2mK5U-whoa2CDyzx9m" TargetMode="External"/><Relationship Id="rId63" Type="http://schemas.openxmlformats.org/officeDocument/2006/relationships/hyperlink" Target="https://alishia-mccullough-s-school.teachable.com/p/reimagining-eating-disorders-101" TargetMode="External"/><Relationship Id="rId66" Type="http://schemas.openxmlformats.org/officeDocument/2006/relationships/hyperlink" Target="https://drive.google.com/open?id=1-y5OeOwAhkDjSThN3q7GFa0yxDVquYLp" TargetMode="External"/><Relationship Id="rId65" Type="http://schemas.openxmlformats.org/officeDocument/2006/relationships/hyperlink" Target="https://pdx.smartcatalogiq.com/2023-2024/bulletin/courses/phe-public-health-education/400/phe-479/" TargetMode="External"/><Relationship Id="rId68" Type="http://schemas.openxmlformats.org/officeDocument/2006/relationships/hyperlink" Target="https://drive.google.com/open?id=1Yf7SzfdZ99SWeGTT1iVEryWrdtzzP7Bb" TargetMode="External"/><Relationship Id="rId67" Type="http://schemas.openxmlformats.org/officeDocument/2006/relationships/hyperlink" Target="https://nlbha.org/2024registration/" TargetMode="External"/><Relationship Id="rId60" Type="http://schemas.openxmlformats.org/officeDocument/2006/relationships/hyperlink" Target="https://catalog.pesi.com/sales/bh_s_059081_cctptraining_prt91119_organic-791756" TargetMode="External"/><Relationship Id="rId69" Type="http://schemas.openxmlformats.org/officeDocument/2006/relationships/hyperlink" Target="https://facingrace.raceforward.org/about" TargetMode="External"/><Relationship Id="rId51" Type="http://schemas.openxmlformats.org/officeDocument/2006/relationships/hyperlink" Target="https://www.latinohealthequity.org/registration" TargetMode="External"/><Relationship Id="rId50" Type="http://schemas.openxmlformats.org/officeDocument/2006/relationships/hyperlink" Target="https://www.latinohealthequity.org/registration" TargetMode="External"/><Relationship Id="rId53" Type="http://schemas.openxmlformats.org/officeDocument/2006/relationships/hyperlink" Target="https://drive.google.com/open?id=18D38ueWJR54IfOzcvSjMLhxMAm7I9dcI" TargetMode="External"/><Relationship Id="rId52" Type="http://schemas.openxmlformats.org/officeDocument/2006/relationships/hyperlink" Target="https://drive.google.com/open?id=18j8rHNO4sQrQLJNMxX4ldIYTgIa95dVT" TargetMode="External"/><Relationship Id="rId55" Type="http://schemas.openxmlformats.org/officeDocument/2006/relationships/hyperlink" Target="https://catalog.pesi.com/sales/bh_s_059081_cctptraining_prt91119_organic-791756" TargetMode="External"/><Relationship Id="rId54" Type="http://schemas.openxmlformats.org/officeDocument/2006/relationships/hyperlink" Target="https://web.cvent.com/event/e7d2be57-b24c-49e8-b4bf-0edc4ee111bc/summary?RefId=Facing%20Race%20Site&amp;rp=00b8db2b-745d-4b73-9caa-197e68787415" TargetMode="External"/><Relationship Id="rId57" Type="http://schemas.openxmlformats.org/officeDocument/2006/relationships/hyperlink" Target="https://drive.google.com/open?id=1zAUzbhwIIhDKbwzcNMtGzxajRsjdQEio" TargetMode="External"/><Relationship Id="rId56" Type="http://schemas.openxmlformats.org/officeDocument/2006/relationships/hyperlink" Target="https://catalog.pesi.com/item/racial-generational-trauma-evidencebased-somatic-interventions-bipoc-clients-111451" TargetMode="External"/><Relationship Id="rId59" Type="http://schemas.openxmlformats.org/officeDocument/2006/relationships/hyperlink" Target="https://catalog.pesi.com/sales/bh_c_001312evg_essentialstraumatreatcctp_042021_organic-194715?utm_term=&amp;utm_campaign=US+%7C+BH+%7C+NB+%7C+N/A+%7C+Dynamic+%7C+Performance+Max+%7C+US+%7C+RET&amp;utm_source=google&amp;utm_medium=cpc&amp;hsa_acc=7268932594&amp;hsa_cam=20947151930&amp;hsa_grp=&amp;hsa_ad=&amp;hsa_src=x&amp;hsa_tgt=&amp;hsa_kw=&amp;hsa_mt=&amp;hsa_net=adwords&amp;hsa_ver=3&amp;gclid=Cj0KCQjwwMqvBhCtARIsAIXsZpaSbD1kTuOUTdB__2scQLvwu8n-EbkwBrbxTp9FzGFm_Hz5Y5y-jisaAuMUEALw_wcB&amp;gclsrc=aw.ds" TargetMode="External"/><Relationship Id="rId58" Type="http://schemas.openxmlformats.org/officeDocument/2006/relationships/hyperlink" Target="https://drive.google.com/open?id=1p2tvb8z2gYtuzj16ETIulUSRi0f6VmdH" TargetMode="External"/><Relationship Id="rId107" Type="http://schemas.openxmlformats.org/officeDocument/2006/relationships/hyperlink" Target="https://drive.google.com/open?id=1D5auI4VWOFVSz9OWOWJkwZDQwnA-keyd" TargetMode="External"/><Relationship Id="rId228" Type="http://schemas.openxmlformats.org/officeDocument/2006/relationships/hyperlink" Target="https://drive.google.com/open?id=1rg2hPWF7qJl76Q3XFlp663rbW_Neng38" TargetMode="External"/><Relationship Id="rId349" Type="http://schemas.openxmlformats.org/officeDocument/2006/relationships/hyperlink" Target="https://events.blackthorn.io/en/3hCnqZ6/a/BjxMDjny-KasDJUPQ7Cf0KzcTG5hCbA-CgiWyZQSUok_H0RF-1iPBlVckrKbt4dM/portland-or-intermediate-i-february-13-16-2026-4a4IUQck3R/overview" TargetMode="External"/><Relationship Id="rId106" Type="http://schemas.openxmlformats.org/officeDocument/2006/relationships/hyperlink" Target="https://drive.google.com/open?id=15UngzKYZjl0-lhuX5H9lWTbZSyS97gW5" TargetMode="External"/><Relationship Id="rId227" Type="http://schemas.openxmlformats.org/officeDocument/2006/relationships/hyperlink" Target="https://mail.google.com/mail/u/0/" TargetMode="External"/><Relationship Id="rId348" Type="http://schemas.openxmlformats.org/officeDocument/2006/relationships/hyperlink" Target="https://docs.google.com/document/d/1OAg2CK5S19PD8owEOn82TfrX9NWLDQPuK1-TMVcehVs/edit?usp=sharing" TargetMode="External"/><Relationship Id="rId469" Type="http://schemas.openxmlformats.org/officeDocument/2006/relationships/hyperlink" Target="https://www.mhacbo.org/" TargetMode="External"/><Relationship Id="rId105" Type="http://schemas.openxmlformats.org/officeDocument/2006/relationships/hyperlink" Target="https://www.marriott.com/event-reservations/reservation-link.mi?id=1711051825293&amp;key=GRP&amp;app=resvlink" TargetMode="External"/><Relationship Id="rId226" Type="http://schemas.openxmlformats.org/officeDocument/2006/relationships/hyperlink" Target="https://drive.google.com/open?id=1OfOMY7KqYdu3W0MpMEwR2sXqczVRLg9I" TargetMode="External"/><Relationship Id="rId347" Type="http://schemas.openxmlformats.org/officeDocument/2006/relationships/hyperlink" Target="https://docs.google.com/document/d/1OAg2CK5S19PD8owEOn82TfrX9NWLDQPuK1-TMVcehVs/edit?usp=sharing" TargetMode="External"/><Relationship Id="rId468" Type="http://schemas.openxmlformats.org/officeDocument/2006/relationships/hyperlink" Target="https://wisehomestudy.com/product/improving-cultural-competence-15-hours/" TargetMode="External"/><Relationship Id="rId104" Type="http://schemas.openxmlformats.org/officeDocument/2006/relationships/hyperlink" Target="https://drive.google.com/open?id=1TPkP2gX3aQoh9zR5ZvGKo02H2yuyb2o6" TargetMode="External"/><Relationship Id="rId225" Type="http://schemas.openxmlformats.org/officeDocument/2006/relationships/hyperlink" Target="https://drive.google.com/open?id=1zgekD8PkkwInU3ReggtpLv5_jALZJHvk" TargetMode="External"/><Relationship Id="rId346" Type="http://schemas.openxmlformats.org/officeDocument/2006/relationships/hyperlink" Target="https://www.guilford.com/view-cart" TargetMode="External"/><Relationship Id="rId467" Type="http://schemas.openxmlformats.org/officeDocument/2006/relationships/hyperlink" Target="https://www.gottman.com/product/gottman-method-couples-therapy-foundations/" TargetMode="External"/><Relationship Id="rId109" Type="http://schemas.openxmlformats.org/officeDocument/2006/relationships/hyperlink" Target="https://www.zerotothree.org/our-work/learn-professional-development/dc0-5-manual-and-training/" TargetMode="External"/><Relationship Id="rId108" Type="http://schemas.openxmlformats.org/officeDocument/2006/relationships/hyperlink" Target="https://drive.google.com/open?id=1BCD5qxpolGOGc2pvZA1-COJvS_70qhDb" TargetMode="External"/><Relationship Id="rId229" Type="http://schemas.openxmlformats.org/officeDocument/2006/relationships/hyperlink" Target="https://drive.google.com/open?id=1kWgk94YgarsMcfwKNoE7qvKLQhN1vEhA" TargetMode="External"/><Relationship Id="rId220" Type="http://schemas.openxmlformats.org/officeDocument/2006/relationships/hyperlink" Target="https://aocmhp.jotform.com/241556994662066" TargetMode="External"/><Relationship Id="rId341" Type="http://schemas.openxmlformats.org/officeDocument/2006/relationships/hyperlink" Target="https://acceleratedresolutiontherapy.com/reg/icat.php?course=AE" TargetMode="External"/><Relationship Id="rId462" Type="http://schemas.openxmlformats.org/officeDocument/2006/relationships/hyperlink" Target="https://mhaconference25.eventscribe.net/" TargetMode="External"/><Relationship Id="rId340" Type="http://schemas.openxmlformats.org/officeDocument/2006/relationships/hyperlink" Target="https://events.blackthorn.io/en/3hCnqZ6/a/YU9tll8m4W2vZaeDzP7nXTSaoyriFAKgGj513V8MbS17mUA1mcfNA2DoVRTWnak5/portland-or-beginning-iii-november-7-10-2025-4a4IUQcjwz/overview" TargetMode="External"/><Relationship Id="rId461" Type="http://schemas.openxmlformats.org/officeDocument/2006/relationships/hyperlink" Target="https://drive.google.com/open?id=1iqJ_4kmZnj6y2Kc4KsRhBVv3bUFyIIe2" TargetMode="External"/><Relationship Id="rId460" Type="http://schemas.openxmlformats.org/officeDocument/2006/relationships/hyperlink" Target="https://drive.google.com/open?id=1PcQgQFYAL9LhX0bI99zzUe5ECcbur0Xg" TargetMode="External"/><Relationship Id="rId103" Type="http://schemas.openxmlformats.org/officeDocument/2006/relationships/hyperlink" Target="https://www.latinohealthequity.org/" TargetMode="External"/><Relationship Id="rId224" Type="http://schemas.openxmlformats.org/officeDocument/2006/relationships/hyperlink" Target="https://louizapdx.com/" TargetMode="External"/><Relationship Id="rId345" Type="http://schemas.openxmlformats.org/officeDocument/2006/relationships/hyperlink" Target="https://georgefoxuniversity.regfox.com/30-hour-counseling-supervision-course-2025" TargetMode="External"/><Relationship Id="rId466" Type="http://schemas.openxmlformats.org/officeDocument/2006/relationships/hyperlink" Target="https://oregonrecovers.app.neoncrm.com/np/clients/oregonrecovers/event.jsp?event=706&amp;" TargetMode="External"/><Relationship Id="rId102" Type="http://schemas.openxmlformats.org/officeDocument/2006/relationships/hyperlink" Target="https://www.orimha.org/training-events" TargetMode="External"/><Relationship Id="rId223" Type="http://schemas.openxmlformats.org/officeDocument/2006/relationships/hyperlink" Target="https://drive.google.com/open?id=1P2VGHm-ByjlQS7UujLeE-3frQYYtmqK_" TargetMode="External"/><Relationship Id="rId344" Type="http://schemas.openxmlformats.org/officeDocument/2006/relationships/hyperlink" Target="https://www.pdbti.org/dbt-a-skills/" TargetMode="External"/><Relationship Id="rId465" Type="http://schemas.openxmlformats.org/officeDocument/2006/relationships/hyperlink" Target="https://drive.google.com/open?id=1oUtHz5k2SENfYAgSMqoH9nU9CPfK_RID" TargetMode="External"/><Relationship Id="rId101" Type="http://schemas.openxmlformats.org/officeDocument/2006/relationships/hyperlink" Target="https://drive.google.com/open?id=1D1mHHBfZVnPHjs9ICu2V9SITAMCxL0vA" TargetMode="External"/><Relationship Id="rId222" Type="http://schemas.openxmlformats.org/officeDocument/2006/relationships/hyperlink" Target="https://drive.google.com/open?id=13qVNdKUrJpyQd6asA5xtJ9EU3TJeay1D" TargetMode="External"/><Relationship Id="rId343" Type="http://schemas.openxmlformats.org/officeDocument/2006/relationships/hyperlink" Target="https://nccan.acf.hhs.gov/register/" TargetMode="External"/><Relationship Id="rId464" Type="http://schemas.openxmlformats.org/officeDocument/2006/relationships/hyperlink" Target="https://drive.google.com/open?id=1GdCV34cPCpLF9yqi3uxoVS82jRtMB_DQ" TargetMode="External"/><Relationship Id="rId100" Type="http://schemas.openxmlformats.org/officeDocument/2006/relationships/hyperlink" Target="https://www.aswb.org/exam/getting-ready-for-the-exam/online-practice-test/" TargetMode="External"/><Relationship Id="rId221" Type="http://schemas.openxmlformats.org/officeDocument/2006/relationships/hyperlink" Target="https://drive.google.com/open?id=1046Rqw1JTXV3BoRvKHvtOKNq_LKtjc8q" TargetMode="External"/><Relationship Id="rId342" Type="http://schemas.openxmlformats.org/officeDocument/2006/relationships/hyperlink" Target="https://drive.google.com/open?id=12v7rTsGWZ1aS2-bpuTywdH8NmiEEKu1T" TargetMode="External"/><Relationship Id="rId463" Type="http://schemas.openxmlformats.org/officeDocument/2006/relationships/hyperlink" Target="https://www.behavioralhealthtech.com/" TargetMode="External"/><Relationship Id="rId217" Type="http://schemas.openxmlformats.org/officeDocument/2006/relationships/hyperlink" Target="https://www.hcca-info.org/conferences/specialized-knowledge/2024-clinical-practice-compliance-conference" TargetMode="External"/><Relationship Id="rId338" Type="http://schemas.openxmlformats.org/officeDocument/2006/relationships/hyperlink" Target="https://events.blackthorn.io/en/3hCnqZ6/a/2tgyxhGqEkPdswrgZXOaO_xZ7YRCXP4Yr3AHsrMkK2b-VzPBOomRfIJGICj--smO/portland-or-beginning-i-february-21-24-2025-4a4IUQcjH3/overview" TargetMode="External"/><Relationship Id="rId459" Type="http://schemas.openxmlformats.org/officeDocument/2006/relationships/hyperlink" Target="https://drive.google.com/open?id=17MA9QCNL88BdAu4TN6no4HSVK6PjlRzs" TargetMode="External"/><Relationship Id="rId216" Type="http://schemas.openxmlformats.org/officeDocument/2006/relationships/hyperlink" Target="https://www.hcca-info.org/conferences/specialized-knowledge/2024-clinical-practice-compliance-conference?_zs=0B0TR1&amp;_zl=b70W7" TargetMode="External"/><Relationship Id="rId337" Type="http://schemas.openxmlformats.org/officeDocument/2006/relationships/hyperlink" Target="https://drive.google.com/open?id=1HgXe3-qYblEDp1Eg_k1HSAhKuEI9Bmvi" TargetMode="External"/><Relationship Id="rId458" Type="http://schemas.openxmlformats.org/officeDocument/2006/relationships/hyperlink" Target="https://drive.google.com/open?id=1ynsA9r6efX8wh6PPVffenLbz30Vnxgt_" TargetMode="External"/><Relationship Id="rId215" Type="http://schemas.openxmlformats.org/officeDocument/2006/relationships/hyperlink" Target="https://drive.google.com/open?id=1p6V1gkX1HLKAR9xDG4MyCeQk_jQaz-8s" TargetMode="External"/><Relationship Id="rId336" Type="http://schemas.openxmlformats.org/officeDocument/2006/relationships/hyperlink" Target="https://www.hcca-info.org/conferences/academies/2025-san-jose-healthcare-basic-compliance-academy" TargetMode="External"/><Relationship Id="rId457" Type="http://schemas.openxmlformats.org/officeDocument/2006/relationships/hyperlink" Target="https://drive.google.com/open?id=1Ik1J5Sq2neJey4DGwg5YFRM7lEzt8-pv" TargetMode="External"/><Relationship Id="rId214" Type="http://schemas.openxmlformats.org/officeDocument/2006/relationships/hyperlink" Target="https://www.empressrules.net/about-empress-rules-copy." TargetMode="External"/><Relationship Id="rId335" Type="http://schemas.openxmlformats.org/officeDocument/2006/relationships/hyperlink" Target="https://www.schoolmentalhealth.org/" TargetMode="External"/><Relationship Id="rId456" Type="http://schemas.openxmlformats.org/officeDocument/2006/relationships/hyperlink" Target="https://catalog.pesi.com/sales/bh_c_002177_personalitydisordercertification_dedicatedemail-1304865?utm_campaign=8252466-002177&amp;utm_medium=email&amp;_hsenc=p2ANqtz-8P1xi3goq0NmyTxyq_O1YbzUNn2FkB5NQsCn_-JV8eTUakXxSYv8XGW1yUPqsXVM6qiV80831RNUsymmFtRKxFOlhy8D0xyLzAKLs4J51w3MH4zTk&amp;_hsmi=350407835&amp;utm_content=350407835&amp;utm_source=hs_email" TargetMode="External"/><Relationship Id="rId219" Type="http://schemas.openxmlformats.org/officeDocument/2006/relationships/hyperlink" Target="http://www.aocmhp.org/2024-behavioral-health-training-summit/" TargetMode="External"/><Relationship Id="rId218" Type="http://schemas.openxmlformats.org/officeDocument/2006/relationships/hyperlink" Target="http://www.aocmhp.org/2024-behavioral-health-training-summit/" TargetMode="External"/><Relationship Id="rId339" Type="http://schemas.openxmlformats.org/officeDocument/2006/relationships/hyperlink" Target="https://events.blackthorn.io/en/3hCnqZ6/a/x7ef4ZXJ8kneTZPMlNrg3f3vkE_GNU2ScspVZD48sR0Nl0NsxS-0X0EuMULUAacg/portland-or-beginning-ii-july-18-21-2025-4a4IUQcjdd/cart-v2" TargetMode="External"/><Relationship Id="rId330" Type="http://schemas.openxmlformats.org/officeDocument/2006/relationships/hyperlink" Target="https://store.gallup.com/c/en-us/1/cliftonstrengths" TargetMode="External"/><Relationship Id="rId451" Type="http://schemas.openxmlformats.org/officeDocument/2006/relationships/hyperlink" Target="https://drive.google.com/open?id=11wyyGzk7uY_3Vt_N6eFsQGa0NJNu61HH" TargetMode="External"/><Relationship Id="rId572" Type="http://schemas.openxmlformats.org/officeDocument/2006/relationships/hyperlink" Target="https://deeper-diving-retreats-and-inquiry.ce-go.com/aloha-summits-kona-2025" TargetMode="External"/><Relationship Id="rId450" Type="http://schemas.openxmlformats.org/officeDocument/2006/relationships/hyperlink" Target="https://drive.google.com/open?id=1Yk1P0mmmwwTaIC1CHdugfgYLm6YpmKsf" TargetMode="External"/><Relationship Id="rId571" Type="http://schemas.openxmlformats.org/officeDocument/2006/relationships/hyperlink" Target="https://events.blackthorn.io/en/3hCnqZ6/g/A790Z6gdv7/portland-or-beginning-iii-may-22-25-2026-4a4IUQcjwz/overview?_gl=1*1k35c4o*_ga*MTIzMjUxMTM1Ny4xNzU2MjM4MDQx*_ga_G6YZ8VDJXJ*czE3NTY0MTA0MjUkbzIkZzEkdDE3NTY0MTA0MzIkajUzJGwwJGg2ODAxODQ3ODg." TargetMode="External"/><Relationship Id="rId570" Type="http://schemas.openxmlformats.org/officeDocument/2006/relationships/hyperlink" Target="https://www.mhacbo.org/en/certemy/" TargetMode="External"/><Relationship Id="rId213" Type="http://schemas.openxmlformats.org/officeDocument/2006/relationships/hyperlink" Target="http://www.aocmhp.org/2024-behavioral-health-training-summit/" TargetMode="External"/><Relationship Id="rId334" Type="http://schemas.openxmlformats.org/officeDocument/2006/relationships/hyperlink" Target="https://drive.google.com/open?id=1jJXwfgxIm_YI-ubmYyE_5pvGg4UZzNmd" TargetMode="External"/><Relationship Id="rId455" Type="http://schemas.openxmlformats.org/officeDocument/2006/relationships/hyperlink" Target="https://aas.mycrowdwisdom.com/cw/catalog" TargetMode="External"/><Relationship Id="rId212" Type="http://schemas.openxmlformats.org/officeDocument/2006/relationships/hyperlink" Target="https://compassionateinquiry.com/" TargetMode="External"/><Relationship Id="rId333" Type="http://schemas.openxmlformats.org/officeDocument/2006/relationships/hyperlink" Target="https://www.mhacbo.org/en/online-education/?appSession=56SC19K1GIG18Z390ITZ6751BS92I8P9UJJD4Q7Z1DHR64NOH2SC34AZEV3E1A268985VKO343Z16T12YNKDKRM3Y0982F9N54P1J1Z6M41OEJ4U7K34621Q2UIZ88SZ&amp;PageID=8&amp;PrevPageID=2&amp;cpipage=1&amp;RecordID=1598&amp;cbCurrentRecordPosition=16&amp;Mod0LinkToDetails=True&amp;CPIorderBy=Start_Date&amp;CPIsortType=desc&amp;cbCurrentPageSize=25" TargetMode="External"/><Relationship Id="rId454" Type="http://schemas.openxmlformats.org/officeDocument/2006/relationships/hyperlink" Target="https://expressive-arts-therapy.thinkific.com/courses/Advanced-BMDR-Sensorimotor-Expressive-Arts-Therapy-EMDR-and-Bilateral-Stimulation-BLS-Live-Webinar-Series-March-May-2025" TargetMode="External"/><Relationship Id="rId575" Type="http://schemas.openxmlformats.org/officeDocument/2006/relationships/vmlDrawing" Target="../drawings/vmlDrawing1.vml"/><Relationship Id="rId211" Type="http://schemas.openxmlformats.org/officeDocument/2006/relationships/hyperlink" Target="https://multco.wd1.myworkdayjobs.com/en-US/Multco_Jobs/details/Preschool-For-All-Treatment-Mental-Health-Consultant---Latinx--Culture-Spanish-Language-PLUS--1500-Hiring-Incentive_R-15423?q=R-15423" TargetMode="External"/><Relationship Id="rId332" Type="http://schemas.openxmlformats.org/officeDocument/2006/relationships/hyperlink" Target="https://www.mhacbo.org/en/online-education/?appSession=56SC19K1GIG18Z390ITZ6751BS92I8P9UJJD4Q7Z1DHR64NOH2SC34AZEV3E1A268985VKO343Z16T12YNKDKRM3Y0982F9N54P1J1Z6M41OEJ4U7K34621Q2UIZ88SZ&amp;PageID=8&amp;PrevPageID=2&amp;cpipage=1&amp;RecordID=1639&amp;cbCurrentRecordPosition=20&amp;Mod0LinkToDetails=True&amp;CPIorderBy=Start_Date&amp;CPIsortType=desc&amp;cbCurrentPageSize=25" TargetMode="External"/><Relationship Id="rId453" Type="http://schemas.openxmlformats.org/officeDocument/2006/relationships/hyperlink" Target="https://drive.google.com/open?id=1CQUU9BLISBqZp-bG_H01jH46S9NMKLzt" TargetMode="External"/><Relationship Id="rId574" Type="http://schemas.openxmlformats.org/officeDocument/2006/relationships/drawing" Target="../drawings/drawing1.xml"/><Relationship Id="rId210" Type="http://schemas.openxmlformats.org/officeDocument/2006/relationships/hyperlink" Target="https://oblpct.us.thentiacloud.net/webs/oblpct/service/" TargetMode="External"/><Relationship Id="rId331" Type="http://schemas.openxmlformats.org/officeDocument/2006/relationships/hyperlink" Target="https://hakomiinstitute.com/hakomievent/primary-attachment-therapy-training-2025/" TargetMode="External"/><Relationship Id="rId452" Type="http://schemas.openxmlformats.org/officeDocument/2006/relationships/hyperlink" Target="https://drive.google.com/open?id=1h8Yykefw70tFh5AufpJiLG0bc9YS-4ul" TargetMode="External"/><Relationship Id="rId573" Type="http://schemas.openxmlformats.org/officeDocument/2006/relationships/hyperlink" Target="https://drive.google.com/open?id=1ttS7jZAdkTyucEXT_H5YiGCT2wDUic-P" TargetMode="External"/><Relationship Id="rId370" Type="http://schemas.openxmlformats.org/officeDocument/2006/relationships/hyperlink" Target="https://online.compassionateinquiry.com/offers/rhX2kQ8D/checkout?_gl=1*1hnmjr5*_gcl_au*ODc0MTg1Ni4xNzMxNjY5MjI5*_ga*MTE2MjkxODkxMC4xNzIzNTUyNzg4*_ga_EB1EL6RXJH*MTczMzc1NzY4Ny4xOTUuMS4xNzMzNzU3NzI0LjIzLjAuMA.." TargetMode="External"/><Relationship Id="rId491" Type="http://schemas.openxmlformats.org/officeDocument/2006/relationships/hyperlink" Target="https://nlbha.org/2025conference/" TargetMode="External"/><Relationship Id="rId490" Type="http://schemas.openxmlformats.org/officeDocument/2006/relationships/hyperlink" Target="https://drive.google.com/open?id=17yxd0RlDKNhDUgznfchNTLFLfOje27iH" TargetMode="External"/><Relationship Id="rId129" Type="http://schemas.openxmlformats.org/officeDocument/2006/relationships/hyperlink" Target="https://drive.google.com/open?id=1PKqdBx1Rah-bv2BWhM_sufFeGbLujIIf" TargetMode="External"/><Relationship Id="rId128" Type="http://schemas.openxmlformats.org/officeDocument/2006/relationships/hyperlink" Target="https://drive.google.com/open?id=1N0tZ71NP61XRCGNZ9wfjW6r5PfEpY3r-" TargetMode="External"/><Relationship Id="rId249" Type="http://schemas.openxmlformats.org/officeDocument/2006/relationships/hyperlink" Target="https://drive.google.com/open?id=1bP7J-lhRBA5igAAK98zd6Q6Y7i9Gc1tN" TargetMode="External"/><Relationship Id="rId127" Type="http://schemas.openxmlformats.org/officeDocument/2006/relationships/hyperlink" Target="https://crtandthebrain.com/book/" TargetMode="External"/><Relationship Id="rId248" Type="http://schemas.openxmlformats.org/officeDocument/2006/relationships/hyperlink" Target="https://drive.google.com/open?id=1FOedPhQNPopgQR44MjLHewHtcHJRqMST" TargetMode="External"/><Relationship Id="rId369" Type="http://schemas.openxmlformats.org/officeDocument/2006/relationships/hyperlink" Target="https://drive.google.com/open?id=13BLx6dyi4g2EwlWGYZDqZAk1JAZVpgjS" TargetMode="External"/><Relationship Id="rId126" Type="http://schemas.openxmlformats.org/officeDocument/2006/relationships/hyperlink" Target="https://drive.google.com/open?id=1XLJzbZt3RrmaLEWkMLHzQzk_S4EGpQaw" TargetMode="External"/><Relationship Id="rId247" Type="http://schemas.openxmlformats.org/officeDocument/2006/relationships/hyperlink" Target="https://www.schoolmentalhealth.org/annual-conference/" TargetMode="External"/><Relationship Id="rId368" Type="http://schemas.openxmlformats.org/officeDocument/2006/relationships/hyperlink" Target="http://www.nabsw.org/" TargetMode="External"/><Relationship Id="rId489" Type="http://schemas.openxmlformats.org/officeDocument/2006/relationships/hyperlink" Target="https://www.linkedin.com/posts/northwest-behavioral-health-institute-inc_2025nwbhiconference-savethedate-behavioralhealth-activity-7300246353748668416-DDdi/?utm_source=share&amp;utm_medium=member_android&amp;rcm=ACoAAAKMdBIByYu7cr5CzLDtn1K5b0HwCHAnjl4" TargetMode="External"/><Relationship Id="rId121" Type="http://schemas.openxmlformats.org/officeDocument/2006/relationships/hyperlink" Target="https://www.blackhealthconnect.com/blackhealthcon" TargetMode="External"/><Relationship Id="rId242" Type="http://schemas.openxmlformats.org/officeDocument/2006/relationships/hyperlink" Target="https://therapistdevelopmentcenter.com/product/15-hours-clinical-supervision-foundations" TargetMode="External"/><Relationship Id="rId363" Type="http://schemas.openxmlformats.org/officeDocument/2006/relationships/hyperlink" Target="https://mindsightinstitute.com/product/the-mindsight-approach-to-well-being-a-comprehensive-course-in-interpersonal-neurobiology/" TargetMode="External"/><Relationship Id="rId484" Type="http://schemas.openxmlformats.org/officeDocument/2006/relationships/hyperlink" Target="https://drive.google.com/open?id=1gXaE_RB_l-5r1Zzw7KPsuSNQjrmQ_z0_" TargetMode="External"/><Relationship Id="rId120" Type="http://schemas.openxmlformats.org/officeDocument/2006/relationships/hyperlink" Target="https://app.glueup.com/event/fresh-air-fond-memories-and-a-foundation-for-learning-99854/" TargetMode="External"/><Relationship Id="rId241" Type="http://schemas.openxmlformats.org/officeDocument/2006/relationships/hyperlink" Target="https://drive.google.com/open?id=18dXPoCniIRkvnQEIM08PYUUaqYcUsYlJ" TargetMode="External"/><Relationship Id="rId362" Type="http://schemas.openxmlformats.org/officeDocument/2006/relationships/hyperlink" Target="https://emdrconsulting.com/event/ontario-ca-emdr-training-integrating-emdr-into-your-clinical-practice-5-day-intensive/" TargetMode="External"/><Relationship Id="rId483" Type="http://schemas.openxmlformats.org/officeDocument/2006/relationships/hyperlink" Target="https://emdrconsulting.com/event/atlanta-ga-emdr-training-5-day-intensive-jul-2025/" TargetMode="External"/><Relationship Id="rId240" Type="http://schemas.openxmlformats.org/officeDocument/2006/relationships/hyperlink" Target="https://www.rubinetwork.org/store/" TargetMode="External"/><Relationship Id="rId361" Type="http://schemas.openxmlformats.org/officeDocument/2006/relationships/hyperlink" Target="https://www.thebymc.com/teacher-training" TargetMode="External"/><Relationship Id="rId482" Type="http://schemas.openxmlformats.org/officeDocument/2006/relationships/hyperlink" Target="https://drive.google.com/open?id=1Q2RtlHj-3YWJFi4YJeUjy-fNlm5xwgVs" TargetMode="External"/><Relationship Id="rId360" Type="http://schemas.openxmlformats.org/officeDocument/2006/relationships/hyperlink" Target="https://drive.google.com/open?id=12Gie0u24NvEP5x9Pi95hxD0g0DTfJYaN" TargetMode="External"/><Relationship Id="rId481" Type="http://schemas.openxmlformats.org/officeDocument/2006/relationships/hyperlink" Target="https://www.nbcdi.org/conference25/" TargetMode="External"/><Relationship Id="rId125" Type="http://schemas.openxmlformats.org/officeDocument/2006/relationships/hyperlink" Target="https://drive.google.com/open?id=1jWzZ2BpGdpC-6eQ_dSDvywrEiGULSnoL" TargetMode="External"/><Relationship Id="rId246" Type="http://schemas.openxmlformats.org/officeDocument/2006/relationships/hyperlink" Target="https://web.cvent.com/event/4ffc2832-47f4-4c5a-8fa1-5a071b4e9267/summary" TargetMode="External"/><Relationship Id="rId367" Type="http://schemas.openxmlformats.org/officeDocument/2006/relationships/hyperlink" Target="https://community.theraplay.org/events/EventDetails.aspx?id=1884240&amp;group=" TargetMode="External"/><Relationship Id="rId488" Type="http://schemas.openxmlformats.org/officeDocument/2006/relationships/hyperlink" Target="https://drive.google.com/open?id=1hwygnSj2D7MENkHl76ZUm0ckPmFd1Ed8" TargetMode="External"/><Relationship Id="rId124" Type="http://schemas.openxmlformats.org/officeDocument/2006/relationships/hyperlink" Target="https://drive.google.com/open?id=1GPIHDsoECKWh3JuT6Vx2oBbZgD74nIlU" TargetMode="External"/><Relationship Id="rId245" Type="http://schemas.openxmlformats.org/officeDocument/2006/relationships/hyperlink" Target="https://autism.ucsf.edu/ados-2-introductory-toddler-module-training-october-2nd-4th-2024-online" TargetMode="External"/><Relationship Id="rId366" Type="http://schemas.openxmlformats.org/officeDocument/2006/relationships/hyperlink" Target="https://csh.swoogo.com/summit2025" TargetMode="External"/><Relationship Id="rId487" Type="http://schemas.openxmlformats.org/officeDocument/2006/relationships/hyperlink" Target="https://www.pesi.com/sales/tcom_c_002162_traumagriefdualcertification_dedicatedemail-1395664" TargetMode="External"/><Relationship Id="rId123" Type="http://schemas.openxmlformats.org/officeDocument/2006/relationships/hyperlink" Target="https://projectmanagementacademy.net/project-management-foundations" TargetMode="External"/><Relationship Id="rId244" Type="http://schemas.openxmlformats.org/officeDocument/2006/relationships/hyperlink" Target="https://drive.google.com/open?id=1vwSqwvsALLC13WBrKV_CO-4-gxsQNGUI" TargetMode="External"/><Relationship Id="rId365" Type="http://schemas.openxmlformats.org/officeDocument/2006/relationships/hyperlink" Target="https://mindsightinstitute.com/product/transforming-anxiety-and-stress-by-integrating-the-embodied-brain/" TargetMode="External"/><Relationship Id="rId486" Type="http://schemas.openxmlformats.org/officeDocument/2006/relationships/hyperlink" Target="https://drive.google.com/open?id=1garjPqWuZJPDPbP4agaYWoPTDFjJEReb" TargetMode="External"/><Relationship Id="rId122" Type="http://schemas.openxmlformats.org/officeDocument/2006/relationships/hyperlink" Target="https://drive.google.com/open?id=1TY05yBE6hyySBgimvm_Nrn42m73oO0T5" TargetMode="External"/><Relationship Id="rId243" Type="http://schemas.openxmlformats.org/officeDocument/2006/relationships/hyperlink" Target="https://drive.google.com/open?id=1_v0M1FMHF-JYoAd-2qmIC-08v__lxr9d" TargetMode="External"/><Relationship Id="rId364" Type="http://schemas.openxmlformats.org/officeDocument/2006/relationships/hyperlink" Target="https://mindsightinstitute.com/product/transforming-anxiety-and-stress-by-integrating-the-embodied-brain/" TargetMode="External"/><Relationship Id="rId485" Type="http://schemas.openxmlformats.org/officeDocument/2006/relationships/hyperlink" Target="https://drive.google.com/open?id=1dBi0ftThm2XNJ3ADSgB9H87xeJxyXzP3" TargetMode="External"/><Relationship Id="rId95" Type="http://schemas.openxmlformats.org/officeDocument/2006/relationships/hyperlink" Target="https://drive.google.com/open?id=16yTThKR8WnJu19MoQXp3R_NY9aOZQC07" TargetMode="External"/><Relationship Id="rId94" Type="http://schemas.openxmlformats.org/officeDocument/2006/relationships/hyperlink" Target="https://emdrconsulting.com/event/everett-wa-emdr-training-aug-sep-2024/" TargetMode="External"/><Relationship Id="rId97" Type="http://schemas.openxmlformats.org/officeDocument/2006/relationships/hyperlink" Target="https://www.google.com/travel/flights/booking?tfs=CBwQAhpFEgoyMDI0LTA3LTIyIiAKA1BEWBIKMjAyNC0wNy0yMhoDU0ZPKgJGOTIEMzM2MWoHCAESA1BEWHIMCAISCC9tLzBkNmxwGkUSCjIwMjQtMDctMjUiIAoDU0ZPEgoyMDI0LTA3LTI1GgNQRFgqAkY5MgQzMzYyagwIAhIIL20vMGQ2bHByBwgBEgNQRFhAAUgBcAGCAQsI____________AZgBAQ&amp;tfu=EgIIACIGCgEwCgEx&amp;hl=en&amp;gl=us&amp;curr=USD" TargetMode="External"/><Relationship Id="rId96" Type="http://schemas.openxmlformats.org/officeDocument/2006/relationships/hyperlink" Target="https://www.booking.com/searchresults.html?aid=356929&amp;label=metagha-link-MRUS-hotel-4184093_dev-desktop_los-3_bw-87_dow-Monday_defdate-0_room-0_gstadt-1_rateid-public_aud-0_gacid-6623578701_mcid-10_ppa-0_clrid-0_ad-1_gstkid-0_checkin-20240722_ppt-_lp-2840_r-2915155387526542289&amp;no_rooms=1&amp;srpvid=67c873e6ab730010&amp;highlighted_hotels=4184093&amp;checkin=2024-07-22&amp;redirected=1&amp;city=20015732&amp;hlrd=with_dates&amp;group_adults=1&amp;source=hotel&amp;group_children=0&amp;checkout=2024-07-25&amp;keep_landing=1&amp;sid=f5ba65efeb864c1370363eefda2d20f6" TargetMode="External"/><Relationship Id="rId99" Type="http://schemas.openxmlformats.org/officeDocument/2006/relationships/hyperlink" Target="https://www.booking.com/searchresults.html?aid=356929&amp;label=metagha-link-MRUS-hotel-4184093_dev-desktop_los-3_bw-87_dow-Monday_defdate-0_room-0_gstadt-1_rateid-public_aud-0_gacid-6623578701_mcid-10_ppa-0_clrid-0_ad-1_gstkid-0_checkin-20240722_ppt-_lp-2840_r-2915155387526542289&amp;no_rooms=1&amp;srpvid=67c873e6ab730010&amp;highlighted_hotels=4184093&amp;checkin=2024-07-22&amp;redirected=1&amp;city=20015732&amp;hlrd=with_dates&amp;group_adults=1&amp;source=hotel&amp;group_children=0&amp;checkout=2024-07-25&amp;keep_landing=1&amp;sid=f5ba65efeb864c1370363eefda2d20f6" TargetMode="External"/><Relationship Id="rId480" Type="http://schemas.openxmlformats.org/officeDocument/2006/relationships/hyperlink" Target="https://drive.google.com/open?id=1o2hXC9pROP1m78DuuGC0-oqvehVQHkMt" TargetMode="External"/><Relationship Id="rId98" Type="http://schemas.openxmlformats.org/officeDocument/2006/relationships/hyperlink" Target="https://www.booking.com/searchresults.html?aid=356929&amp;label=metagha-link-MRUS-hotel-4184093_dev-desktop_los-3_bw-87_dow-Monday_defdate-0_room-0_gstadt-1_rateid-public_aud-0_gacid-6623578701_mcid-10_ppa-0_clrid-0_ad-1_gstkid-0_checkin-20240722_ppt-_lp-2840_r-2915155387526542289&amp;no_rooms=1&amp;srpvid=67c873e6ab730010&amp;highlighted_hotels=4184093&amp;checkin=2024-07-22&amp;redirected=1&amp;city=20015732&amp;hlrd=with_dates&amp;group_adults=1&amp;source=hotel&amp;group_children=0&amp;checkout=2024-07-25&amp;keep_landing=1&amp;sid=f5ba65efeb864c1370363eefda2d20f6" TargetMode="External"/><Relationship Id="rId91" Type="http://schemas.openxmlformats.org/officeDocument/2006/relationships/hyperlink" Target="https://multco.wd1.myworkdayjobs.com/Multco_Jobs/job/Portland-OR/APS-Investigator-Screener---MHC----1500-Hiring-Incentive_R-14472" TargetMode="External"/><Relationship Id="rId90" Type="http://schemas.openxmlformats.org/officeDocument/2006/relationships/hyperlink" Target="https://drive.google.com/open?id=1wpcTAWU5UDKg1ep6XOjCZz7byppfOGR_" TargetMode="External"/><Relationship Id="rId93" Type="http://schemas.openxmlformats.org/officeDocument/2006/relationships/hyperlink" Target="https://graduate.lclark.edu/calendars/events/event/357842-clinical-supervision-online" TargetMode="External"/><Relationship Id="rId92" Type="http://schemas.openxmlformats.org/officeDocument/2006/relationships/hyperlink" Target="https://drive.google.com/open?id=1wn2pQli-R7LWCQyquaIHMndmK94K1WBl" TargetMode="External"/><Relationship Id="rId118" Type="http://schemas.openxmlformats.org/officeDocument/2006/relationships/hyperlink" Target="https://catalog.pesi.com/item/suicide-selfharm-stopping-pain-111935" TargetMode="External"/><Relationship Id="rId239" Type="http://schemas.openxmlformats.org/officeDocument/2006/relationships/hyperlink" Target="https://drive.google.com/open?id=1iOySA3pT46j_8ttY9FV79lnhnUf9hn-M" TargetMode="External"/><Relationship Id="rId117" Type="http://schemas.openxmlformats.org/officeDocument/2006/relationships/hyperlink" Target="https://catalog.pesi.com/item/culturally-responsive-clinical-supervision-ethical-traumainformed-multicultural-supervision-strategies-123352" TargetMode="External"/><Relationship Id="rId238" Type="http://schemas.openxmlformats.org/officeDocument/2006/relationships/hyperlink" Target="https://my.corporatecompliance.org/s/community-event?id=a1mUQ000000XfZ3YAK" TargetMode="External"/><Relationship Id="rId359" Type="http://schemas.openxmlformats.org/officeDocument/2006/relationships/hyperlink" Target="https://drive.google.com/open?id=10DsjStP681TXZFxtZyAUiniEpMdy2nVh" TargetMode="External"/><Relationship Id="rId116" Type="http://schemas.openxmlformats.org/officeDocument/2006/relationships/hyperlink" Target="https://catalog.pesi.com/item/emotional-freedom-techniques-eft-trauma-tapping-transform-treatment-outcomes-clinical-practice-131309" TargetMode="External"/><Relationship Id="rId237" Type="http://schemas.openxmlformats.org/officeDocument/2006/relationships/hyperlink" Target="https://drive.google.com/open?id=1ratZHRlNa5UPjWa5xcekgrJ35nrooZMo" TargetMode="External"/><Relationship Id="rId358" Type="http://schemas.openxmlformats.org/officeDocument/2006/relationships/hyperlink" Target="https://catalog.pesi.com/sales/bh_c_001708_cgptraining_organic-680494" TargetMode="External"/><Relationship Id="rId479" Type="http://schemas.openxmlformats.org/officeDocument/2006/relationships/hyperlink" Target="https://products.brookespublishing.com/Uniting-Infant-Mental-Health-and-the-Pyramid-Model-P1651.aspx?utm_medium=email&amp;utm_source=exacttarget&amp;utm_campaign=04302025-ec-newproduct-nenide-promo-multi" TargetMode="External"/><Relationship Id="rId115" Type="http://schemas.openxmlformats.org/officeDocument/2006/relationships/hyperlink" Target="https://drive.google.com/open?id=17en1EL2J3Oa547Ymyvpwaoc5fyyvh-6kbaGkT0eo354" TargetMode="External"/><Relationship Id="rId236" Type="http://schemas.openxmlformats.org/officeDocument/2006/relationships/hyperlink" Target="https://www.aswb.org/exam/" TargetMode="External"/><Relationship Id="rId357" Type="http://schemas.openxmlformats.org/officeDocument/2006/relationships/hyperlink" Target="https://us17.campaign-archive.com/?e=5cd07ca08f&amp;i=*%7CITERATION_UNIQUE_ID%7C*&amp;u=e376636b3ce5e38dbed22ee94&amp;id=a718ec30b5" TargetMode="External"/><Relationship Id="rId478" Type="http://schemas.openxmlformats.org/officeDocument/2006/relationships/hyperlink" Target="https://joy-degruy-publications.thinkific.com/checkout" TargetMode="External"/><Relationship Id="rId119" Type="http://schemas.openxmlformats.org/officeDocument/2006/relationships/hyperlink" Target="https://catalog.pesi.com/item/rewire-anxious-brain-neuroscienceinformed-treatment-anxiety-panic-worry-126761" TargetMode="External"/><Relationship Id="rId110" Type="http://schemas.openxmlformats.org/officeDocument/2006/relationships/hyperlink" Target="https://drive.google.com/open?id=19_HU9hoFYlGWj69v96JflVcaWE4qV3p-" TargetMode="External"/><Relationship Id="rId231" Type="http://schemas.openxmlformats.org/officeDocument/2006/relationships/hyperlink" Target="https://multnomahhealth.udemy.com/organization/invitations/invitation-verification-required/?data=3%40WhIl0otJfm16B-BdTEanjXeQBRkA3ZYzKvOLRMSoD7sz5tcbKl51h9myAZ9rjSFddbCOmzd0j5yY3DnNFUFgo8sdLCVvHs7kXqrrmV0%3D&amp;utm_source=sendgrid.com&amp;utm_medium=email&amp;utm_campaign=email" TargetMode="External"/><Relationship Id="rId352" Type="http://schemas.openxmlformats.org/officeDocument/2006/relationships/hyperlink" Target="https://ce4less.com/?utm_source=google&amp;utm_medium=cpc&amp;utm_campaign=PST%20N%20_%20Brand%20-%20Core&amp;utm_term=ceu4less&amp;gad_source=1&amp;gclid=Cj0KCQiAgJa6BhCOARIsAMiL7V9Woh6T7kyyG-KRATF9CHWuiDKqZdfTB2WMaK7FpRubeY6Wz36MrIAaAj3qEALw_wcB" TargetMode="External"/><Relationship Id="rId473" Type="http://schemas.openxmlformats.org/officeDocument/2006/relationships/hyperlink" Target="https://drive.google.com/open?id=1rqxi90wOr9oHozbM4t4eMsCIuOctSDWmF6PuFjQFWE4" TargetMode="External"/><Relationship Id="rId230" Type="http://schemas.openxmlformats.org/officeDocument/2006/relationships/hyperlink" Target="https://drive.google.com/open?id=1w00mmmIUZgf1Nz0vKOuJY0lR698NebOh" TargetMode="External"/><Relationship Id="rId351" Type="http://schemas.openxmlformats.org/officeDocument/2006/relationships/hyperlink" Target="https://drive.google.com/open?id=1OYWsegEVo_FzeGKmg94ZdaPgHWgwzvG6" TargetMode="External"/><Relationship Id="rId472" Type="http://schemas.openxmlformats.org/officeDocument/2006/relationships/hyperlink" Target="https://drive.google.com/open?id=1JckN_vTeU3s4PUOfLeH3BMq-FZEj2Iwi" TargetMode="External"/><Relationship Id="rId350" Type="http://schemas.openxmlformats.org/officeDocument/2006/relationships/hyperlink" Target="https://drive.google.com/open?id=178GvVN-hRN-YGVK2yfA78m4o4b_mIKFF" TargetMode="External"/><Relationship Id="rId471" Type="http://schemas.openxmlformats.org/officeDocument/2006/relationships/hyperlink" Target="https://drive.google.com/open?id=1OQAqjTXc8bIDNT5HAdQOXlCrW1sPgRw4" TargetMode="External"/><Relationship Id="rId470" Type="http://schemas.openxmlformats.org/officeDocument/2006/relationships/hyperlink" Target="https://madwomantherapy.com/forgetmenot" TargetMode="External"/><Relationship Id="rId114" Type="http://schemas.openxmlformats.org/officeDocument/2006/relationships/hyperlink" Target="https://drive.google.com/open?id=15-C8wG7kh6tzO2pgTYjHamj0d69NKaIO" TargetMode="External"/><Relationship Id="rId235" Type="http://schemas.openxmlformats.org/officeDocument/2006/relationships/hyperlink" Target="https://drive.google.com/open?id=1TCq8r7nqr_JnamA9sg2izj9gAcBMVO6M" TargetMode="External"/><Relationship Id="rId356" Type="http://schemas.openxmlformats.org/officeDocument/2006/relationships/hyperlink" Target="https://us17.campaign-archive.com/?e=5cd07ca08f&amp;i=*%7CITERATION_UNIQUE_ID%7C*&amp;u=e376636b3ce5e38dbed22ee94&amp;id=a718ec30b5" TargetMode="External"/><Relationship Id="rId477" Type="http://schemas.openxmlformats.org/officeDocument/2006/relationships/hyperlink" Target="https://www.us-amsa.org/memberships/" TargetMode="External"/><Relationship Id="rId113" Type="http://schemas.openxmlformats.org/officeDocument/2006/relationships/hyperlink" Target="https://oregonache.org/meetinginfo.php" TargetMode="External"/><Relationship Id="rId234" Type="http://schemas.openxmlformats.org/officeDocument/2006/relationships/hyperlink" Target="https://college.lclark.edu/calendars/events/event/358474-clinical-supervision-online" TargetMode="External"/><Relationship Id="rId355" Type="http://schemas.openxmlformats.org/officeDocument/2006/relationships/hyperlink" Target="https://socialworkfoundations.com/product/gulf-coast-social-work-conference-2025/" TargetMode="External"/><Relationship Id="rId476" Type="http://schemas.openxmlformats.org/officeDocument/2006/relationships/hyperlink" Target="https://www.lswo2025.com/" TargetMode="External"/><Relationship Id="rId112" Type="http://schemas.openxmlformats.org/officeDocument/2006/relationships/hyperlink" Target="https://graduate.lclark.edu/calendars/events/event/357537-suicide-assessment-treatment-and-management-a" TargetMode="External"/><Relationship Id="rId233" Type="http://schemas.openxmlformats.org/officeDocument/2006/relationships/hyperlink" Target="https://web.cvent.com/event/4ffc2832-47f4-4c5a-8fa1-5a071b4e9267/summary" TargetMode="External"/><Relationship Id="rId354" Type="http://schemas.openxmlformats.org/officeDocument/2006/relationships/hyperlink" Target="https://drive.google.com/open?id=1bmlHew1ZDFFEhurU4hShCEDhqf5JpxGe" TargetMode="External"/><Relationship Id="rId475" Type="http://schemas.openxmlformats.org/officeDocument/2006/relationships/hyperlink" Target="https://therapywisdom.securechkout.net/healing-the-fragmented-selves-647" TargetMode="External"/><Relationship Id="rId111" Type="http://schemas.openxmlformats.org/officeDocument/2006/relationships/hyperlink" Target="https://graduate.lclark.edu/calendars/events/event/357686-clinical-supervision-of-mental-health-providers" TargetMode="External"/><Relationship Id="rId232" Type="http://schemas.openxmlformats.org/officeDocument/2006/relationships/hyperlink" Target="https://aacap.confex.com/aacap/2024/meetinginfo.cgi" TargetMode="External"/><Relationship Id="rId353" Type="http://schemas.openxmlformats.org/officeDocument/2006/relationships/hyperlink" Target="https://www.eventbrite.com/e/finding-a-way-through-tickets-1091870386719?utm-campaign=social&amp;utm-content=attendeeshare&amp;utm-medium=discovery&amp;utm-term=listing&amp;utm-source=cp&amp;aff=ebdsshcopyurl" TargetMode="External"/><Relationship Id="rId474" Type="http://schemas.openxmlformats.org/officeDocument/2006/relationships/hyperlink" Target="https://ron-unger-lcsw.ce-go.com/courses/cbt-for-psychosis-an-individualized-recovery-oriented-approach" TargetMode="External"/><Relationship Id="rId305" Type="http://schemas.openxmlformats.org/officeDocument/2006/relationships/hyperlink" Target="https://events.blackthorn.io/en/3hCnqZ6/g/Mjk62em8He/basic-principles-of-somatic-experiencing-for-bipoc-november-9-10-2024-4a4I3h3ki2/overview" TargetMode="External"/><Relationship Id="rId426" Type="http://schemas.openxmlformats.org/officeDocument/2006/relationships/hyperlink" Target="https://drive.google.com/open?id=1Bb3-7DuRHFLKDJNf6Xj2mQzXoaSN7Fcg" TargetMode="External"/><Relationship Id="rId547" Type="http://schemas.openxmlformats.org/officeDocument/2006/relationships/hyperlink" Target="https://www.linesforlife.org/oregon-conference-on-opioids-and-other-drugs-pain-and-addiction-treatment/?fbclid=IwY2xjawL97bhleHRuA2FlbQIxMABicmlkETBrM1FDYnJPbzVPOG9TSVpPAR6XYEKsSKBfI0sJju6fnrSZdY6vd2NFbf4X1bPVqYcKEQr7HnBv-j68x9AFyA_aem__VBI1SxFlGbGffI8PULZqQ" TargetMode="External"/><Relationship Id="rId304" Type="http://schemas.openxmlformats.org/officeDocument/2006/relationships/hyperlink" Target="https://events.blackthorn.io/en/3hCnqZ6/g/Mjk62em8He/basic-principles-of-somatic-experiencing-for-bipoc-november-9-10-2024-4a4I3h3ki2/overview" TargetMode="External"/><Relationship Id="rId425" Type="http://schemas.openxmlformats.org/officeDocument/2006/relationships/hyperlink" Target="https://aas.mycrowdwisdom.com/cw/course-details?entryId=14494504&amp;itemId=716304&amp;subscribed=false" TargetMode="External"/><Relationship Id="rId546" Type="http://schemas.openxmlformats.org/officeDocument/2006/relationships/hyperlink" Target="https://innovationsinpsychotherapy.com/" TargetMode="External"/><Relationship Id="rId303" Type="http://schemas.openxmlformats.org/officeDocument/2006/relationships/hyperlink" Target="https://www.mdstaff.com/conference/" TargetMode="External"/><Relationship Id="rId424" Type="http://schemas.openxmlformats.org/officeDocument/2006/relationships/hyperlink" Target="https://www.oregon.gov/blsw/pages/renewalsstatuschange.aspx" TargetMode="External"/><Relationship Id="rId545" Type="http://schemas.openxmlformats.org/officeDocument/2006/relationships/hyperlink" Target="https://www.mindwellnesscoaching.com/wingwave-seminar" TargetMode="External"/><Relationship Id="rId302" Type="http://schemas.openxmlformats.org/officeDocument/2006/relationships/hyperlink" Target="https://www.thetaskforce.org/creating-change/faq/" TargetMode="External"/><Relationship Id="rId423" Type="http://schemas.openxmlformats.org/officeDocument/2006/relationships/hyperlink" Target="https://graduate.lclark.edu/calendars/events/event/354729-balancing-life-and-leadership-a-courage-to-lead-retre" TargetMode="External"/><Relationship Id="rId544" Type="http://schemas.openxmlformats.org/officeDocument/2006/relationships/hyperlink" Target="https://wingwave.com/en/training/wingwave-usa" TargetMode="External"/><Relationship Id="rId309" Type="http://schemas.openxmlformats.org/officeDocument/2006/relationships/hyperlink" Target="https://brightmorning.thinkific.com/memberships/all-inclusive-membership-july-2024-june-2025-1" TargetMode="External"/><Relationship Id="rId308" Type="http://schemas.openxmlformats.org/officeDocument/2006/relationships/hyperlink" Target="https://www.orimha.org/reflective-supervision-consultation-registry" TargetMode="External"/><Relationship Id="rId429" Type="http://schemas.openxmlformats.org/officeDocument/2006/relationships/hyperlink" Target="https://drive.google.com/open?id=1cfGUjiZ-n-u8oU_p_7bD9xj4j6OLp9s4" TargetMode="External"/><Relationship Id="rId307" Type="http://schemas.openxmlformats.org/officeDocument/2006/relationships/hyperlink" Target="https://www.a4pt.org/general/register_member_type.asp" TargetMode="External"/><Relationship Id="rId428" Type="http://schemas.openxmlformats.org/officeDocument/2006/relationships/hyperlink" Target="https://drive.google.com/open?id=16Zl1Buz5Bn1wlUeheW-pigLzmEAAsEi0" TargetMode="External"/><Relationship Id="rId549" Type="http://schemas.openxmlformats.org/officeDocument/2006/relationships/hyperlink" Target="https://drive.google.com/open?id=1riT12o5clmfyIsB8_rpkzvJETATilHEi" TargetMode="External"/><Relationship Id="rId306" Type="http://schemas.openxmlformats.org/officeDocument/2006/relationships/hyperlink" Target="https://www.joydegruy.com/online-courses" TargetMode="External"/><Relationship Id="rId427" Type="http://schemas.openxmlformats.org/officeDocument/2006/relationships/hyperlink" Target="https://docs.google.com/document/d/1VQbf8UQNOHO6xnuyFST1wPIzk8STBKQN/edit" TargetMode="External"/><Relationship Id="rId548" Type="http://schemas.openxmlformats.org/officeDocument/2006/relationships/hyperlink" Target="https://drive.google.com/open?id=1BUaKdGImxzBl72pwpSMnxIHqrYUNdOKJ" TargetMode="External"/><Relationship Id="rId301" Type="http://schemas.openxmlformats.org/officeDocument/2006/relationships/hyperlink" Target="https://www.6sigmacertificationonline.com/continuous-improvement-manager-certification/" TargetMode="External"/><Relationship Id="rId422" Type="http://schemas.openxmlformats.org/officeDocument/2006/relationships/hyperlink" Target="https://ffd4eca8-0427-48fc-9803-821106b704c7.paylinks.godaddy.com/AylaTerryMitchell" TargetMode="External"/><Relationship Id="rId543" Type="http://schemas.openxmlformats.org/officeDocument/2006/relationships/hyperlink" Target="https://app.glueup.com/event/2025-behavioral-health-training-summit-146569/home.html" TargetMode="External"/><Relationship Id="rId300" Type="http://schemas.openxmlformats.org/officeDocument/2006/relationships/hyperlink" Target="https://drive.google.com/open?id=1JD_jZMuZPgvVle6SMX8LnUb7jNFz6X5W" TargetMode="External"/><Relationship Id="rId421" Type="http://schemas.openxmlformats.org/officeDocument/2006/relationships/hyperlink" Target="https://www.6sigmacertificationonline.com/ssgi-career-track-certifications/lean-six-sigma-healthcare-professional-lsshp/" TargetMode="External"/><Relationship Id="rId542" Type="http://schemas.openxmlformats.org/officeDocument/2006/relationships/hyperlink" Target="https://drive.google.com/open?id=1kP2nRT7SkkDzs_dYXwLOUWRTiTmbee0B" TargetMode="External"/><Relationship Id="rId420" Type="http://schemas.openxmlformats.org/officeDocument/2006/relationships/hyperlink" Target="https://hmccoregon.com/event/jefas-y-cafe-2/" TargetMode="External"/><Relationship Id="rId541" Type="http://schemas.openxmlformats.org/officeDocument/2006/relationships/hyperlink" Target="https://drive.google.com/open?id=1r6lfuQbcDyPYicGBu-Oqc6pKVAM4UYv0" TargetMode="External"/><Relationship Id="rId540" Type="http://schemas.openxmlformats.org/officeDocument/2006/relationships/hyperlink" Target="https://www.amanet.org/coaching-a-strategic-tool-for-effective-leadership/" TargetMode="External"/><Relationship Id="rId415" Type="http://schemas.openxmlformats.org/officeDocument/2006/relationships/hyperlink" Target="https://suicidology.org/training-certifications/crisis-specialist-training/" TargetMode="External"/><Relationship Id="rId536" Type="http://schemas.openxmlformats.org/officeDocument/2006/relationships/hyperlink" Target="https://www.apha.org/events-and-meetings/annual?_gl=1*4wl643*_gcl_au*MTE5MTc1MzI3MS4xNzUzMjI0Nzg3LjEyMTc0ODQ3MTcuMTc1MzIyNTc4OS4xNzUzMjI1Nzg4" TargetMode="External"/><Relationship Id="rId414" Type="http://schemas.openxmlformats.org/officeDocument/2006/relationships/hyperlink" Target="https://www.daystared.com/registration/" TargetMode="External"/><Relationship Id="rId535" Type="http://schemas.openxmlformats.org/officeDocument/2006/relationships/hyperlink" Target="https://www.apha.org/events-and-meetings/annual/registration-information" TargetMode="External"/><Relationship Id="rId413" Type="http://schemas.openxmlformats.org/officeDocument/2006/relationships/hyperlink" Target="https://isps-us.ce-go.com/social-recovery-therapy-course-dr-joanne-hodgekins" TargetMode="External"/><Relationship Id="rId534" Type="http://schemas.openxmlformats.org/officeDocument/2006/relationships/hyperlink" Target="https://www.oregon.gov/blsw/Pages/CSWAInformation.aspx" TargetMode="External"/><Relationship Id="rId412" Type="http://schemas.openxmlformats.org/officeDocument/2006/relationships/hyperlink" Target="https://drive.google.com/open?id=1ueLRb_ocLyRhzhSGN3Oev1X0muyIf8gX" TargetMode="External"/><Relationship Id="rId533" Type="http://schemas.openxmlformats.org/officeDocument/2006/relationships/hyperlink" Target="https://drive.google.com/open?id=1mfjgippEZFBuYhPzzifxE0s-3vExBQAb" TargetMode="External"/><Relationship Id="rId419" Type="http://schemas.openxmlformats.org/officeDocument/2006/relationships/hyperlink" Target="https://suicidology.org/training-certifications/crisis-specialist-training/" TargetMode="External"/><Relationship Id="rId418" Type="http://schemas.openxmlformats.org/officeDocument/2006/relationships/hyperlink" Target="https://drive.google.com/open?id=1eWQQJBXbRFXtev4xYbvkgGyDdFpTxs-L" TargetMode="External"/><Relationship Id="rId539" Type="http://schemas.openxmlformats.org/officeDocument/2006/relationships/hyperlink" Target="https://innovationsinpsychotherapy.com/" TargetMode="External"/><Relationship Id="rId417" Type="http://schemas.openxmlformats.org/officeDocument/2006/relationships/hyperlink" Target="https://members.hmccoregon.com/events/details/jefas-y-cafe-48?_gl=1*1so2q0r*_ga*MTEyMDY5OTcwMC4xNzA5NTc2NjY1*_ga_FEP97Z0LH3*MTc0MDAwNjA2MC4yOC4wLjE3NDAwMDYwNjAuMC4wLjA." TargetMode="External"/><Relationship Id="rId538" Type="http://schemas.openxmlformats.org/officeDocument/2006/relationships/hyperlink" Target="https://a.co/d/fKvNNHc" TargetMode="External"/><Relationship Id="rId416" Type="http://schemas.openxmlformats.org/officeDocument/2006/relationships/hyperlink" Target="https://drive.google.com/open?id=1qY6gBwdT3TGIDZUUSYCF_iy_41eTXNn_" TargetMode="External"/><Relationship Id="rId537" Type="http://schemas.openxmlformats.org/officeDocument/2006/relationships/hyperlink" Target="https://drive.google.com/open?id=1L8E7jZ-gISB8ZR-yW1yKW3K0nxqbKhWA" TargetMode="External"/><Relationship Id="rId411" Type="http://schemas.openxmlformats.org/officeDocument/2006/relationships/hyperlink" Target="https://www.oregon.gov/cjc/summit2025/Pages/default.aspx" TargetMode="External"/><Relationship Id="rId532" Type="http://schemas.openxmlformats.org/officeDocument/2006/relationships/hyperlink" Target="https://drive.google.com/open?id=14ZxYWHi1FfuVj4bpCgxiRFbDlQr64Flr" TargetMode="External"/><Relationship Id="rId410" Type="http://schemas.openxmlformats.org/officeDocument/2006/relationships/hyperlink" Target="https://graduate.lclark.edu/calendars/events/event/362405-clinical-supervision-online" TargetMode="External"/><Relationship Id="rId531" Type="http://schemas.openxmlformats.org/officeDocument/2006/relationships/hyperlink" Target="https://graduate.lclark.edu/calendars/events/event/358652-an-introduction-to-internal-family-systems-therapy-on" TargetMode="External"/><Relationship Id="rId530" Type="http://schemas.openxmlformats.org/officeDocument/2006/relationships/hyperlink" Target="https://aas.mycrowdwisdom.com/cw/course-details?entryId=14494504&amp;itemId=716304&amp;subscribed=false" TargetMode="External"/><Relationship Id="rId206" Type="http://schemas.openxmlformats.org/officeDocument/2006/relationships/hyperlink" Target="https://courses.shinebrightschool.com/bundles/shine-course-white-feminism-a-int-it" TargetMode="External"/><Relationship Id="rId327" Type="http://schemas.openxmlformats.org/officeDocument/2006/relationships/hyperlink" Target="https://mail.google.com/mail/u/0/" TargetMode="External"/><Relationship Id="rId448" Type="http://schemas.openxmlformats.org/officeDocument/2006/relationships/hyperlink" Target="https://suicidology.org/training-certifications/crisis-specialist-training/" TargetMode="External"/><Relationship Id="rId569" Type="http://schemas.openxmlformats.org/officeDocument/2006/relationships/hyperlink" Target="https://drive.google.com/open?id=1f4Fm7V_IH_zhwdVyDZ3A41RgfY-L7lu9" TargetMode="External"/><Relationship Id="rId205" Type="http://schemas.openxmlformats.org/officeDocument/2006/relationships/hyperlink" Target="https://drive.google.com/open?id=1c9GDvtQP6wd9AnIqxphkj2Z7juuhzQO2" TargetMode="External"/><Relationship Id="rId326" Type="http://schemas.openxmlformats.org/officeDocument/2006/relationships/hyperlink" Target="https://www.drjeffgardere.com/services/" TargetMode="External"/><Relationship Id="rId447" Type="http://schemas.openxmlformats.org/officeDocument/2006/relationships/hyperlink" Target="https://www.activateresiliency.com/start-training" TargetMode="External"/><Relationship Id="rId568" Type="http://schemas.openxmlformats.org/officeDocument/2006/relationships/hyperlink" Target="https://secure-enrollment.therapywisdom.com/tist-2-and-3-2024-discount" TargetMode="External"/><Relationship Id="rId204" Type="http://schemas.openxmlformats.org/officeDocument/2006/relationships/hyperlink" Target="https://my.corporatecompliance.org/s/community-event?id=a1mUQ0000011pzBYAQ" TargetMode="External"/><Relationship Id="rId325" Type="http://schemas.openxmlformats.org/officeDocument/2006/relationships/hyperlink" Target="https://www.gbabsw.org/event-details/nabsw-national-conference-in-richmond-va" TargetMode="External"/><Relationship Id="rId446" Type="http://schemas.openxmlformats.org/officeDocument/2006/relationships/hyperlink" Target="https://drive.google.com/file/d/13exQJy8fCoalcLjQmWA4i2xEWZOAE154/view?usp=sharing" TargetMode="External"/><Relationship Id="rId567" Type="http://schemas.openxmlformats.org/officeDocument/2006/relationships/hyperlink" Target="https://events.blackthorn.io/en/3hCnqZ6/a/YU9tll8m4W2vZaeDzP7nXTSaoyriFAKgGj513V8MbS17mUA1mcfNA2DoVRTWnak5/portland-or-beginning-iii-may-22-25-2026-4a4IUQcjwz/overview" TargetMode="External"/><Relationship Id="rId203" Type="http://schemas.openxmlformats.org/officeDocument/2006/relationships/hyperlink" Target="https://ptaccollaborative.org/conference/" TargetMode="External"/><Relationship Id="rId324" Type="http://schemas.openxmlformats.org/officeDocument/2006/relationships/hyperlink" Target="https://drive.google.com/open?id=1N-PAwLarvBq7o-fxkm6MYjv1DmYRs5YZ" TargetMode="External"/><Relationship Id="rId445" Type="http://schemas.openxmlformats.org/officeDocument/2006/relationships/hyperlink" Target="https://traumaresearchfoundation.org/lp/36th-annual-boston-trauma-conference/?utm_source=ActiveCampaign&amp;utm_medium=email&amp;utm_content=Time%20is%20running%20out&amp;utm_campaign=36TC%202025%20Email%208%20-%203%2F19%2F25&amp;vgo_ee=xL0Mk1nIiZOsvr%2BwaJy6gxxDAfG8GDUdRHt0BJPJFfNKPKrdtA%3D%3D%3AtirgjDBRNSOUy4GSrNQ3JsXDxVWog5Je" TargetMode="External"/><Relationship Id="rId566" Type="http://schemas.openxmlformats.org/officeDocument/2006/relationships/hyperlink" Target="https://docs.google.com/forms/d/e/1FAIpQLScSIxAkRxe04_KD3LvhQIkhpUmxnx8zrWq5HIMrflzElwRBTw/viewform?fbzx=8927373915418027297" TargetMode="External"/><Relationship Id="rId209" Type="http://schemas.openxmlformats.org/officeDocument/2006/relationships/hyperlink" Target="https://drive.google.com/open?id=1SEyjLXscIUQnJw3zIkFzz8bQhYg1rYbJ" TargetMode="External"/><Relationship Id="rId208" Type="http://schemas.openxmlformats.org/officeDocument/2006/relationships/hyperlink" Target="https://www.eventbrite.com/e/the-climate-crisis-in-the-therapy-room-4-ceu-clinician-training-tickets-952927360387?aff=oddtdtcreator" TargetMode="External"/><Relationship Id="rId329" Type="http://schemas.openxmlformats.org/officeDocument/2006/relationships/hyperlink" Target="https://joy-degruy-publications.thinkific.com/courses/2025-spring-african-american-multigenerational-trauma-implementing-models-of-change" TargetMode="External"/><Relationship Id="rId207" Type="http://schemas.openxmlformats.org/officeDocument/2006/relationships/hyperlink" Target="https://drive.google.com/open?id=1NpiETIojjZ5q0Dc8vVJDsjDxwI9RTsm1" TargetMode="External"/><Relationship Id="rId328" Type="http://schemas.openxmlformats.org/officeDocument/2006/relationships/hyperlink" Target="https://hmccoregon.com/event/jefas-y-cafe/" TargetMode="External"/><Relationship Id="rId449" Type="http://schemas.openxmlformats.org/officeDocument/2006/relationships/hyperlink" Target="https://drive.google.com/open?id=1PfdUTPSTPaj4ICRLvjnL4iGtgtv1KPhC" TargetMode="External"/><Relationship Id="rId440" Type="http://schemas.openxmlformats.org/officeDocument/2006/relationships/hyperlink" Target="https://drive.google.com/open?id=19tqQkWXnwrgFhqv8raJk2VNHQXj-_-de" TargetMode="External"/><Relationship Id="rId561" Type="http://schemas.openxmlformats.org/officeDocument/2006/relationships/hyperlink" Target="https://drive.google.com/open?id=1eqTlKpBWbx95dn4G2PdRJ_gG9Ql0jsz1" TargetMode="External"/><Relationship Id="rId560" Type="http://schemas.openxmlformats.org/officeDocument/2006/relationships/hyperlink" Target="https://www.socialworkcoursesonline.com/active/courses/course155.php" TargetMode="External"/><Relationship Id="rId202" Type="http://schemas.openxmlformats.org/officeDocument/2006/relationships/hyperlink" Target="https://drive.google.com/open?id=1rjyIzR9lad5HZzbEP7dSUp4o9Qr47tMs" TargetMode="External"/><Relationship Id="rId323" Type="http://schemas.openxmlformats.org/officeDocument/2006/relationships/hyperlink" Target="https://www.spanishformentalhealth.com/store/p213/200_-_NON_CE_WITH_4_PRIVATE_TELECONFERENCES%3A_FOUR_PART_PROCESS_FOR_WORKING_WITH_LATINO_PARENTS.html" TargetMode="External"/><Relationship Id="rId444" Type="http://schemas.openxmlformats.org/officeDocument/2006/relationships/hyperlink" Target="https://aas.mycrowdwisdom.com/cw/catalog" TargetMode="External"/><Relationship Id="rId565" Type="http://schemas.openxmlformats.org/officeDocument/2006/relationships/hyperlink" Target="https://mocacognition.com/get-certified?lang=ENGLISH&amp;" TargetMode="External"/><Relationship Id="rId201" Type="http://schemas.openxmlformats.org/officeDocument/2006/relationships/hyperlink" Target="https://web.cvent.com/event/4c1ca16d-a8a2-4d71-86a5-0843e1e53335/websitePage:3e9d0150-48d0-4019-815e-bcb7e9f2cbaa" TargetMode="External"/><Relationship Id="rId322" Type="http://schemas.openxmlformats.org/officeDocument/2006/relationships/hyperlink" Target="http://traumaresearchfoundation.org/lp/36th-annual-boston--trauma-conference/" TargetMode="External"/><Relationship Id="rId443" Type="http://schemas.openxmlformats.org/officeDocument/2006/relationships/hyperlink" Target="https://suicidology.org/members/" TargetMode="External"/><Relationship Id="rId564" Type="http://schemas.openxmlformats.org/officeDocument/2006/relationships/hyperlink" Target="https://drive.google.com/open?id=1k-aam8DkfpWU9HqWQ_8fkeKxRRErakMc" TargetMode="External"/><Relationship Id="rId200" Type="http://schemas.openxmlformats.org/officeDocument/2006/relationships/hyperlink" Target="https://compassionateinquiry.com/" TargetMode="External"/><Relationship Id="rId321" Type="http://schemas.openxmlformats.org/officeDocument/2006/relationships/hyperlink" Target="https://thepracticespace.com/workshops/school-program--b42bf-sxdsb" TargetMode="External"/><Relationship Id="rId442" Type="http://schemas.openxmlformats.org/officeDocument/2006/relationships/hyperlink" Target="https://www.theembodylab.com/breathwork-movement-therapy-for-trauma-healing-certificate" TargetMode="External"/><Relationship Id="rId563" Type="http://schemas.openxmlformats.org/officeDocument/2006/relationships/hyperlink" Target="https://www.oregon.gov/oha/HSD/Problem-Gambling/Documents/PG%20Fall%20Summit%20C3PO%20Registration%20Form%202.pdf" TargetMode="External"/><Relationship Id="rId320" Type="http://schemas.openxmlformats.org/officeDocument/2006/relationships/hyperlink" Target="https://drive.google.com/open?id=1QNLOyhVR6sNBGqY7dCpY3mOCAWKtO8BW" TargetMode="External"/><Relationship Id="rId441" Type="http://schemas.openxmlformats.org/officeDocument/2006/relationships/hyperlink" Target="https://catalog.pesi.com/sales/bh_s_002157_playtherapycon_dedicatedemail_original-1274550?utm_campaign=6372368-002157&amp;utm_medium=email&amp;_hsenc=p2ANqtz-8kf7bdQJ7CgGTtMuFeIvE3aPif2iSIA7S5BrbjMKVSeYJcXsRtQTML4S81gLmA5d8Tlka0KkLEDRy67NGpsqoRXY8EAQ&amp;_hsmi=346345176&amp;utm_content=346345176&amp;utm_source=hs_email" TargetMode="External"/><Relationship Id="rId562" Type="http://schemas.openxmlformats.org/officeDocument/2006/relationships/hyperlink" Target="https://drive.google.com/open?id=1t9DHomYghiSltEXgMl0rRlPpP1j5YYg8" TargetMode="External"/><Relationship Id="rId316" Type="http://schemas.openxmlformats.org/officeDocument/2006/relationships/hyperlink" Target="https://drive.google.com/open?id=1lw0vcdoXpjlYLHpQoXF9DSn8BASN0l9HnAwND33vhZc" TargetMode="External"/><Relationship Id="rId437" Type="http://schemas.openxmlformats.org/officeDocument/2006/relationships/hyperlink" Target="https://drive.google.com/open?id=1iaIwLHkQrfDr9iEma5MeGuGYKRMXlPDc" TargetMode="External"/><Relationship Id="rId558" Type="http://schemas.openxmlformats.org/officeDocument/2006/relationships/hyperlink" Target="https://drive.google.com/open?id=1T6pbmO_vaOIMJHP7LxU9usyS94qpn43W-qEQ8iKJ8OM" TargetMode="External"/><Relationship Id="rId315" Type="http://schemas.openxmlformats.org/officeDocument/2006/relationships/hyperlink" Target="https://drive.google.com/open?id=1kiTRl_2I4ZUXOVWP_6OENx7VnsApD2I8Ib9pfE_Toww" TargetMode="External"/><Relationship Id="rId436" Type="http://schemas.openxmlformats.org/officeDocument/2006/relationships/hyperlink" Target="https://psychwire.com/motivational-interviewing/mi-healthcare" TargetMode="External"/><Relationship Id="rId557" Type="http://schemas.openxmlformats.org/officeDocument/2006/relationships/hyperlink" Target="https://reflectivecounsel.org/restorative-ethics-a-meditative-exploration-of-vulnerabilities-and-strengths/" TargetMode="External"/><Relationship Id="rId314" Type="http://schemas.openxmlformats.org/officeDocument/2006/relationships/hyperlink" Target="https://centerforaddictionstudies.com/oregon-cadc-i-120-hour-required-content-training" TargetMode="External"/><Relationship Id="rId435" Type="http://schemas.openxmlformats.org/officeDocument/2006/relationships/hyperlink" Target="https://postpartum.app.neoncrm.com/np/clients/postpartum/event.jsp?event=2045&amp;_gl=1*9z3qf7*_ga*ODgwNTY1Mjc3LjE3NDA0MTAwNTg.*_ga_BL1P5QJ821*MTc0MTEwNTkzNC43LjEuMTc0MTEwNzE5Ny41OC4wLjE5NjY5MzkwMTg." TargetMode="External"/><Relationship Id="rId556" Type="http://schemas.openxmlformats.org/officeDocument/2006/relationships/hyperlink" Target="https://www.mhacbo.org/en/payments/" TargetMode="External"/><Relationship Id="rId313" Type="http://schemas.openxmlformats.org/officeDocument/2006/relationships/hyperlink" Target="https://ahscpdx.org/annual-events/" TargetMode="External"/><Relationship Id="rId434" Type="http://schemas.openxmlformats.org/officeDocument/2006/relationships/hyperlink" Target="https://drive.google.com/open?id=1GTPmCvU3eXrwXcTmsm-mll_V1U71EGd-" TargetMode="External"/><Relationship Id="rId555" Type="http://schemas.openxmlformats.org/officeDocument/2006/relationships/hyperlink" Target="https://drive.google.com/open?id=1iX5P1io8dJB820mqhZEVGztl6f4XGHEZ" TargetMode="External"/><Relationship Id="rId319" Type="http://schemas.openxmlformats.org/officeDocument/2006/relationships/hyperlink" Target="https://drive.google.com/open?id=1C0ENkQbRBCQe0l-0wG_IAJhc2u2dpuA0" TargetMode="External"/><Relationship Id="rId318" Type="http://schemas.openxmlformats.org/officeDocument/2006/relationships/hyperlink" Target="https://docs.google.com/spreadsheets/d/182rLfb-Rsdn54xCFAaY48DKy4fXmi7cvOgR3N2qDQog/edit?gid=0" TargetMode="External"/><Relationship Id="rId439" Type="http://schemas.openxmlformats.org/officeDocument/2006/relationships/hyperlink" Target="https://www.6sigmacertificationonline.com/ssgi-career-track-certifications/lean-six-sigma-healthcare-professional-lsshp/" TargetMode="External"/><Relationship Id="rId317" Type="http://schemas.openxmlformats.org/officeDocument/2006/relationships/hyperlink" Target="https://drive.google.com/open?id=1Zzzfy9dqzx9LdWEXeGkj9YNGocE59wghojA8MSm5-QQ" TargetMode="External"/><Relationship Id="rId438" Type="http://schemas.openxmlformats.org/officeDocument/2006/relationships/hyperlink" Target="https://drive.google.com/open?id=1Dn3krZyMVkco79tCmhYydq_AqF-eCeH_" TargetMode="External"/><Relationship Id="rId559" Type="http://schemas.openxmlformats.org/officeDocument/2006/relationships/hyperlink" Target="https://psychotherapyacademy.org/courses/dbt-training-online/" TargetMode="External"/><Relationship Id="rId550" Type="http://schemas.openxmlformats.org/officeDocument/2006/relationships/hyperlink" Target="https://drive.google.com/open?id=1cdIUTfhzp3PAZEhBgGn6m62QSEtRox0Z" TargetMode="External"/><Relationship Id="rId312" Type="http://schemas.openxmlformats.org/officeDocument/2006/relationships/hyperlink" Target="https://www.brightmorningteam.com/membership" TargetMode="External"/><Relationship Id="rId433" Type="http://schemas.openxmlformats.org/officeDocument/2006/relationships/hyperlink" Target="https://susiesnyderlcsw.vipmembervault.com/products/courses/view/1033072" TargetMode="External"/><Relationship Id="rId554" Type="http://schemas.openxmlformats.org/officeDocument/2006/relationships/hyperlink" Target="https://web.cvent.com/event/137973c0-18d8-42d7-b653-dd6fc74e7ce1/summary" TargetMode="External"/><Relationship Id="rId311" Type="http://schemas.openxmlformats.org/officeDocument/2006/relationships/hyperlink" Target="https://www.portlandialanguages.com/enroll-beginner1-weekly" TargetMode="External"/><Relationship Id="rId432" Type="http://schemas.openxmlformats.org/officeDocument/2006/relationships/hyperlink" Target="https://drive.google.com/open?id=1MRH4cZ1r7EPMWrG-ERcWn1UkyANy9CF-" TargetMode="External"/><Relationship Id="rId553" Type="http://schemas.openxmlformats.org/officeDocument/2006/relationships/hyperlink" Target="https://app.glueup.com/event/2025-behavioral-health-training-summit-146569/" TargetMode="External"/><Relationship Id="rId310" Type="http://schemas.openxmlformats.org/officeDocument/2006/relationships/hyperlink" Target="https://us02web.zoom.us/webinar/register/WN_pIpNzB7-TiCZJIDBvh7Gnw" TargetMode="External"/><Relationship Id="rId431" Type="http://schemas.openxmlformats.org/officeDocument/2006/relationships/hyperlink" Target="https://suicidology.org/training-certifications/crisis-specialist-training/" TargetMode="External"/><Relationship Id="rId552" Type="http://schemas.openxmlformats.org/officeDocument/2006/relationships/hyperlink" Target="https://drive.google.com/open?id=1cdIUTfhzp3PAZEhBgGn6m62QSEtRox0Z" TargetMode="External"/><Relationship Id="rId430" Type="http://schemas.openxmlformats.org/officeDocument/2006/relationships/hyperlink" Target="https://web.cvent.com/event/614b0291-ac69-4031-baed-c92ad8738053/websitePage:c3477365-6596-400f-a85d-3e540a8f5418?refid=bh_s_002043_traumacon_dedicatedemail_020825&amp;utm_campaign=5852340-002043&amp;utm_medium=email&amp;_hsenc=p2ANqtz-8bs96TsFm5Ge8JWy3oMZsaCw2UmAgaXQJZz16yyUNqxL09zI6nJoriKHzIviqMF5BAxJMu7kRRyx9P1y8NijyqWwtRPHJwXrWqbQnJqlCMuVYG9qk&amp;_hsmi=346343391&amp;utm_content=346343391&amp;utm_source=hs_email" TargetMode="External"/><Relationship Id="rId551" Type="http://schemas.openxmlformats.org/officeDocument/2006/relationships/hyperlink" Target="https://app.glueup.com/event/2025-behavioral-health-training-summit-146569/"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9" Type="http://schemas.openxmlformats.org/officeDocument/2006/relationships/table" Target="../tables/table2.xml"/><Relationship Id="rId8" Type="http://schemas.openxmlformats.org/officeDocument/2006/relationships/table" Target="../tables/table1.xml"/><Relationship Id="rId11" Type="http://schemas.openxmlformats.org/officeDocument/2006/relationships/table" Target="../tables/table4.xml"/><Relationship Id="rId10" Type="http://schemas.openxmlformats.org/officeDocument/2006/relationships/table" Target="../tables/table3.xml"/><Relationship Id="rId13" Type="http://schemas.openxmlformats.org/officeDocument/2006/relationships/table" Target="../tables/table6.xml"/><Relationship Id="rId12"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9" Type="http://schemas.openxmlformats.org/officeDocument/2006/relationships/table" Target="../tables/table9.xml"/><Relationship Id="rId7" Type="http://schemas.openxmlformats.org/officeDocument/2006/relationships/table" Target="../tables/table7.xml"/><Relationship Id="rId8" Type="http://schemas.openxmlformats.org/officeDocument/2006/relationships/table" Target="../tables/table8.xml"/><Relationship Id="rId11" Type="http://schemas.openxmlformats.org/officeDocument/2006/relationships/table" Target="../tables/table11.xml"/><Relationship Id="rId10"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4.25"/>
    <col customWidth="1" min="2" max="2" width="16.25"/>
    <col customWidth="1" min="3" max="3" width="25.88"/>
    <col customWidth="1" min="4" max="7" width="18.63"/>
    <col customWidth="1" min="8" max="8" width="28.75"/>
    <col customWidth="1" min="9" max="9" width="14.75"/>
    <col customWidth="1" min="10" max="10" width="33.75"/>
    <col customWidth="1" min="11" max="11" width="18.75"/>
    <col customWidth="1" min="12" max="12" width="56.38"/>
    <col customWidth="1" min="13" max="13" width="10.38"/>
    <col customWidth="1" min="14" max="14" width="23.13"/>
    <col customWidth="1" min="15" max="15" width="19.0"/>
    <col customWidth="1" min="16" max="27" width="18.88"/>
    <col customWidth="1" hidden="1" min="28" max="29" width="18.88"/>
    <col customWidth="1" min="30" max="30" width="2.38"/>
    <col customWidth="1" min="31" max="31" width="10.0"/>
    <col customWidth="1" min="32" max="32" width="19.13"/>
    <col customWidth="1" min="33" max="33" width="17.75"/>
    <col customWidth="1" min="34" max="34" width="12.5"/>
    <col customWidth="1" min="35" max="35" width="8.38"/>
    <col customWidth="1" min="36" max="36" width="6.63"/>
    <col customWidth="1" min="37" max="37" width="18.75"/>
    <col customWidth="1" min="38" max="38" width="16.88"/>
    <col customWidth="1" min="39" max="39" width="18.5"/>
    <col customWidth="1" min="40" max="40" width="10.5"/>
    <col customWidth="1" min="41" max="41" width="14.38"/>
    <col customWidth="1" min="42" max="42" width="18.5"/>
  </cols>
  <sheetData>
    <row r="1" ht="99.0" customHeight="1">
      <c r="A1" s="1" t="s">
        <v>0</v>
      </c>
      <c r="B1" s="2" t="s">
        <v>1</v>
      </c>
      <c r="C1" s="3" t="s">
        <v>2</v>
      </c>
      <c r="D1" s="2" t="s">
        <v>3</v>
      </c>
      <c r="E1" s="2" t="s">
        <v>4</v>
      </c>
      <c r="F1" s="2" t="s">
        <v>5</v>
      </c>
      <c r="G1" s="4" t="s">
        <v>6</v>
      </c>
      <c r="H1" s="2" t="s">
        <v>7</v>
      </c>
      <c r="I1" s="2" t="s">
        <v>8</v>
      </c>
      <c r="J1" s="2" t="s">
        <v>9</v>
      </c>
      <c r="K1" s="1"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6</v>
      </c>
      <c r="AA1" s="5" t="s">
        <v>6</v>
      </c>
      <c r="AB1" s="5" t="s">
        <v>24</v>
      </c>
      <c r="AC1" s="5" t="s">
        <v>24</v>
      </c>
      <c r="AD1" s="5" t="s">
        <v>24</v>
      </c>
      <c r="AE1" s="6" t="s">
        <v>25</v>
      </c>
      <c r="AF1" s="1" t="s">
        <v>26</v>
      </c>
      <c r="AG1" s="6" t="s">
        <v>27</v>
      </c>
      <c r="AH1" s="6" t="s">
        <v>28</v>
      </c>
      <c r="AI1" s="6" t="s">
        <v>29</v>
      </c>
      <c r="AJ1" s="6" t="s">
        <v>30</v>
      </c>
      <c r="AK1" s="6" t="s">
        <v>31</v>
      </c>
      <c r="AL1" s="1" t="s">
        <v>32</v>
      </c>
      <c r="AM1" s="7"/>
      <c r="AN1" s="1" t="s">
        <v>33</v>
      </c>
      <c r="AO1" s="7" t="s">
        <v>34</v>
      </c>
      <c r="AP1" s="7" t="s">
        <v>35</v>
      </c>
    </row>
    <row r="2" ht="99.0" customHeight="1">
      <c r="A2" s="8" t="s">
        <v>36</v>
      </c>
      <c r="B2" s="9">
        <v>45250.63757543982</v>
      </c>
      <c r="C2" s="10" t="s">
        <v>37</v>
      </c>
      <c r="D2" s="11" t="s">
        <v>38</v>
      </c>
      <c r="E2" s="11" t="s">
        <v>39</v>
      </c>
      <c r="F2" s="11" t="s">
        <v>40</v>
      </c>
      <c r="G2" s="11" t="s">
        <v>41</v>
      </c>
      <c r="H2" s="11" t="s">
        <v>42</v>
      </c>
      <c r="I2" s="10">
        <v>5000.0</v>
      </c>
      <c r="J2" s="11" t="s">
        <v>43</v>
      </c>
      <c r="K2" s="12"/>
      <c r="L2" s="12"/>
      <c r="M2" s="12"/>
      <c r="N2" s="13" t="s">
        <v>44</v>
      </c>
      <c r="O2" s="14"/>
      <c r="P2" s="14"/>
      <c r="Q2" s="14"/>
      <c r="R2" s="14"/>
      <c r="S2" s="14"/>
      <c r="T2" s="14"/>
      <c r="U2" s="14"/>
      <c r="V2" s="14"/>
      <c r="W2" s="14"/>
      <c r="X2" s="14"/>
      <c r="Y2" s="14"/>
      <c r="Z2" s="14"/>
      <c r="AA2" s="14"/>
      <c r="AB2" s="14"/>
      <c r="AC2" s="14"/>
      <c r="AD2" s="12"/>
      <c r="AE2" s="12"/>
      <c r="AF2" s="12"/>
      <c r="AG2" s="12"/>
      <c r="AH2" s="12"/>
      <c r="AI2" s="12"/>
      <c r="AJ2" s="12"/>
      <c r="AK2" s="11" t="s">
        <v>45</v>
      </c>
      <c r="AL2" s="13" t="s">
        <v>44</v>
      </c>
      <c r="AM2" s="13" t="s">
        <v>44</v>
      </c>
      <c r="AN2" s="11" t="s">
        <v>46</v>
      </c>
      <c r="AO2" s="15" t="b">
        <v>0</v>
      </c>
      <c r="AP2" s="15"/>
    </row>
    <row r="3" ht="99.0" customHeight="1">
      <c r="A3" s="8" t="s">
        <v>36</v>
      </c>
      <c r="B3" s="9">
        <v>45251.67208087963</v>
      </c>
      <c r="C3" s="10" t="s">
        <v>37</v>
      </c>
      <c r="D3" s="11" t="s">
        <v>38</v>
      </c>
      <c r="E3" s="11" t="s">
        <v>39</v>
      </c>
      <c r="F3" s="11" t="s">
        <v>40</v>
      </c>
      <c r="G3" s="11" t="s">
        <v>41</v>
      </c>
      <c r="H3" s="8" t="s">
        <v>47</v>
      </c>
      <c r="I3" s="10">
        <v>20000.0</v>
      </c>
      <c r="J3" s="11" t="s">
        <v>48</v>
      </c>
      <c r="K3" s="12"/>
      <c r="L3" s="11" t="s">
        <v>49</v>
      </c>
      <c r="M3" s="14"/>
      <c r="N3" s="13" t="s">
        <v>44</v>
      </c>
      <c r="O3" s="14"/>
      <c r="P3" s="14"/>
      <c r="Q3" s="14"/>
      <c r="R3" s="14"/>
      <c r="S3" s="14"/>
      <c r="T3" s="14"/>
      <c r="U3" s="14"/>
      <c r="V3" s="14"/>
      <c r="W3" s="14"/>
      <c r="X3" s="14"/>
      <c r="Y3" s="14"/>
      <c r="Z3" s="14"/>
      <c r="AA3" s="14"/>
      <c r="AB3" s="14"/>
      <c r="AC3" s="14"/>
      <c r="AD3" s="12"/>
      <c r="AE3" s="12"/>
      <c r="AF3" s="12"/>
      <c r="AG3" s="12"/>
      <c r="AH3" s="12"/>
      <c r="AI3" s="12"/>
      <c r="AJ3" s="12"/>
      <c r="AK3" s="11" t="s">
        <v>45</v>
      </c>
      <c r="AL3" s="13" t="s">
        <v>44</v>
      </c>
      <c r="AM3" s="13" t="s">
        <v>44</v>
      </c>
      <c r="AN3" s="11" t="s">
        <v>46</v>
      </c>
      <c r="AO3" s="15" t="b">
        <v>0</v>
      </c>
      <c r="AP3" s="15"/>
    </row>
    <row r="4" ht="99.0" customHeight="1">
      <c r="A4" s="8" t="s">
        <v>36</v>
      </c>
      <c r="B4" s="9">
        <v>45254.605576145834</v>
      </c>
      <c r="C4" s="10" t="s">
        <v>50</v>
      </c>
      <c r="D4" s="11" t="s">
        <v>51</v>
      </c>
      <c r="E4" s="11" t="s">
        <v>52</v>
      </c>
      <c r="F4" s="11" t="s">
        <v>53</v>
      </c>
      <c r="G4" s="11" t="s">
        <v>54</v>
      </c>
      <c r="H4" s="16" t="s">
        <v>55</v>
      </c>
      <c r="I4" s="10">
        <v>11859.0</v>
      </c>
      <c r="J4" s="11" t="s">
        <v>56</v>
      </c>
      <c r="K4" s="12"/>
      <c r="L4" s="11" t="s">
        <v>57</v>
      </c>
      <c r="M4" s="14"/>
      <c r="N4" s="13" t="s">
        <v>44</v>
      </c>
      <c r="O4" s="14"/>
      <c r="P4" s="14"/>
      <c r="Q4" s="14"/>
      <c r="R4" s="14"/>
      <c r="S4" s="14"/>
      <c r="T4" s="14"/>
      <c r="U4" s="14"/>
      <c r="V4" s="14"/>
      <c r="W4" s="14"/>
      <c r="X4" s="14"/>
      <c r="Y4" s="14"/>
      <c r="Z4" s="14"/>
      <c r="AA4" s="14"/>
      <c r="AB4" s="14"/>
      <c r="AC4" s="14"/>
      <c r="AD4" s="12"/>
      <c r="AE4" s="12"/>
      <c r="AF4" s="12"/>
      <c r="AG4" s="12"/>
      <c r="AH4" s="12"/>
      <c r="AI4" s="12"/>
      <c r="AJ4" s="12"/>
      <c r="AK4" s="11" t="s">
        <v>45</v>
      </c>
      <c r="AL4" s="13" t="s">
        <v>44</v>
      </c>
      <c r="AM4" s="13" t="s">
        <v>44</v>
      </c>
      <c r="AN4" s="11"/>
      <c r="AO4" s="15" t="b">
        <v>0</v>
      </c>
      <c r="AP4" s="15" t="s">
        <v>58</v>
      </c>
    </row>
    <row r="5" ht="99.0" customHeight="1">
      <c r="A5" s="17" t="s">
        <v>36</v>
      </c>
      <c r="B5" s="18">
        <v>45258.33131657407</v>
      </c>
      <c r="C5" s="19" t="s">
        <v>59</v>
      </c>
      <c r="D5" s="20" t="s">
        <v>38</v>
      </c>
      <c r="E5" s="20" t="s">
        <v>52</v>
      </c>
      <c r="F5" s="20" t="s">
        <v>60</v>
      </c>
      <c r="G5" s="20" t="s">
        <v>60</v>
      </c>
      <c r="H5" s="20" t="s">
        <v>61</v>
      </c>
      <c r="I5" s="19">
        <v>919.0</v>
      </c>
      <c r="J5" s="20" t="s">
        <v>62</v>
      </c>
      <c r="K5" s="21"/>
      <c r="L5" s="20" t="s">
        <v>63</v>
      </c>
      <c r="M5" s="22"/>
      <c r="N5" s="13" t="s">
        <v>44</v>
      </c>
      <c r="O5" s="14"/>
      <c r="P5" s="14"/>
      <c r="Q5" s="14"/>
      <c r="R5" s="14"/>
      <c r="S5" s="14"/>
      <c r="T5" s="14"/>
      <c r="U5" s="14"/>
      <c r="V5" s="14"/>
      <c r="W5" s="14"/>
      <c r="X5" s="14"/>
      <c r="Y5" s="14"/>
      <c r="Z5" s="14"/>
      <c r="AA5" s="14"/>
      <c r="AB5" s="14"/>
      <c r="AC5" s="14"/>
      <c r="AD5" s="12"/>
      <c r="AE5" s="12"/>
      <c r="AF5" s="12"/>
      <c r="AG5" s="12"/>
      <c r="AH5" s="12"/>
      <c r="AI5" s="12"/>
      <c r="AJ5" s="12"/>
      <c r="AK5" s="11" t="s">
        <v>45</v>
      </c>
      <c r="AL5" s="13" t="s">
        <v>44</v>
      </c>
      <c r="AM5" s="13" t="s">
        <v>44</v>
      </c>
      <c r="AN5" s="20" t="s">
        <v>46</v>
      </c>
      <c r="AO5" s="15" t="b">
        <v>1</v>
      </c>
      <c r="AP5" s="15"/>
    </row>
    <row r="6" ht="99.0" customHeight="1">
      <c r="A6" s="8" t="s">
        <v>36</v>
      </c>
      <c r="B6" s="9">
        <v>45258.47922336806</v>
      </c>
      <c r="C6" s="10" t="s">
        <v>64</v>
      </c>
      <c r="D6" s="11" t="s">
        <v>51</v>
      </c>
      <c r="E6" s="11" t="s">
        <v>52</v>
      </c>
      <c r="F6" s="11" t="s">
        <v>65</v>
      </c>
      <c r="G6" s="11" t="s">
        <v>54</v>
      </c>
      <c r="H6" s="11" t="s">
        <v>61</v>
      </c>
      <c r="I6" s="23">
        <v>2900.0</v>
      </c>
      <c r="J6" s="11" t="s">
        <v>66</v>
      </c>
      <c r="K6" s="12"/>
      <c r="L6" s="24" t="s">
        <v>67</v>
      </c>
      <c r="M6" s="14"/>
      <c r="N6" s="11" t="s">
        <v>68</v>
      </c>
      <c r="O6" s="14"/>
      <c r="P6" s="14"/>
      <c r="Q6" s="14"/>
      <c r="R6" s="14"/>
      <c r="S6" s="14"/>
      <c r="T6" s="14"/>
      <c r="U6" s="14"/>
      <c r="V6" s="14"/>
      <c r="W6" s="14"/>
      <c r="X6" s="14"/>
      <c r="Y6" s="14"/>
      <c r="Z6" s="14"/>
      <c r="AA6" s="14"/>
      <c r="AB6" s="14"/>
      <c r="AC6" s="14"/>
      <c r="AD6" s="14"/>
      <c r="AE6" s="25"/>
      <c r="AF6" s="14"/>
      <c r="AG6" s="25">
        <v>45267.0</v>
      </c>
      <c r="AH6" s="12"/>
      <c r="AI6" s="23">
        <v>3400.0</v>
      </c>
      <c r="AJ6" s="26" t="s">
        <v>69</v>
      </c>
      <c r="AK6" s="12"/>
      <c r="AL6" s="27" t="s">
        <v>70</v>
      </c>
      <c r="AM6" s="14"/>
      <c r="AN6" s="11" t="s">
        <v>71</v>
      </c>
      <c r="AO6" s="8" t="b">
        <v>1</v>
      </c>
      <c r="AP6" s="8"/>
    </row>
    <row r="7" ht="99.0" customHeight="1">
      <c r="A7" s="8" t="s">
        <v>36</v>
      </c>
      <c r="B7" s="9">
        <v>45261.500249652774</v>
      </c>
      <c r="C7" s="10" t="s">
        <v>72</v>
      </c>
      <c r="D7" s="11" t="s">
        <v>51</v>
      </c>
      <c r="E7" s="11" t="s">
        <v>52</v>
      </c>
      <c r="F7" s="11" t="s">
        <v>40</v>
      </c>
      <c r="G7" s="11" t="s">
        <v>54</v>
      </c>
      <c r="H7" s="11" t="s">
        <v>61</v>
      </c>
      <c r="I7" s="10">
        <v>669.0</v>
      </c>
      <c r="J7" s="11" t="s">
        <v>73</v>
      </c>
      <c r="K7" s="24" t="s">
        <v>74</v>
      </c>
      <c r="L7" s="11" t="s">
        <v>75</v>
      </c>
      <c r="M7" s="14"/>
      <c r="N7" s="13" t="s">
        <v>44</v>
      </c>
      <c r="O7" s="14"/>
      <c r="P7" s="14"/>
      <c r="Q7" s="14"/>
      <c r="R7" s="14"/>
      <c r="S7" s="14"/>
      <c r="T7" s="14"/>
      <c r="U7" s="14"/>
      <c r="V7" s="14"/>
      <c r="W7" s="14"/>
      <c r="X7" s="14"/>
      <c r="Y7" s="14"/>
      <c r="Z7" s="14"/>
      <c r="AA7" s="14"/>
      <c r="AB7" s="14"/>
      <c r="AC7" s="14"/>
      <c r="AD7" s="12"/>
      <c r="AE7" s="12"/>
      <c r="AF7" s="12"/>
      <c r="AG7" s="12"/>
      <c r="AH7" s="12"/>
      <c r="AI7" s="12"/>
      <c r="AJ7" s="12"/>
      <c r="AK7" s="11" t="s">
        <v>45</v>
      </c>
      <c r="AL7" s="13" t="s">
        <v>44</v>
      </c>
      <c r="AM7" s="13" t="s">
        <v>44</v>
      </c>
      <c r="AN7" s="11" t="s">
        <v>71</v>
      </c>
      <c r="AO7" s="15" t="b">
        <v>1</v>
      </c>
      <c r="AP7" s="15"/>
    </row>
    <row r="8" ht="99.0" customHeight="1">
      <c r="A8" s="8" t="s">
        <v>36</v>
      </c>
      <c r="B8" s="9">
        <v>45261.50699486111</v>
      </c>
      <c r="C8" s="10" t="s">
        <v>72</v>
      </c>
      <c r="D8" s="11" t="s">
        <v>51</v>
      </c>
      <c r="E8" s="11" t="s">
        <v>52</v>
      </c>
      <c r="F8" s="11" t="s">
        <v>40</v>
      </c>
      <c r="G8" s="11" t="s">
        <v>54</v>
      </c>
      <c r="H8" s="11" t="s">
        <v>61</v>
      </c>
      <c r="I8" s="10">
        <v>99.0</v>
      </c>
      <c r="J8" s="11" t="s">
        <v>73</v>
      </c>
      <c r="K8" s="28" t="s">
        <v>76</v>
      </c>
      <c r="L8" s="11" t="s">
        <v>77</v>
      </c>
      <c r="M8" s="14"/>
      <c r="N8" s="13" t="s">
        <v>44</v>
      </c>
      <c r="O8" s="14"/>
      <c r="P8" s="14"/>
      <c r="Q8" s="14"/>
      <c r="R8" s="14"/>
      <c r="S8" s="14"/>
      <c r="T8" s="14"/>
      <c r="U8" s="14"/>
      <c r="V8" s="14"/>
      <c r="W8" s="14"/>
      <c r="X8" s="14"/>
      <c r="Y8" s="14"/>
      <c r="Z8" s="14"/>
      <c r="AA8" s="14"/>
      <c r="AB8" s="14"/>
      <c r="AC8" s="14"/>
      <c r="AD8" s="12"/>
      <c r="AE8" s="12"/>
      <c r="AF8" s="12"/>
      <c r="AG8" s="12"/>
      <c r="AH8" s="12"/>
      <c r="AI8" s="12"/>
      <c r="AJ8" s="12"/>
      <c r="AK8" s="11" t="s">
        <v>45</v>
      </c>
      <c r="AL8" s="13" t="s">
        <v>44</v>
      </c>
      <c r="AM8" s="13" t="s">
        <v>44</v>
      </c>
      <c r="AN8" s="11" t="s">
        <v>71</v>
      </c>
      <c r="AO8" s="15" t="b">
        <v>1</v>
      </c>
      <c r="AP8" s="15"/>
    </row>
    <row r="9" ht="99.0" customHeight="1">
      <c r="A9" s="8" t="s">
        <v>36</v>
      </c>
      <c r="B9" s="9">
        <v>45266.55521460648</v>
      </c>
      <c r="C9" s="10" t="s">
        <v>78</v>
      </c>
      <c r="D9" s="11" t="s">
        <v>51</v>
      </c>
      <c r="E9" s="11" t="s">
        <v>79</v>
      </c>
      <c r="F9" s="11" t="s">
        <v>80</v>
      </c>
      <c r="G9" s="11" t="s">
        <v>41</v>
      </c>
      <c r="H9" s="11" t="s">
        <v>47</v>
      </c>
      <c r="I9" s="10" t="s">
        <v>81</v>
      </c>
      <c r="J9" s="11" t="s">
        <v>82</v>
      </c>
      <c r="K9" s="11" t="s">
        <v>83</v>
      </c>
      <c r="L9" s="11" t="s">
        <v>84</v>
      </c>
      <c r="M9" s="14"/>
      <c r="N9" s="13" t="s">
        <v>44</v>
      </c>
      <c r="O9" s="14"/>
      <c r="P9" s="14"/>
      <c r="Q9" s="14"/>
      <c r="R9" s="14"/>
      <c r="S9" s="14"/>
      <c r="T9" s="14"/>
      <c r="U9" s="14"/>
      <c r="V9" s="14"/>
      <c r="W9" s="14"/>
      <c r="X9" s="14"/>
      <c r="Y9" s="14"/>
      <c r="Z9" s="14"/>
      <c r="AA9" s="14"/>
      <c r="AB9" s="14"/>
      <c r="AC9" s="14"/>
      <c r="AD9" s="12"/>
      <c r="AE9" s="12"/>
      <c r="AF9" s="12"/>
      <c r="AG9" s="12"/>
      <c r="AH9" s="12"/>
      <c r="AI9" s="12"/>
      <c r="AJ9" s="12"/>
      <c r="AK9" s="11" t="s">
        <v>45</v>
      </c>
      <c r="AL9" s="13" t="s">
        <v>44</v>
      </c>
      <c r="AM9" s="13" t="s">
        <v>44</v>
      </c>
      <c r="AN9" s="11"/>
      <c r="AO9" s="15"/>
      <c r="AP9" s="15"/>
    </row>
    <row r="10" ht="99.0" customHeight="1">
      <c r="A10" s="8" t="s">
        <v>36</v>
      </c>
      <c r="B10" s="9">
        <v>45267.535854965274</v>
      </c>
      <c r="C10" s="10" t="s">
        <v>85</v>
      </c>
      <c r="D10" s="11" t="s">
        <v>38</v>
      </c>
      <c r="E10" s="11" t="s">
        <v>40</v>
      </c>
      <c r="F10" s="11" t="s">
        <v>40</v>
      </c>
      <c r="G10" s="11" t="s">
        <v>41</v>
      </c>
      <c r="H10" s="11" t="s">
        <v>61</v>
      </c>
      <c r="I10" s="10">
        <v>5000.0</v>
      </c>
      <c r="J10" s="11" t="s">
        <v>86</v>
      </c>
      <c r="K10" s="12"/>
      <c r="L10" s="24" t="s">
        <v>87</v>
      </c>
      <c r="M10" s="14"/>
      <c r="N10" s="13" t="s">
        <v>44</v>
      </c>
      <c r="O10" s="14"/>
      <c r="P10" s="14"/>
      <c r="Q10" s="14"/>
      <c r="R10" s="14"/>
      <c r="S10" s="14"/>
      <c r="T10" s="14"/>
      <c r="U10" s="14"/>
      <c r="V10" s="14"/>
      <c r="W10" s="14"/>
      <c r="X10" s="14"/>
      <c r="Y10" s="14"/>
      <c r="Z10" s="14"/>
      <c r="AA10" s="14"/>
      <c r="AB10" s="14"/>
      <c r="AC10" s="14"/>
      <c r="AD10" s="12"/>
      <c r="AE10" s="12"/>
      <c r="AF10" s="12"/>
      <c r="AG10" s="12"/>
      <c r="AH10" s="12"/>
      <c r="AI10" s="12"/>
      <c r="AJ10" s="12"/>
      <c r="AK10" s="11" t="s">
        <v>45</v>
      </c>
      <c r="AL10" s="13" t="s">
        <v>44</v>
      </c>
      <c r="AM10" s="13" t="s">
        <v>44</v>
      </c>
      <c r="AN10" s="11"/>
      <c r="AO10" s="15"/>
      <c r="AP10" s="15"/>
    </row>
    <row r="11" ht="99.0" customHeight="1">
      <c r="A11" s="8" t="s">
        <v>36</v>
      </c>
      <c r="B11" s="9">
        <v>45268.55483825231</v>
      </c>
      <c r="C11" s="10" t="s">
        <v>88</v>
      </c>
      <c r="D11" s="11" t="s">
        <v>51</v>
      </c>
      <c r="E11" s="11" t="s">
        <v>52</v>
      </c>
      <c r="F11" s="11" t="s">
        <v>65</v>
      </c>
      <c r="G11" s="11" t="s">
        <v>54</v>
      </c>
      <c r="H11" s="11" t="s">
        <v>89</v>
      </c>
      <c r="I11" s="10">
        <v>10000.0</v>
      </c>
      <c r="J11" s="11" t="s">
        <v>90</v>
      </c>
      <c r="K11" s="12"/>
      <c r="L11" s="12"/>
      <c r="M11" s="12"/>
      <c r="N11" s="13" t="s">
        <v>44</v>
      </c>
      <c r="O11" s="14"/>
      <c r="P11" s="14"/>
      <c r="Q11" s="14"/>
      <c r="R11" s="14"/>
      <c r="S11" s="14"/>
      <c r="T11" s="14"/>
      <c r="U11" s="14"/>
      <c r="V11" s="14"/>
      <c r="W11" s="14"/>
      <c r="X11" s="14"/>
      <c r="Y11" s="14"/>
      <c r="Z11" s="14"/>
      <c r="AA11" s="14"/>
      <c r="AB11" s="14"/>
      <c r="AC11" s="14"/>
      <c r="AD11" s="12"/>
      <c r="AE11" s="12"/>
      <c r="AF11" s="12"/>
      <c r="AG11" s="12"/>
      <c r="AH11" s="12"/>
      <c r="AI11" s="12"/>
      <c r="AJ11" s="12"/>
      <c r="AK11" s="11" t="s">
        <v>45</v>
      </c>
      <c r="AL11" s="13" t="s">
        <v>44</v>
      </c>
      <c r="AM11" s="13" t="s">
        <v>44</v>
      </c>
      <c r="AN11" s="11"/>
      <c r="AO11" s="15"/>
      <c r="AP11" s="15"/>
    </row>
    <row r="12" ht="99.0" customHeight="1">
      <c r="A12" s="17" t="s">
        <v>36</v>
      </c>
      <c r="B12" s="18">
        <v>45271.323609837964</v>
      </c>
      <c r="C12" s="19" t="s">
        <v>78</v>
      </c>
      <c r="D12" s="20" t="s">
        <v>51</v>
      </c>
      <c r="E12" s="20" t="s">
        <v>79</v>
      </c>
      <c r="F12" s="20" t="s">
        <v>80</v>
      </c>
      <c r="G12" s="20" t="s">
        <v>41</v>
      </c>
      <c r="H12" s="20" t="s">
        <v>47</v>
      </c>
      <c r="I12" s="19">
        <v>2495.0</v>
      </c>
      <c r="J12" s="20" t="s">
        <v>82</v>
      </c>
      <c r="K12" s="29" t="s">
        <v>91</v>
      </c>
      <c r="L12" s="20" t="s">
        <v>84</v>
      </c>
      <c r="M12" s="22"/>
      <c r="N12" s="13" t="s">
        <v>44</v>
      </c>
      <c r="O12" s="14"/>
      <c r="P12" s="14"/>
      <c r="Q12" s="14"/>
      <c r="R12" s="14"/>
      <c r="S12" s="14"/>
      <c r="T12" s="14"/>
      <c r="U12" s="14"/>
      <c r="V12" s="14"/>
      <c r="W12" s="14"/>
      <c r="X12" s="14"/>
      <c r="Y12" s="14"/>
      <c r="Z12" s="14"/>
      <c r="AA12" s="14"/>
      <c r="AB12" s="14"/>
      <c r="AC12" s="14"/>
      <c r="AD12" s="12"/>
      <c r="AE12" s="12"/>
      <c r="AF12" s="12"/>
      <c r="AG12" s="12"/>
      <c r="AH12" s="12"/>
      <c r="AI12" s="12"/>
      <c r="AJ12" s="12"/>
      <c r="AK12" s="11" t="s">
        <v>45</v>
      </c>
      <c r="AL12" s="13" t="s">
        <v>44</v>
      </c>
      <c r="AM12" s="13" t="s">
        <v>44</v>
      </c>
      <c r="AN12" s="20"/>
      <c r="AO12" s="15"/>
      <c r="AP12" s="15"/>
    </row>
    <row r="13" ht="99.0" customHeight="1">
      <c r="A13" s="8" t="s">
        <v>36</v>
      </c>
      <c r="B13" s="9">
        <v>45271.32511694444</v>
      </c>
      <c r="C13" s="10" t="s">
        <v>78</v>
      </c>
      <c r="D13" s="11" t="s">
        <v>51</v>
      </c>
      <c r="E13" s="11" t="s">
        <v>79</v>
      </c>
      <c r="F13" s="11" t="s">
        <v>80</v>
      </c>
      <c r="G13" s="11" t="s">
        <v>41</v>
      </c>
      <c r="H13" s="11" t="s">
        <v>61</v>
      </c>
      <c r="I13" s="10">
        <v>575.0</v>
      </c>
      <c r="J13" s="11" t="s">
        <v>82</v>
      </c>
      <c r="K13" s="28" t="s">
        <v>92</v>
      </c>
      <c r="L13" s="11" t="s">
        <v>93</v>
      </c>
      <c r="M13" s="14"/>
      <c r="N13" s="13" t="s">
        <v>44</v>
      </c>
      <c r="O13" s="14"/>
      <c r="P13" s="14"/>
      <c r="Q13" s="14"/>
      <c r="R13" s="14"/>
      <c r="S13" s="14"/>
      <c r="T13" s="14"/>
      <c r="U13" s="14"/>
      <c r="V13" s="14"/>
      <c r="W13" s="14"/>
      <c r="X13" s="14"/>
      <c r="Y13" s="14"/>
      <c r="Z13" s="14"/>
      <c r="AA13" s="14"/>
      <c r="AB13" s="14"/>
      <c r="AC13" s="14"/>
      <c r="AD13" s="12"/>
      <c r="AE13" s="12"/>
      <c r="AF13" s="12"/>
      <c r="AG13" s="12"/>
      <c r="AH13" s="12"/>
      <c r="AI13" s="12"/>
      <c r="AJ13" s="12"/>
      <c r="AK13" s="11" t="s">
        <v>45</v>
      </c>
      <c r="AL13" s="13" t="s">
        <v>44</v>
      </c>
      <c r="AM13" s="13" t="s">
        <v>44</v>
      </c>
      <c r="AN13" s="11"/>
      <c r="AO13" s="15"/>
      <c r="AP13" s="15"/>
    </row>
    <row r="14" ht="99.0" customHeight="1">
      <c r="A14" s="8" t="s">
        <v>36</v>
      </c>
      <c r="B14" s="9">
        <v>45271.54990171296</v>
      </c>
      <c r="C14" s="10" t="s">
        <v>94</v>
      </c>
      <c r="D14" s="11" t="s">
        <v>51</v>
      </c>
      <c r="E14" s="11" t="s">
        <v>52</v>
      </c>
      <c r="F14" s="11" t="s">
        <v>65</v>
      </c>
      <c r="G14" s="11" t="s">
        <v>54</v>
      </c>
      <c r="H14" s="11" t="s">
        <v>61</v>
      </c>
      <c r="I14" s="10">
        <v>2900.0</v>
      </c>
      <c r="J14" s="11" t="s">
        <v>73</v>
      </c>
      <c r="K14" s="12"/>
      <c r="L14" s="24" t="s">
        <v>95</v>
      </c>
      <c r="M14" s="14"/>
      <c r="N14" s="11" t="s">
        <v>96</v>
      </c>
      <c r="O14" s="14"/>
      <c r="P14" s="14"/>
      <c r="Q14" s="14"/>
      <c r="R14" s="14"/>
      <c r="S14" s="14"/>
      <c r="T14" s="14"/>
      <c r="U14" s="14"/>
      <c r="V14" s="14"/>
      <c r="W14" s="14"/>
      <c r="X14" s="14"/>
      <c r="Y14" s="14"/>
      <c r="Z14" s="14"/>
      <c r="AA14" s="14"/>
      <c r="AB14" s="14"/>
      <c r="AC14" s="14"/>
      <c r="AD14" s="14"/>
      <c r="AE14" s="11"/>
      <c r="AF14" s="14"/>
      <c r="AG14" s="11" t="s">
        <v>97</v>
      </c>
      <c r="AH14" s="12"/>
      <c r="AI14" s="12"/>
      <c r="AJ14" s="12"/>
      <c r="AK14" s="30"/>
      <c r="AL14" s="27" t="s">
        <v>70</v>
      </c>
      <c r="AM14" s="14"/>
      <c r="AN14" s="11" t="s">
        <v>71</v>
      </c>
      <c r="AO14" s="8" t="b">
        <v>1</v>
      </c>
      <c r="AP14" s="8"/>
    </row>
    <row r="15" ht="99.0" customHeight="1">
      <c r="A15" s="31" t="s">
        <v>36</v>
      </c>
      <c r="B15" s="32">
        <v>45272.363796770835</v>
      </c>
      <c r="C15" s="33" t="s">
        <v>98</v>
      </c>
      <c r="D15" s="34" t="s">
        <v>51</v>
      </c>
      <c r="E15" s="34" t="s">
        <v>52</v>
      </c>
      <c r="F15" s="34" t="s">
        <v>65</v>
      </c>
      <c r="G15" s="34" t="s">
        <v>54</v>
      </c>
      <c r="H15" s="34" t="s">
        <v>99</v>
      </c>
      <c r="I15" s="33">
        <v>15000.0</v>
      </c>
      <c r="J15" s="34" t="s">
        <v>100</v>
      </c>
      <c r="K15" s="35"/>
      <c r="L15" s="35"/>
      <c r="M15" s="35"/>
      <c r="N15" s="13" t="s">
        <v>44</v>
      </c>
      <c r="O15" s="14"/>
      <c r="P15" s="14"/>
      <c r="Q15" s="14"/>
      <c r="R15" s="14"/>
      <c r="S15" s="14"/>
      <c r="T15" s="14"/>
      <c r="U15" s="14"/>
      <c r="V15" s="14"/>
      <c r="W15" s="14"/>
      <c r="X15" s="14"/>
      <c r="Y15" s="14"/>
      <c r="Z15" s="14"/>
      <c r="AA15" s="14"/>
      <c r="AB15" s="14"/>
      <c r="AC15" s="14"/>
      <c r="AD15" s="12"/>
      <c r="AE15" s="12"/>
      <c r="AF15" s="12"/>
      <c r="AG15" s="12"/>
      <c r="AH15" s="12"/>
      <c r="AI15" s="12"/>
      <c r="AJ15" s="12"/>
      <c r="AK15" s="11" t="s">
        <v>45</v>
      </c>
      <c r="AL15" s="13" t="s">
        <v>44</v>
      </c>
      <c r="AM15" s="13" t="s">
        <v>44</v>
      </c>
      <c r="AN15" s="34"/>
      <c r="AO15" s="15"/>
      <c r="AP15" s="15"/>
    </row>
    <row r="16" ht="99.0" customHeight="1">
      <c r="A16" s="8" t="s">
        <v>36</v>
      </c>
      <c r="B16" s="9">
        <v>45278.474037002314</v>
      </c>
      <c r="C16" s="10" t="s">
        <v>101</v>
      </c>
      <c r="D16" s="11" t="s">
        <v>51</v>
      </c>
      <c r="E16" s="11" t="s">
        <v>52</v>
      </c>
      <c r="F16" s="11" t="s">
        <v>65</v>
      </c>
      <c r="G16" s="11" t="s">
        <v>54</v>
      </c>
      <c r="H16" s="16" t="s">
        <v>55</v>
      </c>
      <c r="I16" s="10">
        <v>550.0</v>
      </c>
      <c r="J16" s="11" t="s">
        <v>102</v>
      </c>
      <c r="K16" s="12"/>
      <c r="L16" s="11" t="s">
        <v>103</v>
      </c>
      <c r="M16" s="14"/>
      <c r="N16" s="13" t="s">
        <v>44</v>
      </c>
      <c r="O16" s="14"/>
      <c r="P16" s="14"/>
      <c r="Q16" s="14"/>
      <c r="R16" s="14"/>
      <c r="S16" s="14"/>
      <c r="T16" s="14"/>
      <c r="U16" s="14"/>
      <c r="V16" s="14"/>
      <c r="W16" s="14"/>
      <c r="X16" s="14"/>
      <c r="Y16" s="14"/>
      <c r="Z16" s="14"/>
      <c r="AA16" s="14"/>
      <c r="AB16" s="14"/>
      <c r="AC16" s="14"/>
      <c r="AD16" s="12"/>
      <c r="AE16" s="12"/>
      <c r="AF16" s="12"/>
      <c r="AG16" s="12"/>
      <c r="AH16" s="12"/>
      <c r="AI16" s="12"/>
      <c r="AJ16" s="12"/>
      <c r="AK16" s="11" t="s">
        <v>45</v>
      </c>
      <c r="AL16" s="13" t="s">
        <v>44</v>
      </c>
      <c r="AM16" s="13" t="s">
        <v>44</v>
      </c>
      <c r="AN16" s="11"/>
      <c r="AO16" s="15"/>
      <c r="AP16" s="15" t="s">
        <v>58</v>
      </c>
    </row>
    <row r="17" ht="99.0" customHeight="1">
      <c r="A17" s="31" t="s">
        <v>36</v>
      </c>
      <c r="B17" s="32">
        <v>45278.559575810184</v>
      </c>
      <c r="C17" s="33" t="s">
        <v>98</v>
      </c>
      <c r="D17" s="34" t="s">
        <v>51</v>
      </c>
      <c r="E17" s="34" t="s">
        <v>52</v>
      </c>
      <c r="F17" s="34" t="s">
        <v>40</v>
      </c>
      <c r="G17" s="34" t="s">
        <v>41</v>
      </c>
      <c r="H17" s="34" t="s">
        <v>89</v>
      </c>
      <c r="I17" s="33">
        <v>15000.0</v>
      </c>
      <c r="J17" s="34" t="s">
        <v>100</v>
      </c>
      <c r="K17" s="35"/>
      <c r="L17" s="35"/>
      <c r="M17" s="35"/>
      <c r="N17" s="13" t="s">
        <v>44</v>
      </c>
      <c r="O17" s="14"/>
      <c r="P17" s="14"/>
      <c r="Q17" s="14"/>
      <c r="R17" s="14"/>
      <c r="S17" s="14"/>
      <c r="T17" s="14"/>
      <c r="U17" s="14"/>
      <c r="V17" s="14"/>
      <c r="W17" s="14"/>
      <c r="X17" s="14"/>
      <c r="Y17" s="14"/>
      <c r="Z17" s="14"/>
      <c r="AA17" s="14"/>
      <c r="AB17" s="14"/>
      <c r="AC17" s="14"/>
      <c r="AD17" s="12"/>
      <c r="AE17" s="12"/>
      <c r="AF17" s="12"/>
      <c r="AG17" s="12"/>
      <c r="AH17" s="12"/>
      <c r="AI17" s="12"/>
      <c r="AJ17" s="12"/>
      <c r="AK17" s="11" t="s">
        <v>45</v>
      </c>
      <c r="AL17" s="13" t="s">
        <v>44</v>
      </c>
      <c r="AM17" s="13" t="s">
        <v>44</v>
      </c>
      <c r="AN17" s="34"/>
      <c r="AO17" s="15"/>
      <c r="AP17" s="15"/>
    </row>
    <row r="18" ht="99.0" customHeight="1">
      <c r="A18" s="17" t="s">
        <v>36</v>
      </c>
      <c r="B18" s="18">
        <v>45279.467398113426</v>
      </c>
      <c r="C18" s="19" t="s">
        <v>104</v>
      </c>
      <c r="D18" s="20" t="s">
        <v>105</v>
      </c>
      <c r="E18" s="20" t="s">
        <v>52</v>
      </c>
      <c r="F18" s="20" t="s">
        <v>65</v>
      </c>
      <c r="G18" s="20" t="s">
        <v>54</v>
      </c>
      <c r="H18" s="20" t="s">
        <v>55</v>
      </c>
      <c r="I18" s="19">
        <v>525.0</v>
      </c>
      <c r="J18" s="20" t="s">
        <v>102</v>
      </c>
      <c r="K18" s="29" t="s">
        <v>106</v>
      </c>
      <c r="L18" s="29" t="s">
        <v>107</v>
      </c>
      <c r="M18" s="22"/>
      <c r="N18" s="13" t="s">
        <v>44</v>
      </c>
      <c r="O18" s="14"/>
      <c r="P18" s="14"/>
      <c r="Q18" s="14"/>
      <c r="R18" s="14"/>
      <c r="S18" s="14"/>
      <c r="T18" s="14"/>
      <c r="U18" s="14"/>
      <c r="V18" s="14"/>
      <c r="W18" s="14"/>
      <c r="X18" s="14"/>
      <c r="Y18" s="14"/>
      <c r="Z18" s="14"/>
      <c r="AA18" s="14"/>
      <c r="AB18" s="14"/>
      <c r="AC18" s="14"/>
      <c r="AD18" s="12"/>
      <c r="AE18" s="12"/>
      <c r="AF18" s="12"/>
      <c r="AG18" s="12"/>
      <c r="AH18" s="12"/>
      <c r="AI18" s="12"/>
      <c r="AJ18" s="12"/>
      <c r="AK18" s="11" t="s">
        <v>45</v>
      </c>
      <c r="AL18" s="13" t="s">
        <v>44</v>
      </c>
      <c r="AM18" s="13" t="s">
        <v>44</v>
      </c>
      <c r="AN18" s="20"/>
      <c r="AO18" s="15"/>
      <c r="AP18" s="15"/>
    </row>
    <row r="19" ht="99.0" customHeight="1">
      <c r="A19" s="17" t="s">
        <v>36</v>
      </c>
      <c r="B19" s="18">
        <v>45279.54353164352</v>
      </c>
      <c r="C19" s="19" t="s">
        <v>108</v>
      </c>
      <c r="D19" s="20" t="s">
        <v>109</v>
      </c>
      <c r="E19" s="20" t="s">
        <v>52</v>
      </c>
      <c r="F19" s="20" t="s">
        <v>65</v>
      </c>
      <c r="G19" s="20" t="s">
        <v>54</v>
      </c>
      <c r="H19" s="16" t="s">
        <v>55</v>
      </c>
      <c r="I19" s="19">
        <v>525.0</v>
      </c>
      <c r="J19" s="20" t="s">
        <v>102</v>
      </c>
      <c r="K19" s="21"/>
      <c r="L19" s="20" t="s">
        <v>110</v>
      </c>
      <c r="M19" s="22"/>
      <c r="N19" s="13" t="s">
        <v>44</v>
      </c>
      <c r="O19" s="14"/>
      <c r="P19" s="14"/>
      <c r="Q19" s="14"/>
      <c r="R19" s="14"/>
      <c r="S19" s="14"/>
      <c r="T19" s="14"/>
      <c r="U19" s="14"/>
      <c r="V19" s="14"/>
      <c r="W19" s="14"/>
      <c r="X19" s="14"/>
      <c r="Y19" s="14"/>
      <c r="Z19" s="14"/>
      <c r="AA19" s="14"/>
      <c r="AB19" s="14"/>
      <c r="AC19" s="14"/>
      <c r="AD19" s="12"/>
      <c r="AE19" s="12"/>
      <c r="AF19" s="12"/>
      <c r="AG19" s="12"/>
      <c r="AH19" s="12"/>
      <c r="AI19" s="12"/>
      <c r="AJ19" s="12"/>
      <c r="AK19" s="11" t="s">
        <v>45</v>
      </c>
      <c r="AL19" s="13" t="s">
        <v>44</v>
      </c>
      <c r="AM19" s="13" t="s">
        <v>44</v>
      </c>
      <c r="AN19" s="20"/>
      <c r="AO19" s="15"/>
      <c r="AP19" s="15" t="s">
        <v>58</v>
      </c>
    </row>
    <row r="20" ht="99.0" customHeight="1">
      <c r="A20" s="8" t="s">
        <v>36</v>
      </c>
      <c r="B20" s="9">
        <v>45281.59727622685</v>
      </c>
      <c r="C20" s="10" t="s">
        <v>111</v>
      </c>
      <c r="D20" s="11" t="s">
        <v>51</v>
      </c>
      <c r="E20" s="11" t="s">
        <v>52</v>
      </c>
      <c r="F20" s="11" t="s">
        <v>65</v>
      </c>
      <c r="G20" s="11" t="s">
        <v>54</v>
      </c>
      <c r="H20" s="11" t="s">
        <v>47</v>
      </c>
      <c r="I20" s="10">
        <v>4000.0</v>
      </c>
      <c r="J20" s="11" t="s">
        <v>100</v>
      </c>
      <c r="K20" s="28" t="s">
        <v>112</v>
      </c>
      <c r="L20" s="11" t="s">
        <v>113</v>
      </c>
      <c r="M20" s="14"/>
      <c r="N20" s="13" t="s">
        <v>44</v>
      </c>
      <c r="O20" s="14"/>
      <c r="P20" s="14"/>
      <c r="Q20" s="14"/>
      <c r="R20" s="14"/>
      <c r="S20" s="14"/>
      <c r="T20" s="14"/>
      <c r="U20" s="14"/>
      <c r="V20" s="14"/>
      <c r="W20" s="14"/>
      <c r="X20" s="14"/>
      <c r="Y20" s="14"/>
      <c r="Z20" s="14"/>
      <c r="AA20" s="14"/>
      <c r="AB20" s="14"/>
      <c r="AC20" s="14"/>
      <c r="AD20" s="12"/>
      <c r="AE20" s="12"/>
      <c r="AF20" s="12"/>
      <c r="AG20" s="12"/>
      <c r="AH20" s="12"/>
      <c r="AI20" s="12"/>
      <c r="AJ20" s="12"/>
      <c r="AK20" s="11" t="s">
        <v>45</v>
      </c>
      <c r="AL20" s="13" t="s">
        <v>44</v>
      </c>
      <c r="AM20" s="13" t="s">
        <v>44</v>
      </c>
      <c r="AN20" s="11"/>
      <c r="AO20" s="15"/>
      <c r="AP20" s="15"/>
    </row>
    <row r="21" ht="99.0" customHeight="1">
      <c r="A21" s="8" t="s">
        <v>36</v>
      </c>
      <c r="B21" s="9">
        <v>45288.631560243055</v>
      </c>
      <c r="C21" s="10" t="s">
        <v>98</v>
      </c>
      <c r="D21" s="11" t="s">
        <v>51</v>
      </c>
      <c r="E21" s="11" t="s">
        <v>52</v>
      </c>
      <c r="F21" s="11" t="s">
        <v>65</v>
      </c>
      <c r="G21" s="11" t="s">
        <v>54</v>
      </c>
      <c r="H21" s="11" t="s">
        <v>47</v>
      </c>
      <c r="I21" s="10">
        <v>2500.0</v>
      </c>
      <c r="J21" s="11" t="s">
        <v>114</v>
      </c>
      <c r="K21" s="28" t="s">
        <v>115</v>
      </c>
      <c r="L21" s="11" t="s">
        <v>116</v>
      </c>
      <c r="M21" s="14"/>
      <c r="N21" s="11" t="s">
        <v>68</v>
      </c>
      <c r="O21" s="14"/>
      <c r="P21" s="14"/>
      <c r="Q21" s="14"/>
      <c r="R21" s="14"/>
      <c r="S21" s="14"/>
      <c r="T21" s="14"/>
      <c r="U21" s="14"/>
      <c r="V21" s="14"/>
      <c r="W21" s="14"/>
      <c r="X21" s="14"/>
      <c r="Y21" s="14"/>
      <c r="Z21" s="14"/>
      <c r="AA21" s="14"/>
      <c r="AB21" s="14"/>
      <c r="AC21" s="14"/>
      <c r="AD21" s="14"/>
      <c r="AE21" s="36">
        <v>45289.0</v>
      </c>
      <c r="AF21" s="14"/>
      <c r="AG21" s="36">
        <v>45289.0</v>
      </c>
      <c r="AH21" s="12"/>
      <c r="AI21" s="12"/>
      <c r="AJ21" s="37" t="s">
        <v>69</v>
      </c>
      <c r="AK21" s="30"/>
      <c r="AL21" s="27" t="s">
        <v>70</v>
      </c>
      <c r="AM21" s="14"/>
      <c r="AN21" s="11"/>
      <c r="AO21" s="38"/>
      <c r="AP21" s="38"/>
    </row>
    <row r="22" ht="99.0" customHeight="1">
      <c r="A22" s="8" t="s">
        <v>36</v>
      </c>
      <c r="B22" s="9">
        <v>45289.43520857639</v>
      </c>
      <c r="C22" s="10" t="s">
        <v>117</v>
      </c>
      <c r="D22" s="11" t="s">
        <v>51</v>
      </c>
      <c r="E22" s="11" t="s">
        <v>52</v>
      </c>
      <c r="F22" s="11" t="s">
        <v>65</v>
      </c>
      <c r="G22" s="11" t="s">
        <v>54</v>
      </c>
      <c r="H22" s="11" t="s">
        <v>61</v>
      </c>
      <c r="I22" s="10">
        <v>2500.0</v>
      </c>
      <c r="J22" s="11" t="s">
        <v>118</v>
      </c>
      <c r="K22" s="28" t="s">
        <v>115</v>
      </c>
      <c r="L22" s="11" t="s">
        <v>119</v>
      </c>
      <c r="M22" s="14"/>
      <c r="N22" s="11" t="s">
        <v>68</v>
      </c>
      <c r="O22" s="14"/>
      <c r="P22" s="14"/>
      <c r="Q22" s="14"/>
      <c r="R22" s="14"/>
      <c r="S22" s="14"/>
      <c r="T22" s="14"/>
      <c r="U22" s="14"/>
      <c r="V22" s="14"/>
      <c r="W22" s="14"/>
      <c r="X22" s="14"/>
      <c r="Y22" s="14"/>
      <c r="Z22" s="14"/>
      <c r="AA22" s="14"/>
      <c r="AB22" s="14"/>
      <c r="AC22" s="14"/>
      <c r="AD22" s="14"/>
      <c r="AE22" s="36">
        <v>45289.0</v>
      </c>
      <c r="AF22" s="14"/>
      <c r="AG22" s="36">
        <v>45289.0</v>
      </c>
      <c r="AH22" s="12"/>
      <c r="AI22" s="12"/>
      <c r="AJ22" s="37" t="s">
        <v>69</v>
      </c>
      <c r="AK22" s="30"/>
      <c r="AL22" s="27" t="s">
        <v>70</v>
      </c>
      <c r="AM22" s="14"/>
      <c r="AN22" s="11"/>
      <c r="AO22" s="38"/>
      <c r="AP22" s="38"/>
    </row>
    <row r="23" ht="99.0" customHeight="1">
      <c r="A23" s="8" t="s">
        <v>36</v>
      </c>
      <c r="B23" s="9">
        <v>45293.44997353009</v>
      </c>
      <c r="C23" s="10" t="s">
        <v>120</v>
      </c>
      <c r="D23" s="11" t="s">
        <v>51</v>
      </c>
      <c r="E23" s="11" t="s">
        <v>52</v>
      </c>
      <c r="F23" s="11" t="s">
        <v>65</v>
      </c>
      <c r="G23" s="11" t="s">
        <v>54</v>
      </c>
      <c r="H23" s="11" t="s">
        <v>61</v>
      </c>
      <c r="I23" s="10">
        <v>275.0</v>
      </c>
      <c r="J23" s="11" t="s">
        <v>121</v>
      </c>
      <c r="K23" s="12"/>
      <c r="L23" s="11" t="s">
        <v>122</v>
      </c>
      <c r="M23" s="14"/>
      <c r="N23" s="13" t="s">
        <v>44</v>
      </c>
      <c r="O23" s="14"/>
      <c r="P23" s="14"/>
      <c r="Q23" s="14"/>
      <c r="R23" s="14"/>
      <c r="S23" s="14"/>
      <c r="T23" s="14"/>
      <c r="U23" s="14"/>
      <c r="V23" s="14"/>
      <c r="W23" s="14"/>
      <c r="X23" s="14"/>
      <c r="Y23" s="14"/>
      <c r="Z23" s="14"/>
      <c r="AA23" s="14"/>
      <c r="AB23" s="14"/>
      <c r="AC23" s="14"/>
      <c r="AD23" s="12"/>
      <c r="AE23" s="12"/>
      <c r="AF23" s="12"/>
      <c r="AG23" s="12"/>
      <c r="AH23" s="12"/>
      <c r="AI23" s="12"/>
      <c r="AJ23" s="12"/>
      <c r="AK23" s="11" t="s">
        <v>45</v>
      </c>
      <c r="AL23" s="13" t="s">
        <v>44</v>
      </c>
      <c r="AM23" s="13" t="s">
        <v>44</v>
      </c>
      <c r="AN23" s="11" t="s">
        <v>71</v>
      </c>
      <c r="AO23" s="15" t="b">
        <v>1</v>
      </c>
      <c r="AP23" s="15"/>
    </row>
    <row r="24" ht="99.0" customHeight="1">
      <c r="A24" s="8" t="s">
        <v>36</v>
      </c>
      <c r="B24" s="9">
        <v>45294.401032141206</v>
      </c>
      <c r="C24" s="10" t="s">
        <v>123</v>
      </c>
      <c r="D24" s="11" t="s">
        <v>124</v>
      </c>
      <c r="E24" s="11" t="s">
        <v>52</v>
      </c>
      <c r="F24" s="11" t="s">
        <v>65</v>
      </c>
      <c r="G24" s="11" t="s">
        <v>54</v>
      </c>
      <c r="H24" s="11" t="s">
        <v>61</v>
      </c>
      <c r="I24" s="10">
        <v>2050.0</v>
      </c>
      <c r="J24" s="11" t="s">
        <v>118</v>
      </c>
      <c r="K24" s="28" t="s">
        <v>125</v>
      </c>
      <c r="L24" s="11" t="s">
        <v>126</v>
      </c>
      <c r="M24" s="14"/>
      <c r="N24" s="11" t="s">
        <v>68</v>
      </c>
      <c r="O24" s="14"/>
      <c r="P24" s="14"/>
      <c r="Q24" s="14"/>
      <c r="R24" s="14"/>
      <c r="S24" s="14"/>
      <c r="T24" s="14"/>
      <c r="U24" s="14"/>
      <c r="V24" s="14"/>
      <c r="W24" s="14"/>
      <c r="X24" s="14"/>
      <c r="Y24" s="14"/>
      <c r="Z24" s="14"/>
      <c r="AA24" s="14"/>
      <c r="AB24" s="14"/>
      <c r="AC24" s="14"/>
      <c r="AD24" s="14"/>
      <c r="AE24" s="25">
        <v>45295.0</v>
      </c>
      <c r="AF24" s="14"/>
      <c r="AG24" s="25">
        <v>45295.0</v>
      </c>
      <c r="AH24" s="12"/>
      <c r="AI24" s="12"/>
      <c r="AJ24" s="12"/>
      <c r="AK24" s="30"/>
      <c r="AL24" s="27" t="s">
        <v>70</v>
      </c>
      <c r="AM24" s="14"/>
      <c r="AN24" s="11"/>
      <c r="AO24" s="38"/>
      <c r="AP24" s="38"/>
    </row>
    <row r="25" ht="99.0" customHeight="1">
      <c r="A25" s="8" t="s">
        <v>36</v>
      </c>
      <c r="B25" s="9">
        <v>45294.438390474534</v>
      </c>
      <c r="C25" s="10" t="s">
        <v>37</v>
      </c>
      <c r="D25" s="11" t="s">
        <v>51</v>
      </c>
      <c r="E25" s="11" t="s">
        <v>52</v>
      </c>
      <c r="F25" s="11" t="s">
        <v>65</v>
      </c>
      <c r="G25" s="11" t="s">
        <v>41</v>
      </c>
      <c r="H25" s="8" t="s">
        <v>127</v>
      </c>
      <c r="I25" s="10">
        <v>1500.0</v>
      </c>
      <c r="J25" s="11" t="s">
        <v>128</v>
      </c>
      <c r="K25" s="12"/>
      <c r="L25" s="11" t="s">
        <v>129</v>
      </c>
      <c r="M25" s="14"/>
      <c r="N25" s="13" t="s">
        <v>44</v>
      </c>
      <c r="O25" s="14"/>
      <c r="P25" s="14"/>
      <c r="Q25" s="14"/>
      <c r="R25" s="14"/>
      <c r="S25" s="14"/>
      <c r="T25" s="14"/>
      <c r="U25" s="14"/>
      <c r="V25" s="14"/>
      <c r="W25" s="14"/>
      <c r="X25" s="14"/>
      <c r="Y25" s="14"/>
      <c r="Z25" s="14"/>
      <c r="AA25" s="14"/>
      <c r="AB25" s="14"/>
      <c r="AC25" s="14"/>
      <c r="AD25" s="12"/>
      <c r="AE25" s="12"/>
      <c r="AF25" s="12"/>
      <c r="AG25" s="12"/>
      <c r="AH25" s="12"/>
      <c r="AI25" s="12"/>
      <c r="AJ25" s="12"/>
      <c r="AK25" s="11" t="s">
        <v>45</v>
      </c>
      <c r="AL25" s="13" t="s">
        <v>44</v>
      </c>
      <c r="AM25" s="13" t="s">
        <v>44</v>
      </c>
      <c r="AN25" s="11" t="s">
        <v>71</v>
      </c>
      <c r="AO25" s="15" t="b">
        <v>1</v>
      </c>
      <c r="AP25" s="15"/>
    </row>
    <row r="26" ht="99.0" customHeight="1">
      <c r="A26" s="8" t="s">
        <v>36</v>
      </c>
      <c r="B26" s="9">
        <v>45294.462796817126</v>
      </c>
      <c r="C26" s="10" t="s">
        <v>130</v>
      </c>
      <c r="D26" s="11" t="s">
        <v>51</v>
      </c>
      <c r="E26" s="11" t="s">
        <v>52</v>
      </c>
      <c r="F26" s="11" t="s">
        <v>53</v>
      </c>
      <c r="G26" s="11" t="s">
        <v>131</v>
      </c>
      <c r="H26" s="11" t="s">
        <v>61</v>
      </c>
      <c r="I26" s="10">
        <v>2500.0</v>
      </c>
      <c r="J26" s="11" t="s">
        <v>100</v>
      </c>
      <c r="K26" s="28" t="s">
        <v>132</v>
      </c>
      <c r="L26" s="11" t="s">
        <v>133</v>
      </c>
      <c r="M26" s="14"/>
      <c r="N26" s="11" t="s">
        <v>96</v>
      </c>
      <c r="O26" s="14"/>
      <c r="P26" s="14"/>
      <c r="Q26" s="14"/>
      <c r="R26" s="14"/>
      <c r="S26" s="14"/>
      <c r="T26" s="14"/>
      <c r="U26" s="14"/>
      <c r="V26" s="14"/>
      <c r="W26" s="14"/>
      <c r="X26" s="14"/>
      <c r="Y26" s="14"/>
      <c r="Z26" s="14"/>
      <c r="AA26" s="14"/>
      <c r="AB26" s="14"/>
      <c r="AC26" s="14"/>
      <c r="AD26" s="14"/>
      <c r="AE26" s="25">
        <v>45295.0</v>
      </c>
      <c r="AF26" s="14"/>
      <c r="AG26" s="25">
        <v>45295.0</v>
      </c>
      <c r="AH26" s="12"/>
      <c r="AI26" s="12"/>
      <c r="AJ26" s="12"/>
      <c r="AK26" s="30"/>
      <c r="AL26" s="27" t="s">
        <v>70</v>
      </c>
      <c r="AM26" s="14"/>
      <c r="AN26" s="11"/>
      <c r="AO26" s="38"/>
      <c r="AP26" s="38"/>
    </row>
    <row r="27" ht="99.0" customHeight="1">
      <c r="A27" s="31" t="s">
        <v>36</v>
      </c>
      <c r="B27" s="32">
        <v>45294.4808256713</v>
      </c>
      <c r="C27" s="33" t="s">
        <v>134</v>
      </c>
      <c r="D27" s="34" t="s">
        <v>105</v>
      </c>
      <c r="E27" s="34" t="s">
        <v>39</v>
      </c>
      <c r="F27" s="34" t="s">
        <v>60</v>
      </c>
      <c r="G27" s="34" t="s">
        <v>60</v>
      </c>
      <c r="H27" s="34" t="s">
        <v>99</v>
      </c>
      <c r="I27" s="33">
        <v>30000.0</v>
      </c>
      <c r="J27" s="34" t="s">
        <v>43</v>
      </c>
      <c r="K27" s="35"/>
      <c r="L27" s="35"/>
      <c r="M27" s="35"/>
      <c r="N27" s="13" t="s">
        <v>44</v>
      </c>
      <c r="O27" s="14"/>
      <c r="P27" s="14"/>
      <c r="Q27" s="14"/>
      <c r="R27" s="14"/>
      <c r="S27" s="14"/>
      <c r="T27" s="14"/>
      <c r="U27" s="14"/>
      <c r="V27" s="14"/>
      <c r="W27" s="14"/>
      <c r="X27" s="14"/>
      <c r="Y27" s="14"/>
      <c r="Z27" s="14"/>
      <c r="AA27" s="14"/>
      <c r="AB27" s="14"/>
      <c r="AC27" s="14"/>
      <c r="AD27" s="12"/>
      <c r="AE27" s="12"/>
      <c r="AF27" s="12"/>
      <c r="AG27" s="12"/>
      <c r="AH27" s="12"/>
      <c r="AI27" s="12"/>
      <c r="AJ27" s="12"/>
      <c r="AK27" s="11" t="s">
        <v>45</v>
      </c>
      <c r="AL27" s="13" t="s">
        <v>44</v>
      </c>
      <c r="AM27" s="13" t="s">
        <v>44</v>
      </c>
      <c r="AN27" s="34"/>
      <c r="AO27" s="15"/>
      <c r="AP27" s="15"/>
    </row>
    <row r="28" ht="99.0" customHeight="1">
      <c r="A28" s="8" t="s">
        <v>36</v>
      </c>
      <c r="B28" s="9">
        <v>45294.49725775463</v>
      </c>
      <c r="C28" s="10" t="s">
        <v>130</v>
      </c>
      <c r="D28" s="11" t="s">
        <v>51</v>
      </c>
      <c r="E28" s="11" t="s">
        <v>52</v>
      </c>
      <c r="F28" s="11" t="s">
        <v>53</v>
      </c>
      <c r="G28" s="11" t="s">
        <v>131</v>
      </c>
      <c r="H28" s="39" t="s">
        <v>127</v>
      </c>
      <c r="I28" s="10">
        <v>150.0</v>
      </c>
      <c r="J28" s="11" t="s">
        <v>100</v>
      </c>
      <c r="K28" s="28" t="s">
        <v>135</v>
      </c>
      <c r="L28" s="11" t="s">
        <v>136</v>
      </c>
      <c r="M28" s="14"/>
      <c r="N28" s="11" t="s">
        <v>96</v>
      </c>
      <c r="O28" s="14"/>
      <c r="P28" s="14"/>
      <c r="Q28" s="14"/>
      <c r="R28" s="14"/>
      <c r="S28" s="14"/>
      <c r="T28" s="14"/>
      <c r="U28" s="14"/>
      <c r="V28" s="14"/>
      <c r="W28" s="14"/>
      <c r="X28" s="14"/>
      <c r="Y28" s="14"/>
      <c r="Z28" s="14"/>
      <c r="AA28" s="14"/>
      <c r="AB28" s="14"/>
      <c r="AC28" s="14"/>
      <c r="AD28" s="14"/>
      <c r="AE28" s="25">
        <v>45295.0</v>
      </c>
      <c r="AF28" s="14"/>
      <c r="AG28" s="25">
        <v>45295.0</v>
      </c>
      <c r="AH28" s="12"/>
      <c r="AI28" s="12"/>
      <c r="AJ28" s="12"/>
      <c r="AK28" s="30"/>
      <c r="AL28" s="27" t="s">
        <v>70</v>
      </c>
      <c r="AM28" s="14"/>
      <c r="AN28" s="11"/>
      <c r="AO28" s="38"/>
      <c r="AP28" s="38"/>
    </row>
    <row r="29" ht="99.0" customHeight="1">
      <c r="A29" s="31" t="s">
        <v>36</v>
      </c>
      <c r="B29" s="32">
        <v>45294.52304130787</v>
      </c>
      <c r="C29" s="33" t="s">
        <v>88</v>
      </c>
      <c r="D29" s="34" t="s">
        <v>51</v>
      </c>
      <c r="E29" s="34" t="s">
        <v>52</v>
      </c>
      <c r="F29" s="34" t="s">
        <v>65</v>
      </c>
      <c r="G29" s="34" t="s">
        <v>54</v>
      </c>
      <c r="H29" s="31" t="s">
        <v>89</v>
      </c>
      <c r="I29" s="33">
        <v>15000.0</v>
      </c>
      <c r="J29" s="34" t="s">
        <v>90</v>
      </c>
      <c r="K29" s="35"/>
      <c r="L29" s="35"/>
      <c r="M29" s="35"/>
      <c r="N29" s="13" t="s">
        <v>44</v>
      </c>
      <c r="O29" s="14"/>
      <c r="P29" s="14"/>
      <c r="Q29" s="14"/>
      <c r="R29" s="14"/>
      <c r="S29" s="14"/>
      <c r="T29" s="14"/>
      <c r="U29" s="14"/>
      <c r="V29" s="14"/>
      <c r="W29" s="14"/>
      <c r="X29" s="14"/>
      <c r="Y29" s="14"/>
      <c r="Z29" s="14"/>
      <c r="AA29" s="14"/>
      <c r="AB29" s="14"/>
      <c r="AC29" s="14"/>
      <c r="AD29" s="12"/>
      <c r="AE29" s="12"/>
      <c r="AF29" s="12"/>
      <c r="AG29" s="12"/>
      <c r="AH29" s="12"/>
      <c r="AI29" s="12"/>
      <c r="AJ29" s="12"/>
      <c r="AK29" s="11" t="s">
        <v>45</v>
      </c>
      <c r="AL29" s="13" t="s">
        <v>44</v>
      </c>
      <c r="AM29" s="13" t="s">
        <v>44</v>
      </c>
      <c r="AN29" s="34"/>
      <c r="AO29" s="15"/>
      <c r="AP29" s="15"/>
    </row>
    <row r="30" ht="99.0" customHeight="1">
      <c r="A30" s="8" t="s">
        <v>36</v>
      </c>
      <c r="B30" s="9">
        <v>45294.670295752316</v>
      </c>
      <c r="C30" s="10" t="s">
        <v>137</v>
      </c>
      <c r="D30" s="11" t="s">
        <v>51</v>
      </c>
      <c r="E30" s="11" t="s">
        <v>138</v>
      </c>
      <c r="F30" s="11" t="s">
        <v>139</v>
      </c>
      <c r="G30" s="11" t="s">
        <v>54</v>
      </c>
      <c r="H30" s="11" t="s">
        <v>61</v>
      </c>
      <c r="I30" s="10">
        <v>2500.0</v>
      </c>
      <c r="J30" s="11" t="s">
        <v>102</v>
      </c>
      <c r="K30" s="12"/>
      <c r="L30" s="11" t="s">
        <v>140</v>
      </c>
      <c r="M30" s="14"/>
      <c r="N30" s="11" t="s">
        <v>68</v>
      </c>
      <c r="O30" s="14"/>
      <c r="P30" s="14"/>
      <c r="Q30" s="14"/>
      <c r="R30" s="14"/>
      <c r="S30" s="14"/>
      <c r="T30" s="14"/>
      <c r="U30" s="14"/>
      <c r="V30" s="14"/>
      <c r="W30" s="14"/>
      <c r="X30" s="14"/>
      <c r="Y30" s="14"/>
      <c r="Z30" s="14"/>
      <c r="AA30" s="14"/>
      <c r="AB30" s="14"/>
      <c r="AC30" s="14"/>
      <c r="AD30" s="14"/>
      <c r="AE30" s="25">
        <v>45295.0</v>
      </c>
      <c r="AF30" s="14"/>
      <c r="AG30" s="25">
        <v>45295.0</v>
      </c>
      <c r="AH30" s="12"/>
      <c r="AI30" s="12"/>
      <c r="AJ30" s="12"/>
      <c r="AK30" s="30"/>
      <c r="AL30" s="27" t="s">
        <v>70</v>
      </c>
      <c r="AM30" s="14"/>
      <c r="AN30" s="11"/>
      <c r="AO30" s="38"/>
      <c r="AP30" s="38"/>
    </row>
    <row r="31" ht="99.0" customHeight="1">
      <c r="A31" s="17" t="s">
        <v>36</v>
      </c>
      <c r="B31" s="18">
        <v>45294.71450381944</v>
      </c>
      <c r="C31" s="19" t="s">
        <v>141</v>
      </c>
      <c r="D31" s="20" t="s">
        <v>142</v>
      </c>
      <c r="E31" s="20" t="s">
        <v>52</v>
      </c>
      <c r="F31" s="20" t="s">
        <v>65</v>
      </c>
      <c r="G31" s="20" t="s">
        <v>60</v>
      </c>
      <c r="H31" s="20" t="s">
        <v>143</v>
      </c>
      <c r="I31" s="19">
        <v>1000.0</v>
      </c>
      <c r="J31" s="20" t="s">
        <v>114</v>
      </c>
      <c r="K31" s="29" t="s">
        <v>144</v>
      </c>
      <c r="L31" s="20" t="s">
        <v>145</v>
      </c>
      <c r="M31" s="22"/>
      <c r="N31" s="13" t="s">
        <v>44</v>
      </c>
      <c r="O31" s="14"/>
      <c r="P31" s="14"/>
      <c r="Q31" s="14"/>
      <c r="R31" s="14"/>
      <c r="S31" s="14"/>
      <c r="T31" s="14"/>
      <c r="U31" s="14"/>
      <c r="V31" s="14"/>
      <c r="W31" s="14"/>
      <c r="X31" s="14"/>
      <c r="Y31" s="14"/>
      <c r="Z31" s="14"/>
      <c r="AA31" s="14"/>
      <c r="AB31" s="14"/>
      <c r="AC31" s="14"/>
      <c r="AD31" s="12"/>
      <c r="AE31" s="12"/>
      <c r="AF31" s="12"/>
      <c r="AG31" s="12"/>
      <c r="AH31" s="12"/>
      <c r="AI31" s="12"/>
      <c r="AJ31" s="12"/>
      <c r="AK31" s="11" t="s">
        <v>45</v>
      </c>
      <c r="AL31" s="13" t="s">
        <v>44</v>
      </c>
      <c r="AM31" s="13" t="s">
        <v>44</v>
      </c>
      <c r="AN31" s="20"/>
      <c r="AO31" s="15"/>
      <c r="AP31" s="15"/>
    </row>
    <row r="32" ht="99.0" customHeight="1">
      <c r="A32" s="8" t="s">
        <v>36</v>
      </c>
      <c r="B32" s="9">
        <v>45294.71666900463</v>
      </c>
      <c r="C32" s="10" t="s">
        <v>141</v>
      </c>
      <c r="D32" s="11" t="s">
        <v>142</v>
      </c>
      <c r="E32" s="11" t="s">
        <v>52</v>
      </c>
      <c r="F32" s="11" t="s">
        <v>65</v>
      </c>
      <c r="G32" s="11" t="s">
        <v>54</v>
      </c>
      <c r="H32" s="11" t="s">
        <v>143</v>
      </c>
      <c r="I32" s="10">
        <v>1000.0</v>
      </c>
      <c r="J32" s="11" t="s">
        <v>114</v>
      </c>
      <c r="K32" s="28" t="s">
        <v>146</v>
      </c>
      <c r="L32" s="11" t="s">
        <v>147</v>
      </c>
      <c r="M32" s="14"/>
      <c r="N32" s="13" t="s">
        <v>44</v>
      </c>
      <c r="O32" s="14"/>
      <c r="P32" s="14"/>
      <c r="Q32" s="14"/>
      <c r="R32" s="14"/>
      <c r="S32" s="14"/>
      <c r="T32" s="14"/>
      <c r="U32" s="14"/>
      <c r="V32" s="14"/>
      <c r="W32" s="14"/>
      <c r="X32" s="14"/>
      <c r="Y32" s="14"/>
      <c r="Z32" s="14"/>
      <c r="AA32" s="14"/>
      <c r="AB32" s="14"/>
      <c r="AC32" s="14"/>
      <c r="AD32" s="12"/>
      <c r="AE32" s="12"/>
      <c r="AF32" s="12"/>
      <c r="AG32" s="12"/>
      <c r="AH32" s="12"/>
      <c r="AI32" s="12"/>
      <c r="AJ32" s="12"/>
      <c r="AK32" s="11" t="s">
        <v>45</v>
      </c>
      <c r="AL32" s="13" t="s">
        <v>44</v>
      </c>
      <c r="AM32" s="13" t="s">
        <v>44</v>
      </c>
      <c r="AN32" s="11"/>
      <c r="AO32" s="15"/>
      <c r="AP32" s="15"/>
    </row>
    <row r="33" ht="99.0" customHeight="1">
      <c r="A33" s="8" t="s">
        <v>36</v>
      </c>
      <c r="B33" s="9">
        <v>45296.41230302083</v>
      </c>
      <c r="C33" s="10" t="s">
        <v>148</v>
      </c>
      <c r="D33" s="11" t="s">
        <v>51</v>
      </c>
      <c r="E33" s="11" t="s">
        <v>149</v>
      </c>
      <c r="F33" s="11" t="s">
        <v>80</v>
      </c>
      <c r="G33" s="11" t="s">
        <v>41</v>
      </c>
      <c r="H33" s="8" t="s">
        <v>55</v>
      </c>
      <c r="I33" s="10">
        <v>525.0</v>
      </c>
      <c r="J33" s="11" t="s">
        <v>100</v>
      </c>
      <c r="K33" s="12"/>
      <c r="L33" s="28" t="s">
        <v>107</v>
      </c>
      <c r="M33" s="14"/>
      <c r="N33" s="13" t="s">
        <v>44</v>
      </c>
      <c r="O33" s="14"/>
      <c r="P33" s="14"/>
      <c r="Q33" s="14"/>
      <c r="R33" s="14"/>
      <c r="S33" s="14"/>
      <c r="T33" s="14"/>
      <c r="U33" s="14"/>
      <c r="V33" s="14"/>
      <c r="W33" s="14"/>
      <c r="X33" s="14"/>
      <c r="Y33" s="14"/>
      <c r="Z33" s="14"/>
      <c r="AA33" s="14"/>
      <c r="AB33" s="14"/>
      <c r="AC33" s="14"/>
      <c r="AD33" s="12"/>
      <c r="AE33" s="12"/>
      <c r="AF33" s="12"/>
      <c r="AG33" s="12"/>
      <c r="AH33" s="12"/>
      <c r="AI33" s="12"/>
      <c r="AJ33" s="12"/>
      <c r="AK33" s="11" t="s">
        <v>45</v>
      </c>
      <c r="AL33" s="13" t="s">
        <v>44</v>
      </c>
      <c r="AM33" s="13" t="s">
        <v>44</v>
      </c>
      <c r="AN33" s="11"/>
      <c r="AO33" s="15"/>
      <c r="AP33" s="15"/>
    </row>
    <row r="34" ht="99.0" customHeight="1">
      <c r="A34" s="8" t="s">
        <v>36</v>
      </c>
      <c r="B34" s="9">
        <v>45296.721503402776</v>
      </c>
      <c r="C34" s="10" t="s">
        <v>150</v>
      </c>
      <c r="D34" s="11" t="s">
        <v>51</v>
      </c>
      <c r="E34" s="11" t="s">
        <v>52</v>
      </c>
      <c r="F34" s="11" t="s">
        <v>40</v>
      </c>
      <c r="G34" s="11" t="s">
        <v>54</v>
      </c>
      <c r="H34" s="11" t="s">
        <v>47</v>
      </c>
      <c r="I34" s="10">
        <v>325.0</v>
      </c>
      <c r="J34" s="11" t="s">
        <v>100</v>
      </c>
      <c r="K34" s="28" t="s">
        <v>151</v>
      </c>
      <c r="L34" s="11" t="s">
        <v>152</v>
      </c>
      <c r="M34" s="14"/>
      <c r="N34" s="11" t="s">
        <v>96</v>
      </c>
      <c r="O34" s="14"/>
      <c r="P34" s="14"/>
      <c r="Q34" s="14"/>
      <c r="R34" s="14"/>
      <c r="S34" s="14"/>
      <c r="T34" s="14"/>
      <c r="U34" s="14"/>
      <c r="V34" s="14"/>
      <c r="W34" s="14"/>
      <c r="X34" s="14"/>
      <c r="Y34" s="14"/>
      <c r="Z34" s="14"/>
      <c r="AA34" s="14"/>
      <c r="AB34" s="14"/>
      <c r="AC34" s="14"/>
      <c r="AD34" s="14"/>
      <c r="AE34" s="25">
        <v>45300.0</v>
      </c>
      <c r="AF34" s="14"/>
      <c r="AG34" s="25">
        <v>45300.0</v>
      </c>
      <c r="AH34" s="12"/>
      <c r="AI34" s="12"/>
      <c r="AJ34" s="37" t="s">
        <v>69</v>
      </c>
      <c r="AK34" s="12"/>
      <c r="AL34" s="27" t="s">
        <v>44</v>
      </c>
      <c r="AM34" s="14"/>
      <c r="AN34" s="11"/>
      <c r="AO34" s="38"/>
      <c r="AP34" s="38"/>
    </row>
    <row r="35" ht="99.0" customHeight="1">
      <c r="A35" s="8" t="s">
        <v>36</v>
      </c>
      <c r="B35" s="25">
        <v>45299.0</v>
      </c>
      <c r="C35" s="10" t="s">
        <v>153</v>
      </c>
      <c r="D35" s="11" t="s">
        <v>142</v>
      </c>
      <c r="E35" s="11" t="s">
        <v>52</v>
      </c>
      <c r="F35" s="11" t="s">
        <v>65</v>
      </c>
      <c r="G35" s="11" t="s">
        <v>131</v>
      </c>
      <c r="H35" s="11" t="s">
        <v>127</v>
      </c>
      <c r="I35" s="10">
        <v>66.93</v>
      </c>
      <c r="J35" s="11" t="s">
        <v>100</v>
      </c>
      <c r="K35" s="11"/>
      <c r="L35" s="11" t="s">
        <v>154</v>
      </c>
      <c r="M35" s="14"/>
      <c r="N35" s="11" t="s">
        <v>96</v>
      </c>
      <c r="O35" s="14"/>
      <c r="P35" s="14"/>
      <c r="Q35" s="14"/>
      <c r="R35" s="14"/>
      <c r="S35" s="14"/>
      <c r="T35" s="14"/>
      <c r="U35" s="14"/>
      <c r="V35" s="14"/>
      <c r="W35" s="14"/>
      <c r="X35" s="14"/>
      <c r="Y35" s="14"/>
      <c r="Z35" s="14"/>
      <c r="AA35" s="14"/>
      <c r="AB35" s="14"/>
      <c r="AC35" s="14"/>
      <c r="AD35" s="14"/>
      <c r="AE35" s="25">
        <v>45303.0</v>
      </c>
      <c r="AF35" s="14"/>
      <c r="AG35" s="25">
        <v>45307.0</v>
      </c>
      <c r="AH35" s="12"/>
      <c r="AI35" s="12"/>
      <c r="AJ35" s="37"/>
      <c r="AK35" s="12"/>
      <c r="AL35" s="27" t="s">
        <v>44</v>
      </c>
      <c r="AM35" s="14"/>
      <c r="AN35" s="11"/>
      <c r="AO35" s="38"/>
      <c r="AP35" s="38"/>
    </row>
    <row r="36" ht="99.0" customHeight="1">
      <c r="A36" s="8" t="s">
        <v>36</v>
      </c>
      <c r="B36" s="9">
        <v>45299.48166954861</v>
      </c>
      <c r="C36" s="10" t="s">
        <v>155</v>
      </c>
      <c r="D36" s="11" t="s">
        <v>156</v>
      </c>
      <c r="E36" s="11" t="s">
        <v>52</v>
      </c>
      <c r="F36" s="11" t="s">
        <v>65</v>
      </c>
      <c r="G36" s="11" t="s">
        <v>54</v>
      </c>
      <c r="H36" s="11" t="s">
        <v>61</v>
      </c>
      <c r="I36" s="10">
        <v>3000.0</v>
      </c>
      <c r="J36" s="11" t="s">
        <v>157</v>
      </c>
      <c r="K36" s="28" t="s">
        <v>158</v>
      </c>
      <c r="L36" s="11" t="s">
        <v>159</v>
      </c>
      <c r="M36" s="14"/>
      <c r="N36" s="11" t="s">
        <v>96</v>
      </c>
      <c r="O36" s="14"/>
      <c r="P36" s="14"/>
      <c r="Q36" s="14"/>
      <c r="R36" s="14"/>
      <c r="S36" s="14"/>
      <c r="T36" s="14"/>
      <c r="U36" s="14"/>
      <c r="V36" s="14"/>
      <c r="W36" s="14"/>
      <c r="X36" s="14"/>
      <c r="Y36" s="14"/>
      <c r="Z36" s="14"/>
      <c r="AA36" s="14"/>
      <c r="AB36" s="14"/>
      <c r="AC36" s="14"/>
      <c r="AD36" s="14"/>
      <c r="AE36" s="25">
        <v>45300.0</v>
      </c>
      <c r="AF36" s="14"/>
      <c r="AG36" s="25">
        <v>45300.0</v>
      </c>
      <c r="AH36" s="12"/>
      <c r="AI36" s="12"/>
      <c r="AJ36" s="37" t="s">
        <v>69</v>
      </c>
      <c r="AK36" s="12"/>
      <c r="AL36" s="27" t="s">
        <v>44</v>
      </c>
      <c r="AM36" s="14"/>
      <c r="AN36" s="11"/>
      <c r="AO36" s="38"/>
      <c r="AP36" s="38"/>
    </row>
    <row r="37" ht="99.0" customHeight="1">
      <c r="A37" s="8" t="s">
        <v>36</v>
      </c>
      <c r="B37" s="9">
        <v>45299.497547604165</v>
      </c>
      <c r="C37" s="10" t="s">
        <v>160</v>
      </c>
      <c r="D37" s="11" t="s">
        <v>109</v>
      </c>
      <c r="E37" s="11" t="s">
        <v>52</v>
      </c>
      <c r="F37" s="11" t="s">
        <v>65</v>
      </c>
      <c r="G37" s="11" t="s">
        <v>54</v>
      </c>
      <c r="H37" s="11" t="s">
        <v>61</v>
      </c>
      <c r="I37" s="10">
        <v>3000.0</v>
      </c>
      <c r="J37" s="11" t="s">
        <v>157</v>
      </c>
      <c r="K37" s="12"/>
      <c r="L37" s="24" t="s">
        <v>161</v>
      </c>
      <c r="M37" s="40"/>
      <c r="N37" s="11" t="s">
        <v>68</v>
      </c>
      <c r="O37" s="40"/>
      <c r="P37" s="40"/>
      <c r="Q37" s="40"/>
      <c r="R37" s="40"/>
      <c r="S37" s="40"/>
      <c r="T37" s="40"/>
      <c r="U37" s="40"/>
      <c r="V37" s="40"/>
      <c r="W37" s="40"/>
      <c r="X37" s="40"/>
      <c r="Y37" s="40"/>
      <c r="Z37" s="40"/>
      <c r="AA37" s="40"/>
      <c r="AB37" s="40"/>
      <c r="AC37" s="40"/>
      <c r="AD37" s="40"/>
      <c r="AE37" s="25">
        <v>45300.0</v>
      </c>
      <c r="AF37" s="40"/>
      <c r="AG37" s="25">
        <v>45300.0</v>
      </c>
      <c r="AH37" s="12"/>
      <c r="AI37" s="12"/>
      <c r="AJ37" s="37" t="s">
        <v>69</v>
      </c>
      <c r="AK37" s="12"/>
      <c r="AL37" s="27" t="s">
        <v>70</v>
      </c>
      <c r="AM37" s="40"/>
      <c r="AN37" s="11"/>
      <c r="AO37" s="41"/>
      <c r="AP37" s="41"/>
    </row>
    <row r="38" ht="99.0" customHeight="1">
      <c r="A38" s="8" t="s">
        <v>36</v>
      </c>
      <c r="B38" s="9">
        <v>45299.51587508102</v>
      </c>
      <c r="C38" s="10" t="s">
        <v>162</v>
      </c>
      <c r="D38" s="11" t="s">
        <v>51</v>
      </c>
      <c r="E38" s="11" t="s">
        <v>52</v>
      </c>
      <c r="F38" s="11" t="s">
        <v>65</v>
      </c>
      <c r="G38" s="11" t="s">
        <v>131</v>
      </c>
      <c r="H38" s="11" t="s">
        <v>55</v>
      </c>
      <c r="I38" s="10">
        <v>525.0</v>
      </c>
      <c r="J38" s="11" t="s">
        <v>157</v>
      </c>
      <c r="K38" s="12"/>
      <c r="L38" s="11" t="s">
        <v>163</v>
      </c>
      <c r="M38" s="14"/>
      <c r="N38" s="14"/>
      <c r="O38" s="14"/>
      <c r="P38" s="14"/>
      <c r="Q38" s="14"/>
      <c r="R38" s="14"/>
      <c r="S38" s="14"/>
      <c r="T38" s="14"/>
      <c r="U38" s="14"/>
      <c r="V38" s="14"/>
      <c r="W38" s="14"/>
      <c r="X38" s="14"/>
      <c r="Y38" s="14"/>
      <c r="Z38" s="14"/>
      <c r="AA38" s="14"/>
      <c r="AB38" s="14"/>
      <c r="AC38" s="14"/>
      <c r="AD38" s="14"/>
      <c r="AE38" s="25">
        <v>45300.0</v>
      </c>
      <c r="AF38" s="14"/>
      <c r="AG38" s="25">
        <v>45300.0</v>
      </c>
      <c r="AH38" s="12"/>
      <c r="AI38" s="12"/>
      <c r="AJ38" s="37" t="s">
        <v>69</v>
      </c>
      <c r="AK38" s="12"/>
      <c r="AL38" s="27" t="s">
        <v>44</v>
      </c>
      <c r="AM38" s="14"/>
      <c r="AN38" s="11"/>
      <c r="AO38" s="38"/>
      <c r="AP38" s="15"/>
    </row>
    <row r="39" ht="99.0" customHeight="1">
      <c r="A39" s="8" t="s">
        <v>36</v>
      </c>
      <c r="B39" s="9">
        <v>45299.95303296296</v>
      </c>
      <c r="C39" s="10" t="s">
        <v>153</v>
      </c>
      <c r="D39" s="11" t="s">
        <v>142</v>
      </c>
      <c r="E39" s="11" t="s">
        <v>52</v>
      </c>
      <c r="F39" s="11" t="s">
        <v>65</v>
      </c>
      <c r="G39" s="11" t="s">
        <v>131</v>
      </c>
      <c r="H39" s="11" t="s">
        <v>127</v>
      </c>
      <c r="I39" s="10">
        <v>3568.97</v>
      </c>
      <c r="J39" s="11" t="s">
        <v>100</v>
      </c>
      <c r="K39" s="28" t="s">
        <v>164</v>
      </c>
      <c r="L39" s="11" t="s">
        <v>165</v>
      </c>
      <c r="M39" s="14"/>
      <c r="N39" s="11" t="s">
        <v>96</v>
      </c>
      <c r="O39" s="14"/>
      <c r="P39" s="14"/>
      <c r="Q39" s="14"/>
      <c r="R39" s="14"/>
      <c r="S39" s="14"/>
      <c r="T39" s="14"/>
      <c r="U39" s="14"/>
      <c r="V39" s="14"/>
      <c r="W39" s="14"/>
      <c r="X39" s="14"/>
      <c r="Y39" s="14"/>
      <c r="Z39" s="14"/>
      <c r="AA39" s="14"/>
      <c r="AB39" s="14"/>
      <c r="AC39" s="14"/>
      <c r="AD39" s="14"/>
      <c r="AE39" s="25">
        <v>45303.0</v>
      </c>
      <c r="AF39" s="14"/>
      <c r="AG39" s="25">
        <v>45307.0</v>
      </c>
      <c r="AH39" s="12"/>
      <c r="AI39" s="12"/>
      <c r="AJ39" s="37" t="s">
        <v>69</v>
      </c>
      <c r="AK39" s="12"/>
      <c r="AL39" s="27" t="s">
        <v>44</v>
      </c>
      <c r="AM39" s="14"/>
      <c r="AN39" s="11"/>
      <c r="AO39" s="38"/>
      <c r="AP39" s="38"/>
    </row>
    <row r="40" ht="99.0" customHeight="1">
      <c r="A40" s="8" t="s">
        <v>36</v>
      </c>
      <c r="B40" s="9">
        <v>45301.33248063657</v>
      </c>
      <c r="C40" s="10" t="s">
        <v>166</v>
      </c>
      <c r="D40" s="11" t="s">
        <v>51</v>
      </c>
      <c r="E40" s="11" t="s">
        <v>52</v>
      </c>
      <c r="F40" s="11" t="s">
        <v>65</v>
      </c>
      <c r="G40" s="11" t="s">
        <v>41</v>
      </c>
      <c r="H40" s="39" t="s">
        <v>127</v>
      </c>
      <c r="I40" s="10">
        <v>129.98</v>
      </c>
      <c r="J40" s="11" t="s">
        <v>100</v>
      </c>
      <c r="K40" s="12"/>
      <c r="L40" s="24" t="s">
        <v>167</v>
      </c>
      <c r="M40" s="14"/>
      <c r="N40" s="11" t="s">
        <v>96</v>
      </c>
      <c r="O40" s="14"/>
      <c r="P40" s="14"/>
      <c r="Q40" s="14"/>
      <c r="R40" s="14"/>
      <c r="S40" s="14"/>
      <c r="T40" s="14"/>
      <c r="U40" s="14"/>
      <c r="V40" s="14"/>
      <c r="W40" s="14"/>
      <c r="X40" s="14"/>
      <c r="Y40" s="14"/>
      <c r="Z40" s="14"/>
      <c r="AA40" s="14"/>
      <c r="AB40" s="14"/>
      <c r="AC40" s="14"/>
      <c r="AD40" s="14"/>
      <c r="AE40" s="25">
        <v>45303.0</v>
      </c>
      <c r="AF40" s="14"/>
      <c r="AG40" s="25">
        <v>45307.0</v>
      </c>
      <c r="AH40" s="12"/>
      <c r="AI40" s="12"/>
      <c r="AJ40" s="37" t="s">
        <v>69</v>
      </c>
      <c r="AK40" s="12"/>
      <c r="AL40" s="27" t="s">
        <v>44</v>
      </c>
      <c r="AM40" s="14"/>
      <c r="AN40" s="11"/>
      <c r="AO40" s="38"/>
      <c r="AP40" s="38"/>
    </row>
    <row r="41" ht="99.0" customHeight="1">
      <c r="A41" s="8" t="s">
        <v>36</v>
      </c>
      <c r="B41" s="9">
        <v>45301.628750868054</v>
      </c>
      <c r="C41" s="10" t="s">
        <v>168</v>
      </c>
      <c r="D41" s="11" t="s">
        <v>109</v>
      </c>
      <c r="E41" s="11" t="s">
        <v>52</v>
      </c>
      <c r="F41" s="11" t="s">
        <v>40</v>
      </c>
      <c r="G41" s="11" t="s">
        <v>131</v>
      </c>
      <c r="H41" s="39" t="s">
        <v>127</v>
      </c>
      <c r="I41" s="10">
        <v>2628.09</v>
      </c>
      <c r="J41" s="11" t="s">
        <v>100</v>
      </c>
      <c r="K41" s="28" t="s">
        <v>169</v>
      </c>
      <c r="L41" s="11" t="s">
        <v>170</v>
      </c>
      <c r="M41" s="14"/>
      <c r="N41" s="11" t="s">
        <v>96</v>
      </c>
      <c r="O41" s="14"/>
      <c r="P41" s="14"/>
      <c r="Q41" s="14"/>
      <c r="R41" s="14"/>
      <c r="S41" s="14"/>
      <c r="T41" s="14"/>
      <c r="U41" s="14"/>
      <c r="V41" s="14"/>
      <c r="W41" s="14"/>
      <c r="X41" s="14"/>
      <c r="Y41" s="14"/>
      <c r="Z41" s="14"/>
      <c r="AA41" s="14"/>
      <c r="AB41" s="14"/>
      <c r="AC41" s="14"/>
      <c r="AD41" s="14"/>
      <c r="AE41" s="25">
        <v>45302.0</v>
      </c>
      <c r="AF41" s="14"/>
      <c r="AG41" s="25">
        <v>45303.0</v>
      </c>
      <c r="AH41" s="12"/>
      <c r="AI41" s="12"/>
      <c r="AJ41" s="37" t="s">
        <v>69</v>
      </c>
      <c r="AK41" s="12"/>
      <c r="AL41" s="27" t="s">
        <v>44</v>
      </c>
      <c r="AM41" s="14"/>
      <c r="AN41" s="11"/>
      <c r="AO41" s="38"/>
      <c r="AP41" s="38"/>
    </row>
    <row r="42" ht="99.0" customHeight="1">
      <c r="A42" s="8" t="s">
        <v>36</v>
      </c>
      <c r="B42" s="9">
        <v>45302.64298118056</v>
      </c>
      <c r="C42" s="10" t="s">
        <v>171</v>
      </c>
      <c r="D42" s="11" t="s">
        <v>51</v>
      </c>
      <c r="E42" s="11" t="s">
        <v>40</v>
      </c>
      <c r="F42" s="11" t="s">
        <v>40</v>
      </c>
      <c r="G42" s="11" t="s">
        <v>41</v>
      </c>
      <c r="H42" s="11" t="s">
        <v>127</v>
      </c>
      <c r="I42" s="10">
        <v>3500.0</v>
      </c>
      <c r="J42" s="11" t="s">
        <v>100</v>
      </c>
      <c r="K42" s="24" t="s">
        <v>172</v>
      </c>
      <c r="L42" s="11" t="s">
        <v>173</v>
      </c>
      <c r="M42" s="14"/>
      <c r="N42" s="11" t="s">
        <v>96</v>
      </c>
      <c r="O42" s="14"/>
      <c r="P42" s="14"/>
      <c r="Q42" s="14"/>
      <c r="R42" s="14"/>
      <c r="S42" s="14"/>
      <c r="T42" s="14"/>
      <c r="U42" s="14"/>
      <c r="V42" s="14"/>
      <c r="W42" s="14"/>
      <c r="X42" s="14"/>
      <c r="Y42" s="14"/>
      <c r="Z42" s="14"/>
      <c r="AA42" s="14"/>
      <c r="AB42" s="14"/>
      <c r="AC42" s="14"/>
      <c r="AD42" s="14"/>
      <c r="AE42" s="25">
        <v>45302.0</v>
      </c>
      <c r="AF42" s="14"/>
      <c r="AG42" s="25">
        <v>45303.0</v>
      </c>
      <c r="AH42" s="12"/>
      <c r="AI42" s="12"/>
      <c r="AJ42" s="37" t="s">
        <v>69</v>
      </c>
      <c r="AK42" s="12"/>
      <c r="AL42" s="27" t="s">
        <v>44</v>
      </c>
      <c r="AM42" s="14"/>
      <c r="AN42" s="11"/>
      <c r="AO42" s="38"/>
      <c r="AP42" s="38"/>
    </row>
    <row r="43" ht="99.0" customHeight="1">
      <c r="A43" s="8" t="s">
        <v>36</v>
      </c>
      <c r="B43" s="9">
        <v>45302.648192187495</v>
      </c>
      <c r="C43" s="10" t="s">
        <v>174</v>
      </c>
      <c r="D43" s="11" t="s">
        <v>51</v>
      </c>
      <c r="E43" s="11" t="s">
        <v>52</v>
      </c>
      <c r="F43" s="11" t="s">
        <v>40</v>
      </c>
      <c r="G43" s="11" t="s">
        <v>54</v>
      </c>
      <c r="H43" s="11" t="s">
        <v>127</v>
      </c>
      <c r="I43" s="10">
        <v>3500.0</v>
      </c>
      <c r="J43" s="11" t="s">
        <v>100</v>
      </c>
      <c r="K43" s="28" t="s">
        <v>175</v>
      </c>
      <c r="L43" s="11" t="s">
        <v>176</v>
      </c>
      <c r="M43" s="14"/>
      <c r="N43" s="11" t="s">
        <v>96</v>
      </c>
      <c r="O43" s="14"/>
      <c r="P43" s="14"/>
      <c r="Q43" s="14"/>
      <c r="R43" s="14"/>
      <c r="S43" s="14"/>
      <c r="T43" s="14"/>
      <c r="U43" s="14"/>
      <c r="V43" s="14"/>
      <c r="W43" s="14"/>
      <c r="X43" s="14"/>
      <c r="Y43" s="14"/>
      <c r="Z43" s="14"/>
      <c r="AA43" s="14"/>
      <c r="AB43" s="14"/>
      <c r="AC43" s="14"/>
      <c r="AD43" s="14"/>
      <c r="AE43" s="25">
        <v>45302.0</v>
      </c>
      <c r="AF43" s="14"/>
      <c r="AG43" s="25">
        <v>41651.0</v>
      </c>
      <c r="AH43" s="12"/>
      <c r="AI43" s="12"/>
      <c r="AJ43" s="37" t="s">
        <v>69</v>
      </c>
      <c r="AK43" s="12"/>
      <c r="AL43" s="27" t="s">
        <v>44</v>
      </c>
      <c r="AM43" s="14"/>
      <c r="AN43" s="11"/>
      <c r="AO43" s="38"/>
      <c r="AP43" s="38"/>
    </row>
    <row r="44" ht="99.0" customHeight="1">
      <c r="A44" s="42" t="s">
        <v>177</v>
      </c>
      <c r="B44" s="43">
        <v>45304.962598831014</v>
      </c>
      <c r="C44" s="44" t="s">
        <v>148</v>
      </c>
      <c r="D44" s="45" t="s">
        <v>51</v>
      </c>
      <c r="E44" s="45" t="s">
        <v>149</v>
      </c>
      <c r="F44" s="45" t="s">
        <v>80</v>
      </c>
      <c r="G44" s="45" t="s">
        <v>41</v>
      </c>
      <c r="H44" s="45" t="s">
        <v>47</v>
      </c>
      <c r="I44" s="44">
        <v>225.0</v>
      </c>
      <c r="J44" s="45" t="s">
        <v>100</v>
      </c>
      <c r="K44" s="30"/>
      <c r="L44" s="46" t="s">
        <v>178</v>
      </c>
      <c r="M44" s="47"/>
      <c r="N44" s="13" t="s">
        <v>44</v>
      </c>
      <c r="O44" s="14"/>
      <c r="P44" s="14"/>
      <c r="Q44" s="14"/>
      <c r="R44" s="14"/>
      <c r="S44" s="14"/>
      <c r="T44" s="14"/>
      <c r="U44" s="14"/>
      <c r="V44" s="14"/>
      <c r="W44" s="14"/>
      <c r="X44" s="14"/>
      <c r="Y44" s="14"/>
      <c r="Z44" s="14"/>
      <c r="AA44" s="14"/>
      <c r="AB44" s="14"/>
      <c r="AC44" s="14"/>
      <c r="AD44" s="12"/>
      <c r="AE44" s="12"/>
      <c r="AF44" s="12"/>
      <c r="AG44" s="12"/>
      <c r="AH44" s="12"/>
      <c r="AI44" s="12"/>
      <c r="AJ44" s="12"/>
      <c r="AK44" s="11" t="s">
        <v>45</v>
      </c>
      <c r="AL44" s="13" t="s">
        <v>44</v>
      </c>
      <c r="AM44" s="13" t="s">
        <v>44</v>
      </c>
      <c r="AN44" s="45"/>
      <c r="AO44" s="15"/>
      <c r="AP44" s="15"/>
    </row>
    <row r="45" ht="99.0" customHeight="1">
      <c r="A45" s="42" t="s">
        <v>177</v>
      </c>
      <c r="B45" s="43">
        <v>45304.99774806713</v>
      </c>
      <c r="C45" s="44" t="s">
        <v>148</v>
      </c>
      <c r="D45" s="45" t="s">
        <v>51</v>
      </c>
      <c r="E45" s="45" t="s">
        <v>149</v>
      </c>
      <c r="F45" s="45" t="s">
        <v>80</v>
      </c>
      <c r="G45" s="45" t="s">
        <v>41</v>
      </c>
      <c r="H45" s="45" t="s">
        <v>127</v>
      </c>
      <c r="I45" s="44">
        <v>165.0</v>
      </c>
      <c r="J45" s="45" t="s">
        <v>100</v>
      </c>
      <c r="K45" s="30"/>
      <c r="L45" s="46" t="s">
        <v>179</v>
      </c>
      <c r="M45" s="47"/>
      <c r="N45" s="13" t="s">
        <v>44</v>
      </c>
      <c r="O45" s="14"/>
      <c r="P45" s="14"/>
      <c r="Q45" s="14"/>
      <c r="R45" s="14"/>
      <c r="S45" s="14"/>
      <c r="T45" s="14"/>
      <c r="U45" s="14"/>
      <c r="V45" s="14"/>
      <c r="W45" s="14"/>
      <c r="X45" s="14"/>
      <c r="Y45" s="14"/>
      <c r="Z45" s="14"/>
      <c r="AA45" s="14"/>
      <c r="AB45" s="14"/>
      <c r="AC45" s="14"/>
      <c r="AD45" s="12"/>
      <c r="AE45" s="12"/>
      <c r="AF45" s="12"/>
      <c r="AG45" s="12"/>
      <c r="AH45" s="12"/>
      <c r="AI45" s="12"/>
      <c r="AJ45" s="12"/>
      <c r="AK45" s="11" t="s">
        <v>45</v>
      </c>
      <c r="AL45" s="13" t="s">
        <v>44</v>
      </c>
      <c r="AM45" s="13" t="s">
        <v>44</v>
      </c>
      <c r="AN45" s="45"/>
      <c r="AO45" s="15"/>
      <c r="AP45" s="15"/>
    </row>
    <row r="46" ht="99.0" customHeight="1">
      <c r="A46" s="42" t="s">
        <v>177</v>
      </c>
      <c r="B46" s="43">
        <v>45305.06033604167</v>
      </c>
      <c r="C46" s="44" t="s">
        <v>148</v>
      </c>
      <c r="D46" s="45" t="s">
        <v>51</v>
      </c>
      <c r="E46" s="45" t="s">
        <v>149</v>
      </c>
      <c r="F46" s="45" t="s">
        <v>80</v>
      </c>
      <c r="G46" s="45" t="s">
        <v>41</v>
      </c>
      <c r="H46" s="45" t="s">
        <v>47</v>
      </c>
      <c r="I46" s="44">
        <v>99.0</v>
      </c>
      <c r="J46" s="45" t="s">
        <v>100</v>
      </c>
      <c r="K46" s="30"/>
      <c r="L46" s="46" t="s">
        <v>180</v>
      </c>
      <c r="M46" s="47"/>
      <c r="N46" s="13" t="s">
        <v>44</v>
      </c>
      <c r="O46" s="14"/>
      <c r="P46" s="14"/>
      <c r="Q46" s="14"/>
      <c r="R46" s="14"/>
      <c r="S46" s="14"/>
      <c r="T46" s="14"/>
      <c r="U46" s="14"/>
      <c r="V46" s="14"/>
      <c r="W46" s="14"/>
      <c r="X46" s="14"/>
      <c r="Y46" s="14"/>
      <c r="Z46" s="14"/>
      <c r="AA46" s="14"/>
      <c r="AB46" s="14"/>
      <c r="AC46" s="14"/>
      <c r="AD46" s="12"/>
      <c r="AE46" s="12"/>
      <c r="AF46" s="12"/>
      <c r="AG46" s="12"/>
      <c r="AH46" s="12"/>
      <c r="AI46" s="12"/>
      <c r="AJ46" s="12"/>
      <c r="AK46" s="11" t="s">
        <v>45</v>
      </c>
      <c r="AL46" s="13" t="s">
        <v>44</v>
      </c>
      <c r="AM46" s="13" t="s">
        <v>44</v>
      </c>
      <c r="AN46" s="45"/>
      <c r="AO46" s="15"/>
      <c r="AP46" s="15"/>
    </row>
    <row r="47" ht="99.0" customHeight="1">
      <c r="A47" s="42" t="s">
        <v>177</v>
      </c>
      <c r="B47" s="43">
        <v>45305.50111524305</v>
      </c>
      <c r="C47" s="44" t="s">
        <v>148</v>
      </c>
      <c r="D47" s="45" t="s">
        <v>51</v>
      </c>
      <c r="E47" s="45" t="s">
        <v>149</v>
      </c>
      <c r="F47" s="45" t="s">
        <v>80</v>
      </c>
      <c r="G47" s="45" t="s">
        <v>41</v>
      </c>
      <c r="H47" s="45" t="s">
        <v>61</v>
      </c>
      <c r="I47" s="44">
        <v>3990.0</v>
      </c>
      <c r="J47" s="45" t="s">
        <v>100</v>
      </c>
      <c r="K47" s="30"/>
      <c r="L47" s="46" t="s">
        <v>181</v>
      </c>
      <c r="M47" s="47"/>
      <c r="N47" s="13" t="s">
        <v>44</v>
      </c>
      <c r="O47" s="14"/>
      <c r="P47" s="14"/>
      <c r="Q47" s="14"/>
      <c r="R47" s="14"/>
      <c r="S47" s="14"/>
      <c r="T47" s="14"/>
      <c r="U47" s="14"/>
      <c r="V47" s="14"/>
      <c r="W47" s="14"/>
      <c r="X47" s="14"/>
      <c r="Y47" s="14"/>
      <c r="Z47" s="14"/>
      <c r="AA47" s="14"/>
      <c r="AB47" s="14"/>
      <c r="AC47" s="14"/>
      <c r="AD47" s="12"/>
      <c r="AE47" s="12"/>
      <c r="AF47" s="12"/>
      <c r="AG47" s="12"/>
      <c r="AH47" s="12"/>
      <c r="AI47" s="12"/>
      <c r="AJ47" s="12"/>
      <c r="AK47" s="11" t="s">
        <v>45</v>
      </c>
      <c r="AL47" s="13" t="s">
        <v>44</v>
      </c>
      <c r="AM47" s="13" t="s">
        <v>44</v>
      </c>
      <c r="AN47" s="45"/>
      <c r="AO47" s="15"/>
      <c r="AP47" s="15"/>
    </row>
    <row r="48" ht="99.0" customHeight="1">
      <c r="A48" s="8" t="s">
        <v>36</v>
      </c>
      <c r="B48" s="9">
        <v>45306.545849849535</v>
      </c>
      <c r="C48" s="10" t="s">
        <v>37</v>
      </c>
      <c r="D48" s="11" t="s">
        <v>51</v>
      </c>
      <c r="E48" s="11" t="s">
        <v>52</v>
      </c>
      <c r="F48" s="11" t="s">
        <v>65</v>
      </c>
      <c r="G48" s="11" t="s">
        <v>41</v>
      </c>
      <c r="H48" s="8" t="s">
        <v>47</v>
      </c>
      <c r="I48" s="10">
        <v>5000.0</v>
      </c>
      <c r="J48" s="11" t="s">
        <v>128</v>
      </c>
      <c r="K48" s="12"/>
      <c r="L48" s="11" t="s">
        <v>182</v>
      </c>
      <c r="M48" s="14"/>
      <c r="N48" s="13" t="s">
        <v>44</v>
      </c>
      <c r="O48" s="14"/>
      <c r="P48" s="14"/>
      <c r="Q48" s="14"/>
      <c r="R48" s="14"/>
      <c r="S48" s="14"/>
      <c r="T48" s="14"/>
      <c r="U48" s="14"/>
      <c r="V48" s="14"/>
      <c r="W48" s="14"/>
      <c r="X48" s="14"/>
      <c r="Y48" s="14"/>
      <c r="Z48" s="14"/>
      <c r="AA48" s="14"/>
      <c r="AB48" s="14"/>
      <c r="AC48" s="14"/>
      <c r="AD48" s="12"/>
      <c r="AE48" s="12"/>
      <c r="AF48" s="12"/>
      <c r="AG48" s="12"/>
      <c r="AH48" s="12"/>
      <c r="AI48" s="12"/>
      <c r="AJ48" s="12"/>
      <c r="AK48" s="11" t="s">
        <v>45</v>
      </c>
      <c r="AL48" s="13" t="s">
        <v>44</v>
      </c>
      <c r="AM48" s="13" t="s">
        <v>44</v>
      </c>
      <c r="AN48" s="11"/>
      <c r="AO48" s="15" t="b">
        <v>1</v>
      </c>
      <c r="AP48" s="15"/>
    </row>
    <row r="49" ht="99.0" customHeight="1">
      <c r="A49" s="17" t="s">
        <v>36</v>
      </c>
      <c r="B49" s="18">
        <v>45307.45902098379</v>
      </c>
      <c r="C49" s="19" t="s">
        <v>183</v>
      </c>
      <c r="D49" s="20" t="s">
        <v>38</v>
      </c>
      <c r="E49" s="20" t="s">
        <v>40</v>
      </c>
      <c r="F49" s="20" t="s">
        <v>40</v>
      </c>
      <c r="G49" s="20" t="s">
        <v>41</v>
      </c>
      <c r="H49" s="20" t="s">
        <v>61</v>
      </c>
      <c r="I49" s="19">
        <v>1500.0</v>
      </c>
      <c r="J49" s="20" t="s">
        <v>184</v>
      </c>
      <c r="K49" s="29" t="s">
        <v>185</v>
      </c>
      <c r="L49" s="20" t="s">
        <v>186</v>
      </c>
      <c r="M49" s="22"/>
      <c r="N49" s="11" t="s">
        <v>96</v>
      </c>
      <c r="O49" s="22"/>
      <c r="P49" s="22"/>
      <c r="Q49" s="22"/>
      <c r="R49" s="22"/>
      <c r="S49" s="22"/>
      <c r="T49" s="22"/>
      <c r="U49" s="22"/>
      <c r="V49" s="22"/>
      <c r="W49" s="22"/>
      <c r="X49" s="22"/>
      <c r="Y49" s="22"/>
      <c r="Z49" s="22"/>
      <c r="AA49" s="22"/>
      <c r="AB49" s="22"/>
      <c r="AC49" s="22"/>
      <c r="AD49" s="22"/>
      <c r="AE49" s="48">
        <v>45303.0</v>
      </c>
      <c r="AF49" s="22"/>
      <c r="AG49" s="48">
        <v>45307.0</v>
      </c>
      <c r="AH49" s="21"/>
      <c r="AI49" s="21"/>
      <c r="AJ49" s="49" t="s">
        <v>69</v>
      </c>
      <c r="AK49" s="20" t="s">
        <v>187</v>
      </c>
      <c r="AL49" s="13" t="s">
        <v>44</v>
      </c>
      <c r="AM49" s="22"/>
      <c r="AN49" s="20"/>
      <c r="AO49" s="15" t="b">
        <v>1</v>
      </c>
      <c r="AP49" s="50"/>
    </row>
    <row r="50" ht="99.0" customHeight="1">
      <c r="A50" s="31" t="s">
        <v>36</v>
      </c>
      <c r="B50" s="32">
        <v>45313.69516899306</v>
      </c>
      <c r="C50" s="33" t="s">
        <v>188</v>
      </c>
      <c r="D50" s="34" t="s">
        <v>142</v>
      </c>
      <c r="E50" s="34" t="s">
        <v>52</v>
      </c>
      <c r="F50" s="34" t="s">
        <v>65</v>
      </c>
      <c r="G50" s="34" t="s">
        <v>54</v>
      </c>
      <c r="H50" s="34" t="s">
        <v>89</v>
      </c>
      <c r="I50" s="33">
        <v>120000.0</v>
      </c>
      <c r="J50" s="34" t="s">
        <v>189</v>
      </c>
      <c r="K50" s="35"/>
      <c r="L50" s="35"/>
      <c r="M50" s="35"/>
      <c r="N50" s="35"/>
      <c r="O50" s="35"/>
      <c r="P50" s="35"/>
      <c r="Q50" s="35"/>
      <c r="R50" s="35"/>
      <c r="S50" s="35"/>
      <c r="T50" s="35"/>
      <c r="U50" s="35"/>
      <c r="V50" s="35"/>
      <c r="W50" s="35"/>
      <c r="X50" s="35"/>
      <c r="Y50" s="35"/>
      <c r="Z50" s="35"/>
      <c r="AA50" s="35"/>
      <c r="AB50" s="35"/>
      <c r="AC50" s="35"/>
      <c r="AD50" s="35"/>
      <c r="AE50" s="35"/>
      <c r="AF50" s="35"/>
      <c r="AG50" s="51">
        <v>45401.0</v>
      </c>
      <c r="AH50" s="35"/>
      <c r="AI50" s="35"/>
      <c r="AJ50" s="35"/>
      <c r="AK50" s="34" t="s">
        <v>45</v>
      </c>
      <c r="AL50" s="52" t="s">
        <v>70</v>
      </c>
      <c r="AM50" s="35"/>
      <c r="AN50" s="34"/>
      <c r="AO50" s="53"/>
      <c r="AP50" s="53"/>
    </row>
    <row r="51" ht="99.0" customHeight="1">
      <c r="A51" s="54" t="s">
        <v>190</v>
      </c>
      <c r="B51" s="55">
        <v>45313.69765884259</v>
      </c>
      <c r="C51" s="23" t="s">
        <v>188</v>
      </c>
      <c r="D51" s="56" t="s">
        <v>142</v>
      </c>
      <c r="E51" s="56" t="s">
        <v>52</v>
      </c>
      <c r="F51" s="56" t="s">
        <v>65</v>
      </c>
      <c r="G51" s="56" t="s">
        <v>54</v>
      </c>
      <c r="H51" s="16" t="s">
        <v>191</v>
      </c>
      <c r="I51" s="23">
        <v>4080.0</v>
      </c>
      <c r="J51" s="56" t="s">
        <v>184</v>
      </c>
      <c r="K51" s="57"/>
      <c r="L51" s="56" t="s">
        <v>192</v>
      </c>
      <c r="M51" s="57"/>
      <c r="N51" s="57"/>
      <c r="O51" s="57"/>
      <c r="P51" s="57"/>
      <c r="Q51" s="57"/>
      <c r="R51" s="57"/>
      <c r="S51" s="57"/>
      <c r="T51" s="57"/>
      <c r="U51" s="57"/>
      <c r="V51" s="57"/>
      <c r="W51" s="57"/>
      <c r="X51" s="57"/>
      <c r="Y51" s="57"/>
      <c r="Z51" s="57"/>
      <c r="AA51" s="57"/>
      <c r="AB51" s="57"/>
      <c r="AC51" s="57"/>
      <c r="AD51" s="57"/>
      <c r="AE51" s="58">
        <v>45315.0</v>
      </c>
      <c r="AF51" s="57"/>
      <c r="AG51" s="58">
        <v>45315.0</v>
      </c>
      <c r="AH51" s="57"/>
      <c r="AI51" s="57"/>
      <c r="AJ51" s="59" t="s">
        <v>69</v>
      </c>
      <c r="AK51" s="57"/>
      <c r="AL51" s="60" t="s">
        <v>70</v>
      </c>
      <c r="AM51" s="57"/>
      <c r="AN51" s="56"/>
      <c r="AO51" s="61"/>
      <c r="AP51" s="15" t="s">
        <v>58</v>
      </c>
    </row>
    <row r="52" ht="99.0" customHeight="1">
      <c r="A52" s="62" t="s">
        <v>36</v>
      </c>
      <c r="B52" s="63">
        <v>45316.37256038195</v>
      </c>
      <c r="C52" s="64" t="s">
        <v>193</v>
      </c>
      <c r="D52" s="65" t="s">
        <v>51</v>
      </c>
      <c r="E52" s="65" t="s">
        <v>52</v>
      </c>
      <c r="F52" s="65" t="s">
        <v>53</v>
      </c>
      <c r="G52" s="65" t="s">
        <v>54</v>
      </c>
      <c r="H52" s="65" t="s">
        <v>89</v>
      </c>
      <c r="I52" s="64">
        <v>15000.0</v>
      </c>
      <c r="J52" s="65" t="s">
        <v>194</v>
      </c>
      <c r="K52" s="66"/>
      <c r="L52" s="66"/>
      <c r="M52" s="66"/>
      <c r="N52" s="13" t="s">
        <v>44</v>
      </c>
      <c r="O52" s="14"/>
      <c r="P52" s="14"/>
      <c r="Q52" s="14"/>
      <c r="R52" s="14"/>
      <c r="S52" s="14"/>
      <c r="T52" s="14"/>
      <c r="U52" s="14"/>
      <c r="V52" s="14"/>
      <c r="W52" s="14"/>
      <c r="X52" s="14"/>
      <c r="Y52" s="14"/>
      <c r="Z52" s="14"/>
      <c r="AA52" s="14"/>
      <c r="AB52" s="14"/>
      <c r="AC52" s="14"/>
      <c r="AD52" s="12"/>
      <c r="AE52" s="12"/>
      <c r="AF52" s="12"/>
      <c r="AG52" s="12"/>
      <c r="AH52" s="12"/>
      <c r="AI52" s="12"/>
      <c r="AJ52" s="12"/>
      <c r="AK52" s="11" t="s">
        <v>45</v>
      </c>
      <c r="AL52" s="13" t="s">
        <v>44</v>
      </c>
      <c r="AM52" s="13" t="s">
        <v>44</v>
      </c>
      <c r="AN52" s="65"/>
      <c r="AO52" s="15" t="b">
        <v>1</v>
      </c>
      <c r="AP52" s="15"/>
    </row>
    <row r="53" ht="99.0" customHeight="1">
      <c r="A53" s="42" t="s">
        <v>177</v>
      </c>
      <c r="B53" s="43">
        <v>45320.67242711806</v>
      </c>
      <c r="C53" s="44" t="s">
        <v>195</v>
      </c>
      <c r="D53" s="45" t="s">
        <v>51</v>
      </c>
      <c r="E53" s="45" t="s">
        <v>196</v>
      </c>
      <c r="F53" s="45" t="s">
        <v>80</v>
      </c>
      <c r="G53" s="45" t="s">
        <v>131</v>
      </c>
      <c r="H53" s="39" t="s">
        <v>127</v>
      </c>
      <c r="I53" s="44">
        <v>10000.0</v>
      </c>
      <c r="J53" s="45" t="s">
        <v>189</v>
      </c>
      <c r="K53" s="67" t="s">
        <v>197</v>
      </c>
      <c r="L53" s="45" t="s">
        <v>198</v>
      </c>
      <c r="M53" s="47"/>
      <c r="N53" s="13" t="s">
        <v>44</v>
      </c>
      <c r="O53" s="14"/>
      <c r="P53" s="14"/>
      <c r="Q53" s="14"/>
      <c r="R53" s="14"/>
      <c r="S53" s="14"/>
      <c r="T53" s="14"/>
      <c r="U53" s="14"/>
      <c r="V53" s="14"/>
      <c r="W53" s="14"/>
      <c r="X53" s="14"/>
      <c r="Y53" s="14"/>
      <c r="Z53" s="14"/>
      <c r="AA53" s="14"/>
      <c r="AB53" s="14"/>
      <c r="AC53" s="14"/>
      <c r="AD53" s="12"/>
      <c r="AE53" s="12"/>
      <c r="AF53" s="12"/>
      <c r="AG53" s="12"/>
      <c r="AH53" s="12"/>
      <c r="AI53" s="12"/>
      <c r="AJ53" s="12"/>
      <c r="AK53" s="11" t="s">
        <v>45</v>
      </c>
      <c r="AL53" s="13" t="s">
        <v>44</v>
      </c>
      <c r="AM53" s="13" t="s">
        <v>44</v>
      </c>
      <c r="AN53" s="45"/>
      <c r="AO53" s="15"/>
      <c r="AP53" s="15"/>
    </row>
    <row r="54" ht="99.0" customHeight="1">
      <c r="A54" s="42" t="s">
        <v>177</v>
      </c>
      <c r="B54" s="43">
        <v>45320.6796945949</v>
      </c>
      <c r="C54" s="44" t="s">
        <v>195</v>
      </c>
      <c r="D54" s="45" t="s">
        <v>51</v>
      </c>
      <c r="E54" s="45" t="s">
        <v>196</v>
      </c>
      <c r="F54" s="45" t="s">
        <v>80</v>
      </c>
      <c r="G54" s="45" t="s">
        <v>131</v>
      </c>
      <c r="H54" s="45" t="s">
        <v>127</v>
      </c>
      <c r="I54" s="44">
        <v>10000.0</v>
      </c>
      <c r="J54" s="45" t="s">
        <v>189</v>
      </c>
      <c r="K54" s="67" t="s">
        <v>199</v>
      </c>
      <c r="L54" s="45" t="s">
        <v>200</v>
      </c>
      <c r="M54" s="47"/>
      <c r="N54" s="13" t="s">
        <v>44</v>
      </c>
      <c r="O54" s="14"/>
      <c r="P54" s="14"/>
      <c r="Q54" s="14"/>
      <c r="R54" s="14"/>
      <c r="S54" s="14"/>
      <c r="T54" s="14"/>
      <c r="U54" s="14"/>
      <c r="V54" s="14"/>
      <c r="W54" s="14"/>
      <c r="X54" s="14"/>
      <c r="Y54" s="14"/>
      <c r="Z54" s="14"/>
      <c r="AA54" s="14"/>
      <c r="AB54" s="14"/>
      <c r="AC54" s="14"/>
      <c r="AD54" s="12"/>
      <c r="AE54" s="12"/>
      <c r="AF54" s="12"/>
      <c r="AG54" s="12"/>
      <c r="AH54" s="12"/>
      <c r="AI54" s="12"/>
      <c r="AJ54" s="12"/>
      <c r="AK54" s="11" t="s">
        <v>45</v>
      </c>
      <c r="AL54" s="13" t="s">
        <v>44</v>
      </c>
      <c r="AM54" s="13" t="s">
        <v>44</v>
      </c>
      <c r="AN54" s="45"/>
      <c r="AO54" s="15"/>
      <c r="AP54" s="15"/>
    </row>
    <row r="55" ht="99.0" customHeight="1">
      <c r="A55" s="42" t="s">
        <v>177</v>
      </c>
      <c r="B55" s="43">
        <v>45320.69001146991</v>
      </c>
      <c r="C55" s="44" t="s">
        <v>201</v>
      </c>
      <c r="D55" s="45" t="s">
        <v>202</v>
      </c>
      <c r="E55" s="45" t="s">
        <v>52</v>
      </c>
      <c r="F55" s="45" t="s">
        <v>65</v>
      </c>
      <c r="G55" s="45" t="s">
        <v>131</v>
      </c>
      <c r="H55" s="45" t="s">
        <v>47</v>
      </c>
      <c r="I55" s="44" t="s">
        <v>203</v>
      </c>
      <c r="J55" s="45" t="s">
        <v>102</v>
      </c>
      <c r="K55" s="30"/>
      <c r="L55" s="68" t="s">
        <v>204</v>
      </c>
      <c r="M55" s="69"/>
      <c r="N55" s="13" t="s">
        <v>44</v>
      </c>
      <c r="O55" s="14"/>
      <c r="P55" s="14"/>
      <c r="Q55" s="14"/>
      <c r="R55" s="14"/>
      <c r="S55" s="14"/>
      <c r="T55" s="14"/>
      <c r="U55" s="14"/>
      <c r="V55" s="14"/>
      <c r="W55" s="14"/>
      <c r="X55" s="14"/>
      <c r="Y55" s="14"/>
      <c r="Z55" s="14"/>
      <c r="AA55" s="14"/>
      <c r="AB55" s="14"/>
      <c r="AC55" s="14"/>
      <c r="AD55" s="12"/>
      <c r="AE55" s="12"/>
      <c r="AF55" s="12"/>
      <c r="AG55" s="12"/>
      <c r="AH55" s="12"/>
      <c r="AI55" s="12"/>
      <c r="AJ55" s="12"/>
      <c r="AK55" s="11" t="s">
        <v>45</v>
      </c>
      <c r="AL55" s="13" t="s">
        <v>44</v>
      </c>
      <c r="AM55" s="13" t="s">
        <v>44</v>
      </c>
      <c r="AN55" s="45"/>
      <c r="AO55" s="15"/>
      <c r="AP55" s="15"/>
    </row>
    <row r="56" ht="99.0" customHeight="1">
      <c r="A56" s="42" t="s">
        <v>177</v>
      </c>
      <c r="B56" s="43">
        <v>45320.69339615741</v>
      </c>
      <c r="C56" s="44" t="s">
        <v>195</v>
      </c>
      <c r="D56" s="45" t="s">
        <v>51</v>
      </c>
      <c r="E56" s="45" t="s">
        <v>196</v>
      </c>
      <c r="F56" s="45" t="s">
        <v>80</v>
      </c>
      <c r="G56" s="45" t="s">
        <v>131</v>
      </c>
      <c r="H56" s="45" t="s">
        <v>127</v>
      </c>
      <c r="I56" s="44">
        <v>10000.0</v>
      </c>
      <c r="J56" s="45" t="s">
        <v>189</v>
      </c>
      <c r="K56" s="68" t="s">
        <v>205</v>
      </c>
      <c r="L56" s="45" t="s">
        <v>206</v>
      </c>
      <c r="M56" s="47"/>
      <c r="N56" s="13" t="s">
        <v>44</v>
      </c>
      <c r="O56" s="14"/>
      <c r="P56" s="14"/>
      <c r="Q56" s="14"/>
      <c r="R56" s="14"/>
      <c r="S56" s="14"/>
      <c r="T56" s="14"/>
      <c r="U56" s="14"/>
      <c r="V56" s="14"/>
      <c r="W56" s="14"/>
      <c r="X56" s="14"/>
      <c r="Y56" s="14"/>
      <c r="Z56" s="14"/>
      <c r="AA56" s="14"/>
      <c r="AB56" s="14"/>
      <c r="AC56" s="14"/>
      <c r="AD56" s="12"/>
      <c r="AE56" s="12"/>
      <c r="AF56" s="12"/>
      <c r="AG56" s="12"/>
      <c r="AH56" s="12"/>
      <c r="AI56" s="12"/>
      <c r="AJ56" s="12"/>
      <c r="AK56" s="11" t="s">
        <v>45</v>
      </c>
      <c r="AL56" s="13" t="s">
        <v>44</v>
      </c>
      <c r="AM56" s="13" t="s">
        <v>44</v>
      </c>
      <c r="AN56" s="45"/>
      <c r="AO56" s="15"/>
      <c r="AP56" s="15"/>
    </row>
    <row r="57" ht="99.0" customHeight="1">
      <c r="A57" s="42" t="s">
        <v>177</v>
      </c>
      <c r="B57" s="43">
        <v>45320.70588494213</v>
      </c>
      <c r="C57" s="44" t="s">
        <v>195</v>
      </c>
      <c r="D57" s="45" t="s">
        <v>51</v>
      </c>
      <c r="E57" s="45" t="s">
        <v>196</v>
      </c>
      <c r="F57" s="45" t="s">
        <v>80</v>
      </c>
      <c r="G57" s="45" t="s">
        <v>131</v>
      </c>
      <c r="H57" s="45" t="s">
        <v>127</v>
      </c>
      <c r="I57" s="44">
        <v>10000.0</v>
      </c>
      <c r="J57" s="45" t="s">
        <v>189</v>
      </c>
      <c r="K57" s="30"/>
      <c r="L57" s="45" t="s">
        <v>207</v>
      </c>
      <c r="M57" s="47"/>
      <c r="N57" s="13" t="s">
        <v>44</v>
      </c>
      <c r="O57" s="14"/>
      <c r="P57" s="14"/>
      <c r="Q57" s="14"/>
      <c r="R57" s="14"/>
      <c r="S57" s="14"/>
      <c r="T57" s="14"/>
      <c r="U57" s="14"/>
      <c r="V57" s="14"/>
      <c r="W57" s="14"/>
      <c r="X57" s="14"/>
      <c r="Y57" s="14"/>
      <c r="Z57" s="14"/>
      <c r="AA57" s="14"/>
      <c r="AB57" s="14"/>
      <c r="AC57" s="14"/>
      <c r="AD57" s="12"/>
      <c r="AE57" s="12"/>
      <c r="AF57" s="12"/>
      <c r="AG57" s="12"/>
      <c r="AH57" s="12"/>
      <c r="AI57" s="12"/>
      <c r="AJ57" s="12"/>
      <c r="AK57" s="11" t="s">
        <v>45</v>
      </c>
      <c r="AL57" s="13" t="s">
        <v>44</v>
      </c>
      <c r="AM57" s="13" t="s">
        <v>44</v>
      </c>
      <c r="AN57" s="45"/>
      <c r="AO57" s="15"/>
      <c r="AP57" s="15"/>
    </row>
    <row r="58" ht="99.0" customHeight="1">
      <c r="A58" s="42" t="s">
        <v>190</v>
      </c>
      <c r="B58" s="43">
        <v>45320.71251766203</v>
      </c>
      <c r="C58" s="44" t="s">
        <v>195</v>
      </c>
      <c r="D58" s="45" t="s">
        <v>51</v>
      </c>
      <c r="E58" s="45" t="s">
        <v>196</v>
      </c>
      <c r="F58" s="45" t="s">
        <v>80</v>
      </c>
      <c r="G58" s="45" t="s">
        <v>131</v>
      </c>
      <c r="H58" s="45" t="s">
        <v>127</v>
      </c>
      <c r="I58" s="44">
        <v>10000.0</v>
      </c>
      <c r="J58" s="45" t="s">
        <v>189</v>
      </c>
      <c r="K58" s="30"/>
      <c r="L58" s="45" t="s">
        <v>208</v>
      </c>
      <c r="M58" s="47"/>
      <c r="N58" s="13" t="s">
        <v>44</v>
      </c>
      <c r="O58" s="14"/>
      <c r="P58" s="14"/>
      <c r="Q58" s="14"/>
      <c r="R58" s="14"/>
      <c r="S58" s="14"/>
      <c r="T58" s="14"/>
      <c r="U58" s="14"/>
      <c r="V58" s="14"/>
      <c r="W58" s="14"/>
      <c r="X58" s="14"/>
      <c r="Y58" s="14"/>
      <c r="Z58" s="14"/>
      <c r="AA58" s="14"/>
      <c r="AB58" s="14"/>
      <c r="AC58" s="14"/>
      <c r="AD58" s="12"/>
      <c r="AE58" s="12"/>
      <c r="AF58" s="12"/>
      <c r="AG58" s="12"/>
      <c r="AH58" s="12"/>
      <c r="AI58" s="12"/>
      <c r="AJ58" s="12"/>
      <c r="AK58" s="11" t="s">
        <v>45</v>
      </c>
      <c r="AL58" s="13" t="s">
        <v>44</v>
      </c>
      <c r="AM58" s="13" t="s">
        <v>44</v>
      </c>
      <c r="AN58" s="45"/>
      <c r="AO58" s="15"/>
      <c r="AP58" s="15"/>
    </row>
    <row r="59" ht="99.0" customHeight="1">
      <c r="A59" s="8" t="s">
        <v>36</v>
      </c>
      <c r="B59" s="9">
        <v>45322.405678298615</v>
      </c>
      <c r="C59" s="10" t="s">
        <v>209</v>
      </c>
      <c r="D59" s="11" t="s">
        <v>51</v>
      </c>
      <c r="E59" s="11" t="s">
        <v>52</v>
      </c>
      <c r="F59" s="11" t="s">
        <v>210</v>
      </c>
      <c r="G59" s="11" t="s">
        <v>131</v>
      </c>
      <c r="H59" s="39" t="s">
        <v>127</v>
      </c>
      <c r="I59" s="10">
        <v>3699.0</v>
      </c>
      <c r="J59" s="11" t="s">
        <v>100</v>
      </c>
      <c r="K59" s="11" t="s">
        <v>211</v>
      </c>
      <c r="L59" s="11" t="s">
        <v>212</v>
      </c>
      <c r="M59" s="14"/>
      <c r="N59" s="11" t="s">
        <v>96</v>
      </c>
      <c r="O59" s="14"/>
      <c r="P59" s="14"/>
      <c r="Q59" s="14"/>
      <c r="R59" s="14"/>
      <c r="S59" s="14"/>
      <c r="T59" s="14"/>
      <c r="U59" s="14"/>
      <c r="V59" s="14"/>
      <c r="W59" s="14"/>
      <c r="X59" s="14"/>
      <c r="Y59" s="14"/>
      <c r="Z59" s="14"/>
      <c r="AA59" s="14"/>
      <c r="AB59" s="14"/>
      <c r="AC59" s="14"/>
      <c r="AD59" s="14"/>
      <c r="AE59" s="25">
        <v>45331.0</v>
      </c>
      <c r="AF59" s="14"/>
      <c r="AG59" s="25">
        <v>45331.0</v>
      </c>
      <c r="AH59" s="12"/>
      <c r="AI59" s="30"/>
      <c r="AJ59" s="30"/>
      <c r="AK59" s="30"/>
      <c r="AL59" s="27" t="s">
        <v>44</v>
      </c>
      <c r="AM59" s="14"/>
      <c r="AN59" s="11"/>
      <c r="AO59" s="38"/>
      <c r="AP59" s="38"/>
    </row>
    <row r="60" ht="99.0" customHeight="1">
      <c r="A60" s="8" t="s">
        <v>36</v>
      </c>
      <c r="B60" s="9">
        <v>45326.83406645834</v>
      </c>
      <c r="C60" s="10" t="s">
        <v>213</v>
      </c>
      <c r="D60" s="11" t="s">
        <v>109</v>
      </c>
      <c r="E60" s="11" t="s">
        <v>52</v>
      </c>
      <c r="F60" s="11" t="s">
        <v>65</v>
      </c>
      <c r="G60" s="11" t="s">
        <v>54</v>
      </c>
      <c r="H60" s="11" t="s">
        <v>61</v>
      </c>
      <c r="I60" s="10">
        <v>987.0</v>
      </c>
      <c r="J60" s="11" t="s">
        <v>214</v>
      </c>
      <c r="K60" s="28" t="s">
        <v>215</v>
      </c>
      <c r="L60" s="11" t="s">
        <v>216</v>
      </c>
      <c r="M60" s="14"/>
      <c r="N60" s="11" t="s">
        <v>96</v>
      </c>
      <c r="O60" s="14"/>
      <c r="P60" s="14"/>
      <c r="Q60" s="14"/>
      <c r="R60" s="14"/>
      <c r="S60" s="14"/>
      <c r="T60" s="14"/>
      <c r="U60" s="14"/>
      <c r="V60" s="14"/>
      <c r="W60" s="14"/>
      <c r="X60" s="14"/>
      <c r="Y60" s="14"/>
      <c r="Z60" s="14"/>
      <c r="AA60" s="14"/>
      <c r="AB60" s="14"/>
      <c r="AC60" s="14"/>
      <c r="AD60" s="14"/>
      <c r="AE60" s="25">
        <v>45331.0</v>
      </c>
      <c r="AF60" s="14"/>
      <c r="AG60" s="25">
        <v>45331.0</v>
      </c>
      <c r="AH60" s="12"/>
      <c r="AI60" s="12"/>
      <c r="AJ60" s="12"/>
      <c r="AK60" s="12"/>
      <c r="AL60" s="27" t="s">
        <v>44</v>
      </c>
      <c r="AM60" s="14"/>
      <c r="AN60" s="11"/>
      <c r="AO60" s="38"/>
      <c r="AP60" s="38"/>
    </row>
    <row r="61" ht="99.0" customHeight="1">
      <c r="A61" s="8" t="s">
        <v>36</v>
      </c>
      <c r="B61" s="9">
        <v>45327.63983908565</v>
      </c>
      <c r="C61" s="10" t="s">
        <v>141</v>
      </c>
      <c r="D61" s="11" t="s">
        <v>38</v>
      </c>
      <c r="E61" s="11" t="s">
        <v>40</v>
      </c>
      <c r="F61" s="11" t="s">
        <v>40</v>
      </c>
      <c r="G61" s="11" t="s">
        <v>41</v>
      </c>
      <c r="H61" s="11" t="s">
        <v>61</v>
      </c>
      <c r="I61" s="10">
        <v>800.0</v>
      </c>
      <c r="J61" s="11" t="s">
        <v>100</v>
      </c>
      <c r="K61" s="28" t="s">
        <v>217</v>
      </c>
      <c r="L61" s="11" t="s">
        <v>218</v>
      </c>
      <c r="M61" s="14"/>
      <c r="N61" s="11" t="s">
        <v>96</v>
      </c>
      <c r="O61" s="14"/>
      <c r="P61" s="14"/>
      <c r="Q61" s="14"/>
      <c r="R61" s="14"/>
      <c r="S61" s="14"/>
      <c r="T61" s="14"/>
      <c r="U61" s="14"/>
      <c r="V61" s="14"/>
      <c r="W61" s="14"/>
      <c r="X61" s="14"/>
      <c r="Y61" s="14"/>
      <c r="Z61" s="14"/>
      <c r="AA61" s="14"/>
      <c r="AB61" s="14"/>
      <c r="AC61" s="14"/>
      <c r="AD61" s="14"/>
      <c r="AE61" s="25">
        <v>45331.0</v>
      </c>
      <c r="AF61" s="14"/>
      <c r="AG61" s="25">
        <v>45331.0</v>
      </c>
      <c r="AH61" s="12"/>
      <c r="AI61" s="12"/>
      <c r="AJ61" s="12"/>
      <c r="AK61" s="12"/>
      <c r="AL61" s="27" t="s">
        <v>44</v>
      </c>
      <c r="AM61" s="14"/>
      <c r="AN61" s="11"/>
      <c r="AO61" s="38"/>
      <c r="AP61" s="38"/>
    </row>
    <row r="62" ht="99.0" customHeight="1">
      <c r="A62" s="8" t="s">
        <v>36</v>
      </c>
      <c r="B62" s="9">
        <v>45328.37006224537</v>
      </c>
      <c r="C62" s="10" t="s">
        <v>219</v>
      </c>
      <c r="D62" s="11" t="s">
        <v>51</v>
      </c>
      <c r="E62" s="11" t="s">
        <v>52</v>
      </c>
      <c r="F62" s="11" t="s">
        <v>65</v>
      </c>
      <c r="G62" s="11" t="s">
        <v>54</v>
      </c>
      <c r="H62" s="11" t="s">
        <v>47</v>
      </c>
      <c r="I62" s="10">
        <v>59.99</v>
      </c>
      <c r="J62" s="11" t="s">
        <v>184</v>
      </c>
      <c r="K62" s="28" t="s">
        <v>220</v>
      </c>
      <c r="L62" s="11" t="s">
        <v>221</v>
      </c>
      <c r="M62" s="14"/>
      <c r="N62" s="11" t="s">
        <v>68</v>
      </c>
      <c r="O62" s="14"/>
      <c r="P62" s="14"/>
      <c r="Q62" s="14"/>
      <c r="R62" s="14"/>
      <c r="S62" s="14"/>
      <c r="T62" s="14"/>
      <c r="U62" s="14"/>
      <c r="V62" s="14"/>
      <c r="W62" s="14"/>
      <c r="X62" s="14"/>
      <c r="Y62" s="14"/>
      <c r="Z62" s="14"/>
      <c r="AA62" s="14"/>
      <c r="AB62" s="14"/>
      <c r="AC62" s="14"/>
      <c r="AD62" s="14"/>
      <c r="AE62" s="25">
        <v>45331.0</v>
      </c>
      <c r="AF62" s="14"/>
      <c r="AG62" s="25">
        <v>45331.0</v>
      </c>
      <c r="AH62" s="12"/>
      <c r="AI62" s="12"/>
      <c r="AJ62" s="12"/>
      <c r="AK62" s="12"/>
      <c r="AL62" s="27" t="s">
        <v>70</v>
      </c>
      <c r="AM62" s="14"/>
      <c r="AN62" s="11"/>
      <c r="AO62" s="38"/>
      <c r="AP62" s="38"/>
    </row>
    <row r="63" ht="99.0" customHeight="1">
      <c r="A63" s="8" t="s">
        <v>36</v>
      </c>
      <c r="B63" s="9">
        <v>45328.398841689814</v>
      </c>
      <c r="C63" s="10" t="s">
        <v>222</v>
      </c>
      <c r="D63" s="11" t="s">
        <v>51</v>
      </c>
      <c r="E63" s="11" t="s">
        <v>52</v>
      </c>
      <c r="F63" s="11" t="s">
        <v>65</v>
      </c>
      <c r="G63" s="11" t="s">
        <v>41</v>
      </c>
      <c r="H63" s="11" t="s">
        <v>61</v>
      </c>
      <c r="I63" s="10">
        <v>59.0</v>
      </c>
      <c r="J63" s="11" t="s">
        <v>223</v>
      </c>
      <c r="K63" s="12"/>
      <c r="L63" s="24" t="s">
        <v>224</v>
      </c>
      <c r="M63" s="40"/>
      <c r="N63" s="13" t="s">
        <v>44</v>
      </c>
      <c r="O63" s="14"/>
      <c r="P63" s="14"/>
      <c r="Q63" s="14"/>
      <c r="R63" s="14"/>
      <c r="S63" s="14"/>
      <c r="T63" s="14"/>
      <c r="U63" s="14"/>
      <c r="V63" s="14"/>
      <c r="W63" s="14"/>
      <c r="X63" s="14"/>
      <c r="Y63" s="14"/>
      <c r="Z63" s="14"/>
      <c r="AA63" s="14"/>
      <c r="AB63" s="14"/>
      <c r="AC63" s="14"/>
      <c r="AD63" s="12"/>
      <c r="AE63" s="12"/>
      <c r="AF63" s="12"/>
      <c r="AG63" s="12"/>
      <c r="AH63" s="12"/>
      <c r="AI63" s="12"/>
      <c r="AJ63" s="12"/>
      <c r="AK63" s="11" t="s">
        <v>45</v>
      </c>
      <c r="AL63" s="13" t="s">
        <v>44</v>
      </c>
      <c r="AM63" s="13" t="s">
        <v>44</v>
      </c>
      <c r="AN63" s="11" t="s">
        <v>71</v>
      </c>
      <c r="AO63" s="15" t="b">
        <v>1</v>
      </c>
      <c r="AP63" s="15"/>
    </row>
    <row r="64" ht="99.0" customHeight="1">
      <c r="A64" s="8" t="s">
        <v>36</v>
      </c>
      <c r="B64" s="9">
        <v>45329.601623587965</v>
      </c>
      <c r="C64" s="10" t="s">
        <v>225</v>
      </c>
      <c r="D64" s="11" t="s">
        <v>142</v>
      </c>
      <c r="E64" s="11" t="s">
        <v>138</v>
      </c>
      <c r="F64" s="11" t="s">
        <v>65</v>
      </c>
      <c r="G64" s="11" t="s">
        <v>54</v>
      </c>
      <c r="H64" s="8" t="s">
        <v>61</v>
      </c>
      <c r="I64" s="10">
        <v>625.0</v>
      </c>
      <c r="J64" s="11" t="s">
        <v>226</v>
      </c>
      <c r="K64" s="12"/>
      <c r="L64" s="11" t="s">
        <v>227</v>
      </c>
      <c r="M64" s="11" t="s">
        <v>228</v>
      </c>
      <c r="N64" s="11" t="s">
        <v>96</v>
      </c>
      <c r="O64" s="14"/>
      <c r="P64" s="14"/>
      <c r="Q64" s="14"/>
      <c r="R64" s="14"/>
      <c r="S64" s="14"/>
      <c r="T64" s="14"/>
      <c r="U64" s="14"/>
      <c r="V64" s="14"/>
      <c r="W64" s="14"/>
      <c r="X64" s="14"/>
      <c r="Y64" s="14"/>
      <c r="Z64" s="14"/>
      <c r="AA64" s="14"/>
      <c r="AB64" s="14"/>
      <c r="AC64" s="14"/>
      <c r="AD64" s="14"/>
      <c r="AE64" s="25">
        <v>45331.0</v>
      </c>
      <c r="AF64" s="14"/>
      <c r="AG64" s="25">
        <v>45335.0</v>
      </c>
      <c r="AH64" s="12"/>
      <c r="AI64" s="12"/>
      <c r="AJ64" s="12"/>
      <c r="AK64" s="12"/>
      <c r="AL64" s="70" t="s">
        <v>44</v>
      </c>
      <c r="AM64" s="14"/>
      <c r="AN64" s="11"/>
      <c r="AO64" s="38"/>
      <c r="AP64" s="38"/>
    </row>
    <row r="65" ht="99.0" customHeight="1">
      <c r="A65" s="17" t="s">
        <v>36</v>
      </c>
      <c r="B65" s="18">
        <v>45331.57996685185</v>
      </c>
      <c r="C65" s="19" t="s">
        <v>117</v>
      </c>
      <c r="D65" s="20" t="s">
        <v>51</v>
      </c>
      <c r="E65" s="20" t="s">
        <v>52</v>
      </c>
      <c r="F65" s="20" t="s">
        <v>65</v>
      </c>
      <c r="G65" s="20" t="s">
        <v>54</v>
      </c>
      <c r="H65" s="20" t="s">
        <v>42</v>
      </c>
      <c r="I65" s="19">
        <v>10000.0</v>
      </c>
      <c r="J65" s="20" t="s">
        <v>229</v>
      </c>
      <c r="K65" s="21"/>
      <c r="L65" s="21"/>
      <c r="M65" s="20" t="s">
        <v>71</v>
      </c>
      <c r="N65" s="22"/>
      <c r="O65" s="22"/>
      <c r="P65" s="22"/>
      <c r="Q65" s="22"/>
      <c r="R65" s="22"/>
      <c r="S65" s="22"/>
      <c r="T65" s="22"/>
      <c r="U65" s="22"/>
      <c r="V65" s="22"/>
      <c r="W65" s="22"/>
      <c r="X65" s="22"/>
      <c r="Y65" s="22"/>
      <c r="Z65" s="22"/>
      <c r="AA65" s="22"/>
      <c r="AB65" s="22"/>
      <c r="AC65" s="22"/>
      <c r="AD65" s="22"/>
      <c r="AE65" s="48">
        <v>45345.0</v>
      </c>
      <c r="AF65" s="21"/>
      <c r="AG65" s="48">
        <v>45345.0</v>
      </c>
      <c r="AH65" s="21"/>
      <c r="AI65" s="21"/>
      <c r="AJ65" s="21"/>
      <c r="AK65" s="20" t="s">
        <v>230</v>
      </c>
      <c r="AL65" s="13" t="s">
        <v>70</v>
      </c>
      <c r="AM65" s="22"/>
      <c r="AN65" s="20"/>
      <c r="AO65" s="50"/>
      <c r="AP65" s="50"/>
    </row>
    <row r="66" ht="99.0" customHeight="1">
      <c r="A66" s="8" t="s">
        <v>36</v>
      </c>
      <c r="B66" s="9">
        <v>45331.60758521991</v>
      </c>
      <c r="C66" s="10" t="s">
        <v>231</v>
      </c>
      <c r="D66" s="11" t="s">
        <v>51</v>
      </c>
      <c r="E66" s="11" t="s">
        <v>52</v>
      </c>
      <c r="F66" s="11" t="s">
        <v>65</v>
      </c>
      <c r="G66" s="11" t="s">
        <v>54</v>
      </c>
      <c r="H66" s="8" t="s">
        <v>47</v>
      </c>
      <c r="I66" s="10">
        <v>36.0</v>
      </c>
      <c r="J66" s="11" t="s">
        <v>184</v>
      </c>
      <c r="K66" s="11" t="s">
        <v>232</v>
      </c>
      <c r="L66" s="11" t="s">
        <v>233</v>
      </c>
      <c r="M66" s="11" t="s">
        <v>71</v>
      </c>
      <c r="N66" s="11" t="s">
        <v>96</v>
      </c>
      <c r="O66" s="14"/>
      <c r="P66" s="14"/>
      <c r="Q66" s="14"/>
      <c r="R66" s="14"/>
      <c r="S66" s="14"/>
      <c r="T66" s="14"/>
      <c r="U66" s="14"/>
      <c r="V66" s="14"/>
      <c r="W66" s="14"/>
      <c r="X66" s="14"/>
      <c r="Y66" s="14"/>
      <c r="Z66" s="14"/>
      <c r="AA66" s="14"/>
      <c r="AB66" s="14"/>
      <c r="AC66" s="14"/>
      <c r="AD66" s="14"/>
      <c r="AE66" s="25">
        <v>45338.0</v>
      </c>
      <c r="AF66" s="12"/>
      <c r="AG66" s="25">
        <v>45344.0</v>
      </c>
      <c r="AH66" s="12"/>
      <c r="AI66" s="12"/>
      <c r="AJ66" s="12"/>
      <c r="AK66" s="12"/>
      <c r="AL66" s="70" t="s">
        <v>44</v>
      </c>
      <c r="AM66" s="14"/>
      <c r="AN66" s="11"/>
      <c r="AO66" s="38"/>
      <c r="AP66" s="38"/>
    </row>
    <row r="67" ht="99.0" customHeight="1">
      <c r="A67" s="8" t="s">
        <v>36</v>
      </c>
      <c r="B67" s="9">
        <v>45334.34251538194</v>
      </c>
      <c r="C67" s="10" t="s">
        <v>234</v>
      </c>
      <c r="D67" s="11" t="s">
        <v>109</v>
      </c>
      <c r="E67" s="11" t="s">
        <v>52</v>
      </c>
      <c r="F67" s="11" t="s">
        <v>65</v>
      </c>
      <c r="G67" s="11" t="s">
        <v>54</v>
      </c>
      <c r="H67" s="8" t="s">
        <v>47</v>
      </c>
      <c r="I67" s="10">
        <v>499.0</v>
      </c>
      <c r="J67" s="11" t="s">
        <v>48</v>
      </c>
      <c r="K67" s="12"/>
      <c r="L67" s="11" t="s">
        <v>235</v>
      </c>
      <c r="M67" s="11" t="s">
        <v>71</v>
      </c>
      <c r="N67" s="11" t="s">
        <v>68</v>
      </c>
      <c r="O67" s="14"/>
      <c r="P67" s="14"/>
      <c r="Q67" s="14"/>
      <c r="R67" s="14"/>
      <c r="S67" s="14"/>
      <c r="T67" s="14"/>
      <c r="U67" s="14"/>
      <c r="V67" s="14"/>
      <c r="W67" s="14"/>
      <c r="X67" s="14"/>
      <c r="Y67" s="14"/>
      <c r="Z67" s="14"/>
      <c r="AA67" s="14"/>
      <c r="AB67" s="14"/>
      <c r="AC67" s="14"/>
      <c r="AD67" s="14"/>
      <c r="AE67" s="25">
        <v>45338.0</v>
      </c>
      <c r="AF67" s="12"/>
      <c r="AG67" s="25">
        <v>45338.0</v>
      </c>
      <c r="AH67" s="12"/>
      <c r="AI67" s="12"/>
      <c r="AJ67" s="12"/>
      <c r="AK67" s="12"/>
      <c r="AL67" s="70" t="s">
        <v>44</v>
      </c>
      <c r="AM67" s="14"/>
      <c r="AN67" s="11"/>
      <c r="AO67" s="38"/>
      <c r="AP67" s="38"/>
    </row>
    <row r="68" ht="99.0" customHeight="1">
      <c r="A68" s="8" t="s">
        <v>36</v>
      </c>
      <c r="B68" s="9">
        <v>45334.363970763894</v>
      </c>
      <c r="C68" s="10" t="s">
        <v>234</v>
      </c>
      <c r="D68" s="11" t="s">
        <v>109</v>
      </c>
      <c r="E68" s="11" t="s">
        <v>52</v>
      </c>
      <c r="F68" s="11" t="s">
        <v>65</v>
      </c>
      <c r="G68" s="11" t="s">
        <v>54</v>
      </c>
      <c r="H68" s="8" t="s">
        <v>47</v>
      </c>
      <c r="I68" s="10">
        <v>2297.0</v>
      </c>
      <c r="J68" s="11" t="s">
        <v>48</v>
      </c>
      <c r="K68" s="12"/>
      <c r="L68" s="11" t="s">
        <v>236</v>
      </c>
      <c r="M68" s="11" t="s">
        <v>71</v>
      </c>
      <c r="N68" s="11" t="s">
        <v>68</v>
      </c>
      <c r="O68" s="14"/>
      <c r="P68" s="14"/>
      <c r="Q68" s="14"/>
      <c r="R68" s="14"/>
      <c r="S68" s="14"/>
      <c r="T68" s="14"/>
      <c r="U68" s="14"/>
      <c r="V68" s="14"/>
      <c r="W68" s="14"/>
      <c r="X68" s="14"/>
      <c r="Y68" s="14"/>
      <c r="Z68" s="14"/>
      <c r="AA68" s="14"/>
      <c r="AB68" s="14"/>
      <c r="AC68" s="14"/>
      <c r="AD68" s="14"/>
      <c r="AE68" s="25">
        <v>45338.0</v>
      </c>
      <c r="AF68" s="12"/>
      <c r="AG68" s="25">
        <v>45338.0</v>
      </c>
      <c r="AH68" s="12"/>
      <c r="AI68" s="12"/>
      <c r="AJ68" s="12"/>
      <c r="AK68" s="12"/>
      <c r="AL68" s="70" t="s">
        <v>44</v>
      </c>
      <c r="AM68" s="14"/>
      <c r="AN68" s="11"/>
      <c r="AO68" s="38"/>
      <c r="AP68" s="38"/>
    </row>
    <row r="69" ht="99.0" customHeight="1">
      <c r="A69" s="8" t="s">
        <v>36</v>
      </c>
      <c r="B69" s="9">
        <v>45334.402010983795</v>
      </c>
      <c r="C69" s="10" t="s">
        <v>237</v>
      </c>
      <c r="D69" s="11" t="s">
        <v>51</v>
      </c>
      <c r="E69" s="11" t="s">
        <v>52</v>
      </c>
      <c r="F69" s="11" t="s">
        <v>65</v>
      </c>
      <c r="G69" s="11" t="s">
        <v>54</v>
      </c>
      <c r="H69" s="11" t="s">
        <v>47</v>
      </c>
      <c r="I69" s="10">
        <v>2000.0</v>
      </c>
      <c r="J69" s="11" t="s">
        <v>100</v>
      </c>
      <c r="K69" s="28" t="s">
        <v>238</v>
      </c>
      <c r="L69" s="11" t="s">
        <v>239</v>
      </c>
      <c r="M69" s="11" t="s">
        <v>71</v>
      </c>
      <c r="N69" s="11" t="s">
        <v>96</v>
      </c>
      <c r="O69" s="14"/>
      <c r="P69" s="14"/>
      <c r="Q69" s="14"/>
      <c r="R69" s="14"/>
      <c r="S69" s="14"/>
      <c r="T69" s="14"/>
      <c r="U69" s="14"/>
      <c r="V69" s="14"/>
      <c r="W69" s="14"/>
      <c r="X69" s="14"/>
      <c r="Y69" s="14"/>
      <c r="Z69" s="14"/>
      <c r="AA69" s="14"/>
      <c r="AB69" s="14"/>
      <c r="AC69" s="14"/>
      <c r="AD69" s="14"/>
      <c r="AE69" s="25">
        <v>45338.0</v>
      </c>
      <c r="AF69" s="12"/>
      <c r="AG69" s="25">
        <v>45338.0</v>
      </c>
      <c r="AH69" s="12"/>
      <c r="AI69" s="12"/>
      <c r="AJ69" s="12"/>
      <c r="AK69" s="12"/>
      <c r="AL69" s="70" t="s">
        <v>44</v>
      </c>
      <c r="AM69" s="14"/>
      <c r="AN69" s="11"/>
      <c r="AO69" s="38"/>
      <c r="AP69" s="38"/>
    </row>
    <row r="70" ht="99.0" customHeight="1">
      <c r="A70" s="8" t="s">
        <v>36</v>
      </c>
      <c r="B70" s="9">
        <v>45334.63027810185</v>
      </c>
      <c r="C70" s="10" t="s">
        <v>240</v>
      </c>
      <c r="D70" s="11" t="s">
        <v>142</v>
      </c>
      <c r="E70" s="11" t="s">
        <v>241</v>
      </c>
      <c r="F70" s="11" t="s">
        <v>139</v>
      </c>
      <c r="G70" s="11" t="s">
        <v>54</v>
      </c>
      <c r="H70" s="11" t="s">
        <v>61</v>
      </c>
      <c r="I70" s="10">
        <v>1225.5</v>
      </c>
      <c r="J70" s="11" t="s">
        <v>102</v>
      </c>
      <c r="K70" s="12"/>
      <c r="L70" s="11" t="s">
        <v>242</v>
      </c>
      <c r="M70" s="11" t="s">
        <v>71</v>
      </c>
      <c r="N70" s="11" t="s">
        <v>96</v>
      </c>
      <c r="O70" s="14"/>
      <c r="P70" s="14"/>
      <c r="Q70" s="14"/>
      <c r="R70" s="14"/>
      <c r="S70" s="14"/>
      <c r="T70" s="14"/>
      <c r="U70" s="14"/>
      <c r="V70" s="14"/>
      <c r="W70" s="14"/>
      <c r="X70" s="14"/>
      <c r="Y70" s="14"/>
      <c r="Z70" s="14"/>
      <c r="AA70" s="14"/>
      <c r="AB70" s="14"/>
      <c r="AC70" s="14"/>
      <c r="AD70" s="14"/>
      <c r="AE70" s="25">
        <v>45335.0</v>
      </c>
      <c r="AF70" s="12"/>
      <c r="AG70" s="25">
        <v>45335.0</v>
      </c>
      <c r="AH70" s="12"/>
      <c r="AI70" s="12"/>
      <c r="AJ70" s="12"/>
      <c r="AK70" s="12"/>
      <c r="AL70" s="70" t="s">
        <v>44</v>
      </c>
      <c r="AM70" s="14"/>
      <c r="AN70" s="11"/>
      <c r="AO70" s="38"/>
      <c r="AP70" s="38"/>
    </row>
    <row r="71" ht="99.0" customHeight="1">
      <c r="A71" s="8" t="s">
        <v>36</v>
      </c>
      <c r="B71" s="9">
        <v>45335.540871053236</v>
      </c>
      <c r="C71" s="10" t="s">
        <v>243</v>
      </c>
      <c r="D71" s="11" t="s">
        <v>109</v>
      </c>
      <c r="E71" s="11" t="s">
        <v>52</v>
      </c>
      <c r="F71" s="11" t="s">
        <v>65</v>
      </c>
      <c r="G71" s="11" t="s">
        <v>54</v>
      </c>
      <c r="H71" s="11" t="s">
        <v>42</v>
      </c>
      <c r="I71" s="10">
        <v>1000.0</v>
      </c>
      <c r="J71" s="11" t="s">
        <v>244</v>
      </c>
      <c r="K71" s="12"/>
      <c r="L71" s="12"/>
      <c r="M71" s="11" t="s">
        <v>71</v>
      </c>
      <c r="N71" s="14"/>
      <c r="O71" s="14"/>
      <c r="P71" s="14"/>
      <c r="Q71" s="14"/>
      <c r="R71" s="14"/>
      <c r="S71" s="14"/>
      <c r="T71" s="14"/>
      <c r="U71" s="14"/>
      <c r="V71" s="14"/>
      <c r="W71" s="14"/>
      <c r="X71" s="14"/>
      <c r="Y71" s="14"/>
      <c r="Z71" s="14"/>
      <c r="AA71" s="14"/>
      <c r="AB71" s="14"/>
      <c r="AC71" s="14"/>
      <c r="AD71" s="14"/>
      <c r="AE71" s="25">
        <v>45345.0</v>
      </c>
      <c r="AF71" s="12"/>
      <c r="AG71" s="25">
        <v>45345.0</v>
      </c>
      <c r="AH71" s="12"/>
      <c r="AI71" s="12"/>
      <c r="AJ71" s="12"/>
      <c r="AK71" s="12"/>
      <c r="AL71" s="70" t="s">
        <v>44</v>
      </c>
      <c r="AM71" s="14"/>
      <c r="AN71" s="11"/>
      <c r="AO71" s="38"/>
      <c r="AP71" s="38"/>
    </row>
    <row r="72" ht="99.0" customHeight="1">
      <c r="A72" s="8" t="s">
        <v>36</v>
      </c>
      <c r="B72" s="9">
        <v>45336.42075075231</v>
      </c>
      <c r="C72" s="10" t="s">
        <v>245</v>
      </c>
      <c r="D72" s="11" t="s">
        <v>142</v>
      </c>
      <c r="E72" s="11" t="s">
        <v>52</v>
      </c>
      <c r="F72" s="11" t="s">
        <v>65</v>
      </c>
      <c r="G72" s="11" t="s">
        <v>54</v>
      </c>
      <c r="H72" s="11" t="s">
        <v>61</v>
      </c>
      <c r="I72" s="10">
        <v>1226.0</v>
      </c>
      <c r="J72" s="11" t="s">
        <v>102</v>
      </c>
      <c r="K72" s="12"/>
      <c r="L72" s="11" t="s">
        <v>246</v>
      </c>
      <c r="M72" s="11" t="s">
        <v>71</v>
      </c>
      <c r="N72" s="11" t="s">
        <v>96</v>
      </c>
      <c r="O72" s="14"/>
      <c r="P72" s="14"/>
      <c r="Q72" s="14"/>
      <c r="R72" s="14"/>
      <c r="S72" s="14"/>
      <c r="T72" s="14"/>
      <c r="U72" s="14"/>
      <c r="V72" s="14"/>
      <c r="W72" s="14"/>
      <c r="X72" s="14"/>
      <c r="Y72" s="14"/>
      <c r="Z72" s="14"/>
      <c r="AA72" s="14"/>
      <c r="AB72" s="14"/>
      <c r="AC72" s="14"/>
      <c r="AD72" s="14"/>
      <c r="AE72" s="25">
        <v>45338.0</v>
      </c>
      <c r="AF72" s="12"/>
      <c r="AG72" s="25">
        <v>45338.0</v>
      </c>
      <c r="AH72" s="12"/>
      <c r="AI72" s="12"/>
      <c r="AJ72" s="12"/>
      <c r="AK72" s="12"/>
      <c r="AL72" s="70" t="s">
        <v>44</v>
      </c>
      <c r="AM72" s="14"/>
      <c r="AN72" s="11"/>
      <c r="AO72" s="38"/>
      <c r="AP72" s="38"/>
    </row>
    <row r="73" ht="99.0" customHeight="1">
      <c r="A73" s="31" t="s">
        <v>36</v>
      </c>
      <c r="B73" s="32">
        <v>45337.64308521991</v>
      </c>
      <c r="C73" s="33" t="s">
        <v>120</v>
      </c>
      <c r="D73" s="34" t="s">
        <v>38</v>
      </c>
      <c r="E73" s="34" t="s">
        <v>40</v>
      </c>
      <c r="F73" s="34" t="s">
        <v>40</v>
      </c>
      <c r="G73" s="34" t="s">
        <v>41</v>
      </c>
      <c r="H73" s="31" t="s">
        <v>99</v>
      </c>
      <c r="I73" s="33">
        <v>15000.0</v>
      </c>
      <c r="J73" s="34" t="s">
        <v>121</v>
      </c>
      <c r="K73" s="35"/>
      <c r="L73" s="35"/>
      <c r="M73" s="34" t="s">
        <v>71</v>
      </c>
      <c r="N73" s="13" t="s">
        <v>44</v>
      </c>
      <c r="O73" s="14"/>
      <c r="P73" s="14"/>
      <c r="Q73" s="14"/>
      <c r="R73" s="14"/>
      <c r="S73" s="14"/>
      <c r="T73" s="14"/>
      <c r="U73" s="14"/>
      <c r="V73" s="14"/>
      <c r="W73" s="14"/>
      <c r="X73" s="14"/>
      <c r="Y73" s="14"/>
      <c r="Z73" s="14"/>
      <c r="AA73" s="14"/>
      <c r="AB73" s="14"/>
      <c r="AC73" s="14"/>
      <c r="AD73" s="12"/>
      <c r="AE73" s="12"/>
      <c r="AF73" s="12"/>
      <c r="AG73" s="12"/>
      <c r="AH73" s="12"/>
      <c r="AI73" s="12"/>
      <c r="AJ73" s="12"/>
      <c r="AK73" s="11" t="s">
        <v>45</v>
      </c>
      <c r="AL73" s="13" t="s">
        <v>44</v>
      </c>
      <c r="AM73" s="13" t="s">
        <v>44</v>
      </c>
      <c r="AN73" s="34" t="s">
        <v>46</v>
      </c>
      <c r="AO73" s="15" t="b">
        <v>1</v>
      </c>
      <c r="AP73" s="15"/>
    </row>
    <row r="74" ht="99.0" customHeight="1">
      <c r="A74" s="8" t="s">
        <v>36</v>
      </c>
      <c r="B74" s="9">
        <v>45344.46637578704</v>
      </c>
      <c r="C74" s="10" t="s">
        <v>247</v>
      </c>
      <c r="D74" s="11" t="s">
        <v>109</v>
      </c>
      <c r="E74" s="11" t="s">
        <v>138</v>
      </c>
      <c r="F74" s="11" t="s">
        <v>80</v>
      </c>
      <c r="G74" s="11" t="s">
        <v>131</v>
      </c>
      <c r="H74" s="8" t="s">
        <v>61</v>
      </c>
      <c r="I74" s="11">
        <v>3469.0</v>
      </c>
      <c r="J74" s="11" t="s">
        <v>248</v>
      </c>
      <c r="K74" s="12"/>
      <c r="L74" s="28" t="s">
        <v>249</v>
      </c>
      <c r="M74" s="11" t="s">
        <v>71</v>
      </c>
      <c r="N74" s="13" t="s">
        <v>44</v>
      </c>
      <c r="O74" s="14"/>
      <c r="P74" s="14"/>
      <c r="Q74" s="14"/>
      <c r="R74" s="14"/>
      <c r="S74" s="14"/>
      <c r="T74" s="14"/>
      <c r="U74" s="14"/>
      <c r="V74" s="14"/>
      <c r="W74" s="14"/>
      <c r="X74" s="14"/>
      <c r="Y74" s="14"/>
      <c r="Z74" s="14"/>
      <c r="AA74" s="14"/>
      <c r="AB74" s="14"/>
      <c r="AC74" s="14"/>
      <c r="AD74" s="12"/>
      <c r="AE74" s="12"/>
      <c r="AF74" s="12"/>
      <c r="AG74" s="12"/>
      <c r="AH74" s="12"/>
      <c r="AI74" s="12"/>
      <c r="AJ74" s="12"/>
      <c r="AK74" s="11" t="s">
        <v>45</v>
      </c>
      <c r="AL74" s="13" t="s">
        <v>44</v>
      </c>
      <c r="AM74" s="13" t="s">
        <v>44</v>
      </c>
      <c r="AN74" s="11"/>
      <c r="AO74" s="15"/>
      <c r="AP74" s="15"/>
    </row>
    <row r="75" ht="99.0" customHeight="1">
      <c r="A75" s="8" t="s">
        <v>36</v>
      </c>
      <c r="B75" s="9">
        <v>45345.34894513889</v>
      </c>
      <c r="C75" s="10" t="s">
        <v>231</v>
      </c>
      <c r="D75" s="11" t="s">
        <v>51</v>
      </c>
      <c r="E75" s="11" t="s">
        <v>52</v>
      </c>
      <c r="F75" s="11" t="s">
        <v>40</v>
      </c>
      <c r="G75" s="11" t="s">
        <v>54</v>
      </c>
      <c r="H75" s="11" t="s">
        <v>47</v>
      </c>
      <c r="I75" s="11">
        <v>36.0</v>
      </c>
      <c r="J75" s="11" t="s">
        <v>184</v>
      </c>
      <c r="K75" s="11" t="s">
        <v>250</v>
      </c>
      <c r="L75" s="11" t="s">
        <v>233</v>
      </c>
      <c r="M75" s="11" t="s">
        <v>71</v>
      </c>
      <c r="N75" s="13" t="s">
        <v>44</v>
      </c>
      <c r="O75" s="14"/>
      <c r="P75" s="14"/>
      <c r="Q75" s="14"/>
      <c r="R75" s="14"/>
      <c r="S75" s="14"/>
      <c r="T75" s="14"/>
      <c r="U75" s="14"/>
      <c r="V75" s="14"/>
      <c r="W75" s="14"/>
      <c r="X75" s="14"/>
      <c r="Y75" s="14"/>
      <c r="Z75" s="14"/>
      <c r="AA75" s="14"/>
      <c r="AB75" s="14"/>
      <c r="AC75" s="14"/>
      <c r="AD75" s="12"/>
      <c r="AE75" s="12"/>
      <c r="AF75" s="12"/>
      <c r="AG75" s="12"/>
      <c r="AH75" s="12"/>
      <c r="AI75" s="12"/>
      <c r="AJ75" s="12"/>
      <c r="AK75" s="11" t="s">
        <v>45</v>
      </c>
      <c r="AL75" s="13" t="s">
        <v>44</v>
      </c>
      <c r="AM75" s="13" t="s">
        <v>44</v>
      </c>
      <c r="AN75" s="11"/>
      <c r="AO75" s="15"/>
      <c r="AP75" s="15"/>
    </row>
    <row r="76" ht="99.0" customHeight="1">
      <c r="A76" s="8" t="s">
        <v>36</v>
      </c>
      <c r="B76" s="9">
        <v>45348.72282225694</v>
      </c>
      <c r="C76" s="10" t="s">
        <v>251</v>
      </c>
      <c r="D76" s="11" t="s">
        <v>51</v>
      </c>
      <c r="E76" s="11" t="s">
        <v>252</v>
      </c>
      <c r="F76" s="11" t="s">
        <v>80</v>
      </c>
      <c r="G76" s="11" t="s">
        <v>54</v>
      </c>
      <c r="H76" s="11" t="s">
        <v>61</v>
      </c>
      <c r="I76" s="71">
        <v>165.0</v>
      </c>
      <c r="J76" s="11" t="s">
        <v>128</v>
      </c>
      <c r="K76" s="28" t="s">
        <v>253</v>
      </c>
      <c r="L76" s="11" t="s">
        <v>254</v>
      </c>
      <c r="M76" s="11" t="s">
        <v>71</v>
      </c>
      <c r="N76" s="13" t="s">
        <v>44</v>
      </c>
      <c r="O76" s="14"/>
      <c r="P76" s="14"/>
      <c r="Q76" s="14"/>
      <c r="R76" s="14"/>
      <c r="S76" s="14"/>
      <c r="T76" s="14"/>
      <c r="U76" s="14"/>
      <c r="V76" s="14"/>
      <c r="W76" s="14"/>
      <c r="X76" s="14"/>
      <c r="Y76" s="14"/>
      <c r="Z76" s="14"/>
      <c r="AA76" s="14"/>
      <c r="AB76" s="14"/>
      <c r="AC76" s="14"/>
      <c r="AD76" s="12"/>
      <c r="AE76" s="12"/>
      <c r="AF76" s="12"/>
      <c r="AG76" s="12"/>
      <c r="AH76" s="12"/>
      <c r="AI76" s="12"/>
      <c r="AJ76" s="12"/>
      <c r="AK76" s="11" t="s">
        <v>45</v>
      </c>
      <c r="AL76" s="13" t="s">
        <v>44</v>
      </c>
      <c r="AM76" s="13" t="s">
        <v>44</v>
      </c>
      <c r="AN76" s="11"/>
      <c r="AO76" s="15" t="b">
        <v>1</v>
      </c>
      <c r="AP76" s="15"/>
    </row>
    <row r="77" ht="99.0" customHeight="1">
      <c r="A77" s="72" t="s">
        <v>177</v>
      </c>
      <c r="B77" s="73">
        <v>45349.44428732639</v>
      </c>
      <c r="C77" s="74" t="s">
        <v>255</v>
      </c>
      <c r="D77" s="75" t="s">
        <v>38</v>
      </c>
      <c r="E77" s="75" t="s">
        <v>40</v>
      </c>
      <c r="F77" s="75" t="s">
        <v>40</v>
      </c>
      <c r="G77" s="75" t="s">
        <v>54</v>
      </c>
      <c r="H77" s="72" t="s">
        <v>61</v>
      </c>
      <c r="I77" s="75" t="s">
        <v>256</v>
      </c>
      <c r="J77" s="75" t="s">
        <v>184</v>
      </c>
      <c r="K77" s="76" t="s">
        <v>257</v>
      </c>
      <c r="L77" s="75" t="s">
        <v>258</v>
      </c>
      <c r="M77" s="75" t="s">
        <v>71</v>
      </c>
      <c r="N77" s="13" t="s">
        <v>44</v>
      </c>
      <c r="O77" s="14"/>
      <c r="P77" s="14"/>
      <c r="Q77" s="14"/>
      <c r="R77" s="14"/>
      <c r="S77" s="14"/>
      <c r="T77" s="14"/>
      <c r="U77" s="14"/>
      <c r="V77" s="14"/>
      <c r="W77" s="14"/>
      <c r="X77" s="14"/>
      <c r="Y77" s="14"/>
      <c r="Z77" s="14"/>
      <c r="AA77" s="14"/>
      <c r="AB77" s="14"/>
      <c r="AC77" s="14"/>
      <c r="AD77" s="12"/>
      <c r="AE77" s="12"/>
      <c r="AF77" s="12"/>
      <c r="AG77" s="12"/>
      <c r="AH77" s="12"/>
      <c r="AI77" s="12"/>
      <c r="AJ77" s="12"/>
      <c r="AK77" s="11" t="s">
        <v>45</v>
      </c>
      <c r="AL77" s="13" t="s">
        <v>44</v>
      </c>
      <c r="AM77" s="13" t="s">
        <v>44</v>
      </c>
      <c r="AN77" s="75"/>
      <c r="AO77" s="15"/>
      <c r="AP77" s="15"/>
    </row>
    <row r="78" ht="99.0" customHeight="1">
      <c r="A78" s="8" t="s">
        <v>36</v>
      </c>
      <c r="B78" s="9">
        <v>45349.447864375004</v>
      </c>
      <c r="C78" s="10" t="s">
        <v>259</v>
      </c>
      <c r="D78" s="11" t="s">
        <v>260</v>
      </c>
      <c r="E78" s="11" t="s">
        <v>52</v>
      </c>
      <c r="F78" s="11" t="s">
        <v>261</v>
      </c>
      <c r="G78" s="11" t="s">
        <v>131</v>
      </c>
      <c r="H78" s="11" t="s">
        <v>61</v>
      </c>
      <c r="I78" s="71">
        <v>1199.0</v>
      </c>
      <c r="J78" s="11" t="s">
        <v>262</v>
      </c>
      <c r="K78" s="12"/>
      <c r="L78" s="11" t="s">
        <v>263</v>
      </c>
      <c r="M78" s="11" t="s">
        <v>71</v>
      </c>
      <c r="N78" s="13" t="s">
        <v>44</v>
      </c>
      <c r="O78" s="14"/>
      <c r="P78" s="14"/>
      <c r="Q78" s="14"/>
      <c r="R78" s="14"/>
      <c r="S78" s="14"/>
      <c r="T78" s="14"/>
      <c r="U78" s="14"/>
      <c r="V78" s="14"/>
      <c r="W78" s="14"/>
      <c r="X78" s="14"/>
      <c r="Y78" s="14"/>
      <c r="Z78" s="14"/>
      <c r="AA78" s="14"/>
      <c r="AB78" s="14"/>
      <c r="AC78" s="14"/>
      <c r="AD78" s="12"/>
      <c r="AE78" s="12"/>
      <c r="AF78" s="12"/>
      <c r="AG78" s="12"/>
      <c r="AH78" s="12"/>
      <c r="AI78" s="12"/>
      <c r="AJ78" s="12"/>
      <c r="AK78" s="11" t="s">
        <v>45</v>
      </c>
      <c r="AL78" s="13" t="s">
        <v>44</v>
      </c>
      <c r="AM78" s="13" t="s">
        <v>44</v>
      </c>
      <c r="AN78" s="11"/>
      <c r="AO78" s="15"/>
      <c r="AP78" s="15"/>
    </row>
    <row r="79" ht="99.0" customHeight="1">
      <c r="A79" s="8" t="s">
        <v>36</v>
      </c>
      <c r="B79" s="9">
        <v>45350.611048402774</v>
      </c>
      <c r="C79" s="10" t="s">
        <v>264</v>
      </c>
      <c r="D79" s="11" t="s">
        <v>51</v>
      </c>
      <c r="E79" s="11" t="s">
        <v>265</v>
      </c>
      <c r="F79" s="11" t="s">
        <v>80</v>
      </c>
      <c r="G79" s="11" t="s">
        <v>131</v>
      </c>
      <c r="H79" s="11" t="s">
        <v>61</v>
      </c>
      <c r="I79" s="77">
        <v>399.0</v>
      </c>
      <c r="J79" s="11" t="s">
        <v>184</v>
      </c>
      <c r="K79" s="28" t="s">
        <v>266</v>
      </c>
      <c r="L79" s="11" t="s">
        <v>267</v>
      </c>
      <c r="M79" s="11" t="s">
        <v>71</v>
      </c>
      <c r="N79" s="13" t="s">
        <v>44</v>
      </c>
      <c r="O79" s="14"/>
      <c r="P79" s="14"/>
      <c r="Q79" s="14"/>
      <c r="R79" s="14"/>
      <c r="S79" s="14"/>
      <c r="T79" s="14"/>
      <c r="U79" s="14"/>
      <c r="V79" s="14"/>
      <c r="W79" s="14"/>
      <c r="X79" s="14"/>
      <c r="Y79" s="14"/>
      <c r="Z79" s="14"/>
      <c r="AA79" s="14"/>
      <c r="AB79" s="14"/>
      <c r="AC79" s="14"/>
      <c r="AD79" s="12"/>
      <c r="AE79" s="12"/>
      <c r="AF79" s="12"/>
      <c r="AG79" s="12"/>
      <c r="AH79" s="12"/>
      <c r="AI79" s="12"/>
      <c r="AJ79" s="12"/>
      <c r="AK79" s="11" t="s">
        <v>45</v>
      </c>
      <c r="AL79" s="13" t="s">
        <v>44</v>
      </c>
      <c r="AM79" s="13" t="s">
        <v>44</v>
      </c>
      <c r="AN79" s="11"/>
      <c r="AO79" s="15"/>
      <c r="AP79" s="15"/>
    </row>
    <row r="80" ht="99.0" customHeight="1">
      <c r="A80" s="8" t="s">
        <v>36</v>
      </c>
      <c r="B80" s="9">
        <v>45351.346548229165</v>
      </c>
      <c r="C80" s="10" t="s">
        <v>117</v>
      </c>
      <c r="D80" s="11" t="s">
        <v>51</v>
      </c>
      <c r="E80" s="11" t="s">
        <v>52</v>
      </c>
      <c r="F80" s="11" t="s">
        <v>65</v>
      </c>
      <c r="G80" s="11" t="s">
        <v>54</v>
      </c>
      <c r="H80" s="8" t="s">
        <v>61</v>
      </c>
      <c r="I80" s="71">
        <v>150.0</v>
      </c>
      <c r="J80" s="11" t="s">
        <v>118</v>
      </c>
      <c r="K80" s="12"/>
      <c r="L80" s="24" t="s">
        <v>268</v>
      </c>
      <c r="M80" s="11" t="s">
        <v>71</v>
      </c>
      <c r="N80" s="11" t="s">
        <v>68</v>
      </c>
      <c r="O80" s="14"/>
      <c r="P80" s="14"/>
      <c r="Q80" s="14"/>
      <c r="R80" s="14"/>
      <c r="S80" s="14"/>
      <c r="T80" s="14"/>
      <c r="U80" s="14"/>
      <c r="V80" s="14"/>
      <c r="W80" s="14"/>
      <c r="X80" s="14"/>
      <c r="Y80" s="14"/>
      <c r="Z80" s="14"/>
      <c r="AA80" s="14"/>
      <c r="AB80" s="14"/>
      <c r="AC80" s="14"/>
      <c r="AD80" s="14"/>
      <c r="AE80" s="12"/>
      <c r="AF80" s="12"/>
      <c r="AG80" s="78">
        <v>45352.0</v>
      </c>
      <c r="AH80" s="12"/>
      <c r="AI80" s="12"/>
      <c r="AJ80" s="12"/>
      <c r="AK80" s="12"/>
      <c r="AL80" s="27" t="s">
        <v>70</v>
      </c>
      <c r="AM80" s="14"/>
      <c r="AN80" s="11"/>
      <c r="AO80" s="38"/>
      <c r="AP80" s="38"/>
    </row>
    <row r="81" ht="99.0" customHeight="1">
      <c r="A81" s="8" t="s">
        <v>36</v>
      </c>
      <c r="B81" s="9">
        <v>45351.35373721065</v>
      </c>
      <c r="C81" s="10" t="s">
        <v>148</v>
      </c>
      <c r="D81" s="11" t="s">
        <v>51</v>
      </c>
      <c r="E81" s="11" t="s">
        <v>149</v>
      </c>
      <c r="F81" s="11" t="s">
        <v>80</v>
      </c>
      <c r="G81" s="11" t="s">
        <v>41</v>
      </c>
      <c r="H81" s="11" t="s">
        <v>269</v>
      </c>
      <c r="I81" s="11" t="s">
        <v>270</v>
      </c>
      <c r="J81" s="11" t="s">
        <v>100</v>
      </c>
      <c r="K81" s="12"/>
      <c r="L81" s="11" t="s">
        <v>271</v>
      </c>
      <c r="M81" s="11" t="s">
        <v>71</v>
      </c>
      <c r="N81" s="13" t="s">
        <v>44</v>
      </c>
      <c r="O81" s="14"/>
      <c r="P81" s="14"/>
      <c r="Q81" s="14"/>
      <c r="R81" s="14"/>
      <c r="S81" s="14"/>
      <c r="T81" s="14"/>
      <c r="U81" s="14"/>
      <c r="V81" s="14"/>
      <c r="W81" s="14"/>
      <c r="X81" s="14"/>
      <c r="Y81" s="14"/>
      <c r="Z81" s="14"/>
      <c r="AA81" s="14"/>
      <c r="AB81" s="14"/>
      <c r="AC81" s="14"/>
      <c r="AD81" s="12"/>
      <c r="AE81" s="12"/>
      <c r="AF81" s="12"/>
      <c r="AG81" s="12"/>
      <c r="AH81" s="12"/>
      <c r="AI81" s="12"/>
      <c r="AJ81" s="12"/>
      <c r="AK81" s="11" t="s">
        <v>45</v>
      </c>
      <c r="AL81" s="13" t="s">
        <v>44</v>
      </c>
      <c r="AM81" s="13" t="s">
        <v>44</v>
      </c>
      <c r="AN81" s="11"/>
      <c r="AO81" s="15"/>
      <c r="AP81" s="15" t="s">
        <v>58</v>
      </c>
    </row>
    <row r="82" ht="99.0" customHeight="1">
      <c r="A82" s="8" t="s">
        <v>36</v>
      </c>
      <c r="B82" s="9">
        <v>45351.729696145834</v>
      </c>
      <c r="C82" s="10" t="s">
        <v>272</v>
      </c>
      <c r="D82" s="11" t="s">
        <v>51</v>
      </c>
      <c r="E82" s="11" t="s">
        <v>52</v>
      </c>
      <c r="F82" s="11" t="s">
        <v>65</v>
      </c>
      <c r="G82" s="11" t="s">
        <v>131</v>
      </c>
      <c r="H82" s="11" t="s">
        <v>61</v>
      </c>
      <c r="I82" s="71">
        <v>400.0</v>
      </c>
      <c r="J82" s="11" t="s">
        <v>184</v>
      </c>
      <c r="K82" s="12"/>
      <c r="L82" s="11" t="s">
        <v>273</v>
      </c>
      <c r="M82" s="11" t="s">
        <v>71</v>
      </c>
      <c r="N82" s="11" t="s">
        <v>68</v>
      </c>
      <c r="O82" s="14"/>
      <c r="P82" s="14"/>
      <c r="Q82" s="14"/>
      <c r="R82" s="14"/>
      <c r="S82" s="14"/>
      <c r="T82" s="14"/>
      <c r="U82" s="14"/>
      <c r="V82" s="14"/>
      <c r="W82" s="14"/>
      <c r="X82" s="14"/>
      <c r="Y82" s="14"/>
      <c r="Z82" s="14"/>
      <c r="AA82" s="14"/>
      <c r="AB82" s="14"/>
      <c r="AC82" s="14"/>
      <c r="AD82" s="14"/>
      <c r="AE82" s="25">
        <v>45352.0</v>
      </c>
      <c r="AF82" s="12"/>
      <c r="AG82" s="78">
        <v>45352.0</v>
      </c>
      <c r="AH82" s="12"/>
      <c r="AI82" s="12"/>
      <c r="AJ82" s="12"/>
      <c r="AK82" s="12"/>
      <c r="AL82" s="27" t="s">
        <v>70</v>
      </c>
      <c r="AM82" s="14"/>
      <c r="AN82" s="11"/>
      <c r="AO82" s="15" t="b">
        <v>0</v>
      </c>
      <c r="AP82" s="38"/>
    </row>
    <row r="83" ht="99.0" customHeight="1">
      <c r="A83" s="8" t="s">
        <v>36</v>
      </c>
      <c r="B83" s="9">
        <v>45355.707517627314</v>
      </c>
      <c r="C83" s="10" t="s">
        <v>264</v>
      </c>
      <c r="D83" s="11" t="s">
        <v>51</v>
      </c>
      <c r="E83" s="11" t="s">
        <v>265</v>
      </c>
      <c r="F83" s="11" t="s">
        <v>80</v>
      </c>
      <c r="G83" s="11" t="s">
        <v>131</v>
      </c>
      <c r="H83" s="11" t="s">
        <v>47</v>
      </c>
      <c r="I83" s="71">
        <v>125.0</v>
      </c>
      <c r="J83" s="11" t="s">
        <v>184</v>
      </c>
      <c r="K83" s="24" t="s">
        <v>274</v>
      </c>
      <c r="L83" s="11" t="s">
        <v>275</v>
      </c>
      <c r="M83" s="11" t="s">
        <v>71</v>
      </c>
      <c r="N83" s="13" t="s">
        <v>44</v>
      </c>
      <c r="O83" s="14"/>
      <c r="P83" s="14"/>
      <c r="Q83" s="14"/>
      <c r="R83" s="14"/>
      <c r="S83" s="14"/>
      <c r="T83" s="14"/>
      <c r="U83" s="14"/>
      <c r="V83" s="14"/>
      <c r="W83" s="14"/>
      <c r="X83" s="14"/>
      <c r="Y83" s="14"/>
      <c r="Z83" s="14"/>
      <c r="AA83" s="14"/>
      <c r="AB83" s="14"/>
      <c r="AC83" s="14"/>
      <c r="AD83" s="12"/>
      <c r="AE83" s="12"/>
      <c r="AF83" s="12"/>
      <c r="AG83" s="12"/>
      <c r="AH83" s="12"/>
      <c r="AI83" s="12"/>
      <c r="AJ83" s="12"/>
      <c r="AK83" s="11" t="s">
        <v>45</v>
      </c>
      <c r="AL83" s="13" t="s">
        <v>44</v>
      </c>
      <c r="AM83" s="13" t="s">
        <v>44</v>
      </c>
      <c r="AN83" s="11"/>
      <c r="AO83" s="15"/>
      <c r="AP83" s="15"/>
    </row>
    <row r="84" ht="99.0" customHeight="1">
      <c r="A84" s="17" t="s">
        <v>36</v>
      </c>
      <c r="B84" s="18">
        <v>45356.66168770833</v>
      </c>
      <c r="C84" s="19" t="s">
        <v>276</v>
      </c>
      <c r="D84" s="20" t="s">
        <v>202</v>
      </c>
      <c r="E84" s="20" t="s">
        <v>52</v>
      </c>
      <c r="F84" s="20" t="s">
        <v>65</v>
      </c>
      <c r="G84" s="20" t="s">
        <v>54</v>
      </c>
      <c r="H84" s="20" t="s">
        <v>277</v>
      </c>
      <c r="I84" s="20">
        <v>260.0</v>
      </c>
      <c r="J84" s="20" t="s">
        <v>244</v>
      </c>
      <c r="K84" s="29" t="s">
        <v>278</v>
      </c>
      <c r="L84" s="20" t="s">
        <v>279</v>
      </c>
      <c r="M84" s="20" t="s">
        <v>71</v>
      </c>
      <c r="N84" s="13" t="s">
        <v>44</v>
      </c>
      <c r="O84" s="14"/>
      <c r="P84" s="14"/>
      <c r="Q84" s="14"/>
      <c r="R84" s="14"/>
      <c r="S84" s="14"/>
      <c r="T84" s="14"/>
      <c r="U84" s="14"/>
      <c r="V84" s="14"/>
      <c r="W84" s="14"/>
      <c r="X84" s="14"/>
      <c r="Y84" s="14"/>
      <c r="Z84" s="14"/>
      <c r="AA84" s="14"/>
      <c r="AB84" s="14"/>
      <c r="AC84" s="14"/>
      <c r="AD84" s="12"/>
      <c r="AE84" s="12"/>
      <c r="AF84" s="12"/>
      <c r="AG84" s="12"/>
      <c r="AH84" s="12"/>
      <c r="AI84" s="12"/>
      <c r="AJ84" s="12"/>
      <c r="AK84" s="11" t="s">
        <v>45</v>
      </c>
      <c r="AL84" s="13" t="s">
        <v>44</v>
      </c>
      <c r="AM84" s="13" t="s">
        <v>44</v>
      </c>
      <c r="AN84" s="20"/>
      <c r="AO84" s="15"/>
      <c r="AP84" s="15"/>
    </row>
    <row r="85">
      <c r="A85" s="11" t="s">
        <v>36</v>
      </c>
      <c r="B85" s="9">
        <v>45358.391522499995</v>
      </c>
      <c r="C85" s="10" t="s">
        <v>280</v>
      </c>
      <c r="D85" s="11" t="s">
        <v>202</v>
      </c>
      <c r="E85" s="11" t="s">
        <v>52</v>
      </c>
      <c r="F85" s="11" t="s">
        <v>281</v>
      </c>
      <c r="G85" s="11" t="s">
        <v>54</v>
      </c>
      <c r="H85" s="11" t="s">
        <v>61</v>
      </c>
      <c r="I85" s="77">
        <v>159.0</v>
      </c>
      <c r="J85" s="11" t="s">
        <v>118</v>
      </c>
      <c r="K85" s="24" t="s">
        <v>282</v>
      </c>
      <c r="L85" s="11" t="s">
        <v>283</v>
      </c>
      <c r="M85" s="11" t="s">
        <v>71</v>
      </c>
      <c r="N85" s="13" t="s">
        <v>44</v>
      </c>
      <c r="O85" s="14"/>
      <c r="P85" s="14"/>
      <c r="Q85" s="14"/>
      <c r="R85" s="14"/>
      <c r="S85" s="14"/>
      <c r="T85" s="14"/>
      <c r="U85" s="14"/>
      <c r="V85" s="14"/>
      <c r="W85" s="14"/>
      <c r="X85" s="14"/>
      <c r="Y85" s="14"/>
      <c r="Z85" s="14"/>
      <c r="AA85" s="14"/>
      <c r="AB85" s="14"/>
      <c r="AC85" s="14"/>
      <c r="AD85" s="12"/>
      <c r="AE85" s="12"/>
      <c r="AF85" s="12"/>
      <c r="AG85" s="12"/>
      <c r="AH85" s="12"/>
      <c r="AI85" s="12"/>
      <c r="AJ85" s="12"/>
      <c r="AK85" s="11" t="s">
        <v>45</v>
      </c>
      <c r="AL85" s="13" t="s">
        <v>44</v>
      </c>
      <c r="AM85" s="13" t="s">
        <v>44</v>
      </c>
      <c r="AN85" s="11" t="s">
        <v>71</v>
      </c>
      <c r="AO85" s="8" t="b">
        <v>1</v>
      </c>
      <c r="AP85" s="8"/>
    </row>
    <row r="86" ht="55.5" customHeight="1">
      <c r="A86" s="79" t="s">
        <v>190</v>
      </c>
      <c r="B86" s="80">
        <v>45358.554343842596</v>
      </c>
      <c r="C86" s="81" t="s">
        <v>284</v>
      </c>
      <c r="D86" s="79" t="s">
        <v>38</v>
      </c>
      <c r="E86" s="79" t="s">
        <v>39</v>
      </c>
      <c r="F86" s="79" t="s">
        <v>60</v>
      </c>
      <c r="G86" s="79" t="s">
        <v>60</v>
      </c>
      <c r="H86" s="79" t="s">
        <v>285</v>
      </c>
      <c r="I86" s="79" t="s">
        <v>286</v>
      </c>
      <c r="J86" s="79" t="s">
        <v>102</v>
      </c>
      <c r="K86" s="79" t="s">
        <v>287</v>
      </c>
      <c r="L86" s="82"/>
      <c r="M86" s="79" t="s">
        <v>71</v>
      </c>
      <c r="N86" s="13" t="s">
        <v>44</v>
      </c>
      <c r="O86" s="14"/>
      <c r="P86" s="14"/>
      <c r="Q86" s="14"/>
      <c r="R86" s="14"/>
      <c r="S86" s="14"/>
      <c r="T86" s="14"/>
      <c r="U86" s="14"/>
      <c r="V86" s="14"/>
      <c r="W86" s="14"/>
      <c r="X86" s="14"/>
      <c r="Y86" s="14"/>
      <c r="Z86" s="14"/>
      <c r="AA86" s="14"/>
      <c r="AB86" s="14"/>
      <c r="AC86" s="14"/>
      <c r="AD86" s="12"/>
      <c r="AE86" s="12"/>
      <c r="AF86" s="12"/>
      <c r="AG86" s="12"/>
      <c r="AH86" s="12"/>
      <c r="AI86" s="12"/>
      <c r="AJ86" s="12"/>
      <c r="AK86" s="11" t="s">
        <v>45</v>
      </c>
      <c r="AL86" s="13" t="s">
        <v>44</v>
      </c>
      <c r="AM86" s="13" t="s">
        <v>44</v>
      </c>
      <c r="AN86" s="79"/>
      <c r="AO86" s="15"/>
      <c r="AP86" s="15"/>
    </row>
    <row r="87">
      <c r="A87" s="11" t="s">
        <v>36</v>
      </c>
      <c r="B87" s="9">
        <v>45359.442366793985</v>
      </c>
      <c r="C87" s="10" t="s">
        <v>64</v>
      </c>
      <c r="D87" s="11" t="s">
        <v>51</v>
      </c>
      <c r="E87" s="11" t="s">
        <v>52</v>
      </c>
      <c r="F87" s="11" t="s">
        <v>65</v>
      </c>
      <c r="G87" s="11" t="s">
        <v>54</v>
      </c>
      <c r="H87" s="83" t="s">
        <v>127</v>
      </c>
      <c r="I87" s="24" t="s">
        <v>288</v>
      </c>
      <c r="J87" s="11" t="s">
        <v>289</v>
      </c>
      <c r="K87" s="12"/>
      <c r="L87" s="24" t="s">
        <v>290</v>
      </c>
      <c r="M87" s="11" t="s">
        <v>71</v>
      </c>
      <c r="N87" s="11" t="s">
        <v>68</v>
      </c>
      <c r="O87" s="14"/>
      <c r="P87" s="14"/>
      <c r="Q87" s="14"/>
      <c r="R87" s="14"/>
      <c r="S87" s="14"/>
      <c r="T87" s="14"/>
      <c r="U87" s="14"/>
      <c r="V87" s="14"/>
      <c r="W87" s="14"/>
      <c r="X87" s="14"/>
      <c r="Y87" s="14"/>
      <c r="Z87" s="14"/>
      <c r="AA87" s="14"/>
      <c r="AB87" s="14"/>
      <c r="AC87" s="14"/>
      <c r="AD87" s="14"/>
      <c r="AE87" s="12"/>
      <c r="AF87" s="11" t="s">
        <v>291</v>
      </c>
      <c r="AG87" s="78">
        <v>45363.0</v>
      </c>
      <c r="AH87" s="12"/>
      <c r="AI87" s="77">
        <v>150.0</v>
      </c>
      <c r="AJ87" s="11" t="s">
        <v>69</v>
      </c>
      <c r="AK87" s="11" t="s">
        <v>292</v>
      </c>
      <c r="AL87" s="27" t="s">
        <v>70</v>
      </c>
      <c r="AM87" s="14"/>
      <c r="AN87" s="11" t="s">
        <v>71</v>
      </c>
      <c r="AO87" s="8" t="b">
        <v>1</v>
      </c>
      <c r="AP87" s="8"/>
    </row>
    <row r="88">
      <c r="A88" s="20" t="s">
        <v>36</v>
      </c>
      <c r="B88" s="18">
        <v>45359.661219953705</v>
      </c>
      <c r="C88" s="19" t="s">
        <v>293</v>
      </c>
      <c r="D88" s="20" t="s">
        <v>294</v>
      </c>
      <c r="E88" s="20" t="s">
        <v>52</v>
      </c>
      <c r="F88" s="20" t="s">
        <v>65</v>
      </c>
      <c r="G88" s="20" t="s">
        <v>54</v>
      </c>
      <c r="H88" s="17" t="s">
        <v>277</v>
      </c>
      <c r="I88" s="84">
        <v>260.0</v>
      </c>
      <c r="J88" s="20" t="s">
        <v>157</v>
      </c>
      <c r="K88" s="29" t="s">
        <v>295</v>
      </c>
      <c r="L88" s="20" t="s">
        <v>296</v>
      </c>
      <c r="M88" s="20" t="s">
        <v>71</v>
      </c>
      <c r="N88" s="13" t="s">
        <v>44</v>
      </c>
      <c r="O88" s="14"/>
      <c r="P88" s="14"/>
      <c r="Q88" s="14"/>
      <c r="R88" s="14"/>
      <c r="S88" s="14"/>
      <c r="T88" s="14"/>
      <c r="U88" s="14"/>
      <c r="V88" s="14"/>
      <c r="W88" s="14"/>
      <c r="X88" s="14"/>
      <c r="Y88" s="14"/>
      <c r="Z88" s="14"/>
      <c r="AA88" s="14"/>
      <c r="AB88" s="14"/>
      <c r="AC88" s="14"/>
      <c r="AD88" s="12"/>
      <c r="AE88" s="12"/>
      <c r="AF88" s="12"/>
      <c r="AG88" s="12"/>
      <c r="AH88" s="12"/>
      <c r="AI88" s="12"/>
      <c r="AJ88" s="12"/>
      <c r="AK88" s="11" t="s">
        <v>45</v>
      </c>
      <c r="AL88" s="13" t="s">
        <v>44</v>
      </c>
      <c r="AM88" s="13" t="s">
        <v>44</v>
      </c>
      <c r="AN88" s="20"/>
      <c r="AO88" s="15"/>
      <c r="AP88" s="15"/>
    </row>
    <row r="89">
      <c r="A89" s="20" t="s">
        <v>36</v>
      </c>
      <c r="B89" s="18">
        <v>45360.99511482639</v>
      </c>
      <c r="C89" s="19" t="s">
        <v>168</v>
      </c>
      <c r="D89" s="20" t="s">
        <v>109</v>
      </c>
      <c r="E89" s="20" t="s">
        <v>40</v>
      </c>
      <c r="F89" s="20" t="s">
        <v>40</v>
      </c>
      <c r="G89" s="20" t="s">
        <v>131</v>
      </c>
      <c r="H89" s="39" t="s">
        <v>127</v>
      </c>
      <c r="I89" s="20" t="s">
        <v>297</v>
      </c>
      <c r="J89" s="20" t="s">
        <v>100</v>
      </c>
      <c r="K89" s="85" t="s">
        <v>298</v>
      </c>
      <c r="L89" s="85" t="s">
        <v>299</v>
      </c>
      <c r="M89" s="20" t="s">
        <v>71</v>
      </c>
      <c r="N89" s="13" t="s">
        <v>44</v>
      </c>
      <c r="O89" s="14"/>
      <c r="P89" s="14"/>
      <c r="Q89" s="14"/>
      <c r="R89" s="14"/>
      <c r="S89" s="14"/>
      <c r="T89" s="14"/>
      <c r="U89" s="14"/>
      <c r="V89" s="14"/>
      <c r="W89" s="14"/>
      <c r="X89" s="14"/>
      <c r="Y89" s="14"/>
      <c r="Z89" s="14"/>
      <c r="AA89" s="14"/>
      <c r="AB89" s="14"/>
      <c r="AC89" s="14"/>
      <c r="AD89" s="12"/>
      <c r="AE89" s="12"/>
      <c r="AF89" s="12"/>
      <c r="AG89" s="12"/>
      <c r="AH89" s="12"/>
      <c r="AI89" s="12"/>
      <c r="AJ89" s="12"/>
      <c r="AK89" s="11" t="s">
        <v>45</v>
      </c>
      <c r="AL89" s="13" t="s">
        <v>44</v>
      </c>
      <c r="AM89" s="13" t="s">
        <v>44</v>
      </c>
      <c r="AN89" s="20"/>
      <c r="AO89" s="15"/>
      <c r="AP89" s="15"/>
    </row>
    <row r="90">
      <c r="A90" s="11" t="s">
        <v>36</v>
      </c>
      <c r="B90" s="9">
        <v>45361.01345542824</v>
      </c>
      <c r="C90" s="10" t="s">
        <v>168</v>
      </c>
      <c r="D90" s="11" t="s">
        <v>109</v>
      </c>
      <c r="E90" s="11" t="s">
        <v>40</v>
      </c>
      <c r="F90" s="11" t="s">
        <v>40</v>
      </c>
      <c r="G90" s="11" t="s">
        <v>131</v>
      </c>
      <c r="H90" s="8" t="s">
        <v>47</v>
      </c>
      <c r="I90" s="77">
        <v>299.99</v>
      </c>
      <c r="J90" s="11" t="s">
        <v>100</v>
      </c>
      <c r="K90" s="12"/>
      <c r="L90" s="24" t="s">
        <v>300</v>
      </c>
      <c r="M90" s="11" t="s">
        <v>71</v>
      </c>
      <c r="N90" s="13" t="s">
        <v>44</v>
      </c>
      <c r="O90" s="14"/>
      <c r="P90" s="14"/>
      <c r="Q90" s="14"/>
      <c r="R90" s="14"/>
      <c r="S90" s="14"/>
      <c r="T90" s="14"/>
      <c r="U90" s="14"/>
      <c r="V90" s="14"/>
      <c r="W90" s="14"/>
      <c r="X90" s="14"/>
      <c r="Y90" s="14"/>
      <c r="Z90" s="14"/>
      <c r="AA90" s="14"/>
      <c r="AB90" s="14"/>
      <c r="AC90" s="14"/>
      <c r="AD90" s="12"/>
      <c r="AE90" s="12"/>
      <c r="AF90" s="12"/>
      <c r="AG90" s="12"/>
      <c r="AH90" s="12"/>
      <c r="AI90" s="12"/>
      <c r="AJ90" s="12"/>
      <c r="AK90" s="11" t="s">
        <v>45</v>
      </c>
      <c r="AL90" s="13" t="s">
        <v>44</v>
      </c>
      <c r="AM90" s="13" t="s">
        <v>44</v>
      </c>
      <c r="AN90" s="11"/>
      <c r="AO90" s="15"/>
      <c r="AP90" s="15"/>
    </row>
    <row r="91">
      <c r="A91" s="11" t="s">
        <v>36</v>
      </c>
      <c r="B91" s="9">
        <v>45361.021617210645</v>
      </c>
      <c r="C91" s="10" t="s">
        <v>168</v>
      </c>
      <c r="D91" s="11" t="s">
        <v>109</v>
      </c>
      <c r="E91" s="11" t="s">
        <v>40</v>
      </c>
      <c r="F91" s="11" t="s">
        <v>40</v>
      </c>
      <c r="G91" s="11" t="s">
        <v>131</v>
      </c>
      <c r="H91" s="11" t="s">
        <v>47</v>
      </c>
      <c r="I91" s="11" t="s">
        <v>301</v>
      </c>
      <c r="J91" s="11" t="s">
        <v>100</v>
      </c>
      <c r="K91" s="12"/>
      <c r="L91" s="24" t="s">
        <v>302</v>
      </c>
      <c r="M91" s="11" t="s">
        <v>71</v>
      </c>
      <c r="N91" s="13" t="s">
        <v>44</v>
      </c>
      <c r="O91" s="14"/>
      <c r="P91" s="14"/>
      <c r="Q91" s="14"/>
      <c r="R91" s="14"/>
      <c r="S91" s="14"/>
      <c r="T91" s="14"/>
      <c r="U91" s="14"/>
      <c r="V91" s="14"/>
      <c r="W91" s="14"/>
      <c r="X91" s="14"/>
      <c r="Y91" s="14"/>
      <c r="Z91" s="14"/>
      <c r="AA91" s="14"/>
      <c r="AB91" s="14"/>
      <c r="AC91" s="14"/>
      <c r="AD91" s="12"/>
      <c r="AE91" s="12"/>
      <c r="AF91" s="12"/>
      <c r="AG91" s="12"/>
      <c r="AH91" s="12"/>
      <c r="AI91" s="12"/>
      <c r="AJ91" s="12"/>
      <c r="AK91" s="11" t="s">
        <v>45</v>
      </c>
      <c r="AL91" s="13" t="s">
        <v>44</v>
      </c>
      <c r="AM91" s="13" t="s">
        <v>44</v>
      </c>
      <c r="AN91" s="11"/>
      <c r="AO91" s="15"/>
      <c r="AP91" s="15"/>
    </row>
    <row r="92">
      <c r="A92" s="79" t="s">
        <v>190</v>
      </c>
      <c r="B92" s="80">
        <v>45365.38859267361</v>
      </c>
      <c r="C92" s="81" t="s">
        <v>284</v>
      </c>
      <c r="D92" s="79" t="s">
        <v>202</v>
      </c>
      <c r="E92" s="79" t="s">
        <v>52</v>
      </c>
      <c r="F92" s="79" t="s">
        <v>60</v>
      </c>
      <c r="G92" s="79" t="s">
        <v>60</v>
      </c>
      <c r="H92" s="79" t="s">
        <v>285</v>
      </c>
      <c r="I92" s="79" t="s">
        <v>303</v>
      </c>
      <c r="J92" s="79" t="s">
        <v>102</v>
      </c>
      <c r="K92" s="79" t="s">
        <v>304</v>
      </c>
      <c r="L92" s="82"/>
      <c r="M92" s="79" t="s">
        <v>71</v>
      </c>
      <c r="N92" s="13" t="s">
        <v>44</v>
      </c>
      <c r="O92" s="14"/>
      <c r="P92" s="14"/>
      <c r="Q92" s="14"/>
      <c r="R92" s="14"/>
      <c r="S92" s="14"/>
      <c r="T92" s="14"/>
      <c r="U92" s="14"/>
      <c r="V92" s="14"/>
      <c r="W92" s="14"/>
      <c r="X92" s="14"/>
      <c r="Y92" s="14"/>
      <c r="Z92" s="14"/>
      <c r="AA92" s="14"/>
      <c r="AB92" s="14"/>
      <c r="AC92" s="14"/>
      <c r="AD92" s="12"/>
      <c r="AE92" s="12"/>
      <c r="AF92" s="12"/>
      <c r="AG92" s="12"/>
      <c r="AH92" s="12"/>
      <c r="AI92" s="12"/>
      <c r="AJ92" s="12"/>
      <c r="AK92" s="11" t="s">
        <v>45</v>
      </c>
      <c r="AL92" s="13" t="s">
        <v>44</v>
      </c>
      <c r="AM92" s="13" t="s">
        <v>44</v>
      </c>
      <c r="AN92" s="79"/>
      <c r="AO92" s="15"/>
      <c r="AP92" s="15"/>
    </row>
    <row r="93">
      <c r="A93" s="11" t="s">
        <v>36</v>
      </c>
      <c r="B93" s="9">
        <v>45365.60084604166</v>
      </c>
      <c r="C93" s="10" t="s">
        <v>305</v>
      </c>
      <c r="D93" s="11" t="s">
        <v>51</v>
      </c>
      <c r="E93" s="11" t="s">
        <v>52</v>
      </c>
      <c r="F93" s="11" t="s">
        <v>65</v>
      </c>
      <c r="G93" s="11" t="s">
        <v>131</v>
      </c>
      <c r="H93" s="11" t="s">
        <v>61</v>
      </c>
      <c r="I93" s="77">
        <v>85.0</v>
      </c>
      <c r="J93" s="11" t="s">
        <v>128</v>
      </c>
      <c r="K93" s="28" t="s">
        <v>306</v>
      </c>
      <c r="L93" s="11" t="s">
        <v>307</v>
      </c>
      <c r="M93" s="11" t="s">
        <v>71</v>
      </c>
      <c r="N93" s="13" t="s">
        <v>44</v>
      </c>
      <c r="O93" s="14"/>
      <c r="P93" s="14"/>
      <c r="Q93" s="14"/>
      <c r="R93" s="14"/>
      <c r="S93" s="14"/>
      <c r="T93" s="14"/>
      <c r="U93" s="14"/>
      <c r="V93" s="14"/>
      <c r="W93" s="14"/>
      <c r="X93" s="14"/>
      <c r="Y93" s="14"/>
      <c r="Z93" s="14"/>
      <c r="AA93" s="14"/>
      <c r="AB93" s="14"/>
      <c r="AC93" s="14"/>
      <c r="AD93" s="12"/>
      <c r="AE93" s="12"/>
      <c r="AF93" s="12"/>
      <c r="AG93" s="12"/>
      <c r="AH93" s="12"/>
      <c r="AI93" s="12"/>
      <c r="AJ93" s="12"/>
      <c r="AK93" s="11" t="s">
        <v>45</v>
      </c>
      <c r="AL93" s="13" t="s">
        <v>44</v>
      </c>
      <c r="AM93" s="13" t="s">
        <v>44</v>
      </c>
      <c r="AN93" s="11" t="s">
        <v>71</v>
      </c>
      <c r="AO93" s="15" t="b">
        <v>1</v>
      </c>
      <c r="AP93" s="15"/>
    </row>
    <row r="94">
      <c r="A94" s="20" t="s">
        <v>36</v>
      </c>
      <c r="B94" s="18">
        <v>45365.62973842592</v>
      </c>
      <c r="C94" s="19" t="s">
        <v>308</v>
      </c>
      <c r="D94" s="20" t="s">
        <v>51</v>
      </c>
      <c r="E94" s="20" t="s">
        <v>138</v>
      </c>
      <c r="F94" s="20" t="s">
        <v>139</v>
      </c>
      <c r="G94" s="20" t="s">
        <v>54</v>
      </c>
      <c r="H94" s="39" t="s">
        <v>127</v>
      </c>
      <c r="I94" s="20">
        <v>225.0</v>
      </c>
      <c r="J94" s="20" t="s">
        <v>100</v>
      </c>
      <c r="K94" s="85" t="s">
        <v>309</v>
      </c>
      <c r="L94" s="20" t="s">
        <v>310</v>
      </c>
      <c r="M94" s="20" t="s">
        <v>71</v>
      </c>
      <c r="N94" s="13" t="s">
        <v>44</v>
      </c>
      <c r="O94" s="14"/>
      <c r="P94" s="14"/>
      <c r="Q94" s="14"/>
      <c r="R94" s="14"/>
      <c r="S94" s="14"/>
      <c r="T94" s="14"/>
      <c r="U94" s="14"/>
      <c r="V94" s="14"/>
      <c r="W94" s="14"/>
      <c r="X94" s="14"/>
      <c r="Y94" s="14"/>
      <c r="Z94" s="14"/>
      <c r="AA94" s="14"/>
      <c r="AB94" s="14"/>
      <c r="AC94" s="14"/>
      <c r="AD94" s="12"/>
      <c r="AE94" s="12"/>
      <c r="AF94" s="12"/>
      <c r="AG94" s="12"/>
      <c r="AH94" s="12"/>
      <c r="AI94" s="12"/>
      <c r="AJ94" s="12"/>
      <c r="AK94" s="11" t="s">
        <v>45</v>
      </c>
      <c r="AL94" s="13" t="s">
        <v>44</v>
      </c>
      <c r="AM94" s="13" t="s">
        <v>44</v>
      </c>
      <c r="AN94" s="20"/>
      <c r="AO94" s="15"/>
      <c r="AP94" s="15"/>
    </row>
    <row r="95">
      <c r="A95" s="86" t="s">
        <v>36</v>
      </c>
      <c r="B95" s="87">
        <v>45365.68063309028</v>
      </c>
      <c r="C95" s="88" t="s">
        <v>311</v>
      </c>
      <c r="D95" s="86" t="s">
        <v>105</v>
      </c>
      <c r="E95" s="86" t="s">
        <v>52</v>
      </c>
      <c r="F95" s="86" t="s">
        <v>65</v>
      </c>
      <c r="G95" s="86" t="s">
        <v>60</v>
      </c>
      <c r="H95" s="39" t="s">
        <v>127</v>
      </c>
      <c r="I95" s="86" t="s">
        <v>312</v>
      </c>
      <c r="J95" s="86" t="s">
        <v>100</v>
      </c>
      <c r="K95" s="89"/>
      <c r="L95" s="86" t="s">
        <v>313</v>
      </c>
      <c r="M95" s="86" t="s">
        <v>71</v>
      </c>
      <c r="N95" s="13" t="s">
        <v>44</v>
      </c>
      <c r="O95" s="14"/>
      <c r="P95" s="14"/>
      <c r="Q95" s="14"/>
      <c r="R95" s="14"/>
      <c r="S95" s="14"/>
      <c r="T95" s="14"/>
      <c r="U95" s="14"/>
      <c r="V95" s="14"/>
      <c r="W95" s="14"/>
      <c r="X95" s="14"/>
      <c r="Y95" s="14"/>
      <c r="Z95" s="14"/>
      <c r="AA95" s="14"/>
      <c r="AB95" s="14"/>
      <c r="AC95" s="14"/>
      <c r="AD95" s="12"/>
      <c r="AE95" s="12"/>
      <c r="AF95" s="12"/>
      <c r="AG95" s="12"/>
      <c r="AH95" s="12"/>
      <c r="AI95" s="12"/>
      <c r="AJ95" s="12"/>
      <c r="AK95" s="11" t="s">
        <v>45</v>
      </c>
      <c r="AL95" s="13" t="s">
        <v>44</v>
      </c>
      <c r="AM95" s="13" t="s">
        <v>44</v>
      </c>
      <c r="AN95" s="86"/>
      <c r="AO95" s="15"/>
      <c r="AP95" s="15"/>
    </row>
    <row r="96">
      <c r="A96" s="90" t="s">
        <v>36</v>
      </c>
      <c r="B96" s="91">
        <v>45365.68356318287</v>
      </c>
      <c r="C96" s="92" t="s">
        <v>314</v>
      </c>
      <c r="D96" s="90" t="s">
        <v>315</v>
      </c>
      <c r="E96" s="90" t="s">
        <v>252</v>
      </c>
      <c r="F96" s="90" t="s">
        <v>80</v>
      </c>
      <c r="G96" s="90" t="s">
        <v>131</v>
      </c>
      <c r="H96" s="90" t="s">
        <v>47</v>
      </c>
      <c r="I96" s="93">
        <v>299.99</v>
      </c>
      <c r="J96" s="90" t="s">
        <v>100</v>
      </c>
      <c r="K96" s="94"/>
      <c r="L96" s="95" t="s">
        <v>316</v>
      </c>
      <c r="M96" s="90" t="s">
        <v>71</v>
      </c>
      <c r="N96" s="11" t="s">
        <v>68</v>
      </c>
      <c r="O96" s="96"/>
      <c r="P96" s="96"/>
      <c r="Q96" s="96"/>
      <c r="R96" s="96"/>
      <c r="S96" s="96"/>
      <c r="T96" s="96"/>
      <c r="U96" s="96"/>
      <c r="V96" s="96"/>
      <c r="W96" s="96"/>
      <c r="X96" s="96"/>
      <c r="Y96" s="96"/>
      <c r="Z96" s="96"/>
      <c r="AA96" s="96"/>
      <c r="AB96" s="96"/>
      <c r="AC96" s="96"/>
      <c r="AD96" s="96"/>
      <c r="AE96" s="94"/>
      <c r="AF96" s="94"/>
      <c r="AG96" s="97">
        <v>45366.0</v>
      </c>
      <c r="AH96" s="94"/>
      <c r="AI96" s="94"/>
      <c r="AJ96" s="94"/>
      <c r="AK96" s="90" t="s">
        <v>187</v>
      </c>
      <c r="AL96" s="94"/>
      <c r="AM96" s="96"/>
      <c r="AN96" s="90"/>
      <c r="AO96" s="98"/>
      <c r="AP96" s="98"/>
    </row>
    <row r="97">
      <c r="A97" s="86" t="s">
        <v>36</v>
      </c>
      <c r="B97" s="87">
        <v>45365.68473986111</v>
      </c>
      <c r="C97" s="88" t="s">
        <v>311</v>
      </c>
      <c r="D97" s="86" t="s">
        <v>317</v>
      </c>
      <c r="E97" s="86" t="s">
        <v>52</v>
      </c>
      <c r="F97" s="86" t="s">
        <v>65</v>
      </c>
      <c r="G97" s="86" t="s">
        <v>60</v>
      </c>
      <c r="H97" s="86" t="s">
        <v>47</v>
      </c>
      <c r="I97" s="99">
        <v>259.99</v>
      </c>
      <c r="J97" s="86" t="s">
        <v>100</v>
      </c>
      <c r="K97" s="89"/>
      <c r="L97" s="100" t="s">
        <v>318</v>
      </c>
      <c r="M97" s="86" t="s">
        <v>71</v>
      </c>
      <c r="N97" s="13" t="s">
        <v>44</v>
      </c>
      <c r="O97" s="14"/>
      <c r="P97" s="14"/>
      <c r="Q97" s="14"/>
      <c r="R97" s="14"/>
      <c r="S97" s="14"/>
      <c r="T97" s="14"/>
      <c r="U97" s="14"/>
      <c r="V97" s="14"/>
      <c r="W97" s="14"/>
      <c r="X97" s="14"/>
      <c r="Y97" s="14"/>
      <c r="Z97" s="14"/>
      <c r="AA97" s="14"/>
      <c r="AB97" s="14"/>
      <c r="AC97" s="14"/>
      <c r="AD97" s="12"/>
      <c r="AE97" s="12"/>
      <c r="AF97" s="12"/>
      <c r="AG97" s="12"/>
      <c r="AH97" s="12"/>
      <c r="AI97" s="12"/>
      <c r="AJ97" s="12"/>
      <c r="AK97" s="11" t="s">
        <v>45</v>
      </c>
      <c r="AL97" s="13" t="s">
        <v>44</v>
      </c>
      <c r="AM97" s="13" t="s">
        <v>44</v>
      </c>
      <c r="AN97" s="86"/>
      <c r="AO97" s="15"/>
      <c r="AP97" s="15"/>
    </row>
    <row r="98">
      <c r="A98" s="65" t="s">
        <v>177</v>
      </c>
      <c r="B98" s="63">
        <v>45366.55235158565</v>
      </c>
      <c r="C98" s="64" t="s">
        <v>193</v>
      </c>
      <c r="D98" s="65" t="s">
        <v>51</v>
      </c>
      <c r="E98" s="65" t="s">
        <v>52</v>
      </c>
      <c r="F98" s="65" t="s">
        <v>40</v>
      </c>
      <c r="G98" s="65" t="s">
        <v>54</v>
      </c>
      <c r="H98" s="65" t="s">
        <v>99</v>
      </c>
      <c r="I98" s="101">
        <v>10000.0</v>
      </c>
      <c r="J98" s="65" t="s">
        <v>229</v>
      </c>
      <c r="K98" s="66"/>
      <c r="L98" s="66"/>
      <c r="M98" s="65" t="s">
        <v>71</v>
      </c>
      <c r="N98" s="13" t="s">
        <v>44</v>
      </c>
      <c r="O98" s="14"/>
      <c r="P98" s="14"/>
      <c r="Q98" s="14"/>
      <c r="R98" s="14"/>
      <c r="S98" s="14"/>
      <c r="T98" s="14"/>
      <c r="U98" s="14"/>
      <c r="V98" s="14"/>
      <c r="W98" s="14"/>
      <c r="X98" s="14"/>
      <c r="Y98" s="14"/>
      <c r="Z98" s="14"/>
      <c r="AA98" s="14"/>
      <c r="AB98" s="14"/>
      <c r="AC98" s="14"/>
      <c r="AD98" s="12"/>
      <c r="AE98" s="12"/>
      <c r="AF98" s="12"/>
      <c r="AG98" s="12"/>
      <c r="AH98" s="12"/>
      <c r="AI98" s="12"/>
      <c r="AJ98" s="12"/>
      <c r="AK98" s="11" t="s">
        <v>45</v>
      </c>
      <c r="AL98" s="13" t="s">
        <v>44</v>
      </c>
      <c r="AM98" s="13" t="s">
        <v>44</v>
      </c>
      <c r="AN98" s="65"/>
      <c r="AO98" s="15"/>
      <c r="AP98" s="15"/>
    </row>
    <row r="99">
      <c r="A99" s="65" t="s">
        <v>36</v>
      </c>
      <c r="B99" s="63">
        <v>45366.55417474537</v>
      </c>
      <c r="C99" s="64" t="s">
        <v>193</v>
      </c>
      <c r="D99" s="65" t="s">
        <v>51</v>
      </c>
      <c r="E99" s="65" t="s">
        <v>52</v>
      </c>
      <c r="F99" s="65" t="s">
        <v>40</v>
      </c>
      <c r="G99" s="65" t="s">
        <v>54</v>
      </c>
      <c r="H99" s="62" t="s">
        <v>99</v>
      </c>
      <c r="I99" s="65" t="s">
        <v>319</v>
      </c>
      <c r="J99" s="65" t="s">
        <v>229</v>
      </c>
      <c r="K99" s="66"/>
      <c r="L99" s="66"/>
      <c r="M99" s="65" t="s">
        <v>71</v>
      </c>
      <c r="N99" s="13" t="s">
        <v>44</v>
      </c>
      <c r="O99" s="14"/>
      <c r="P99" s="14"/>
      <c r="Q99" s="14"/>
      <c r="R99" s="14"/>
      <c r="S99" s="14"/>
      <c r="T99" s="14"/>
      <c r="U99" s="14"/>
      <c r="V99" s="14"/>
      <c r="W99" s="14"/>
      <c r="X99" s="14"/>
      <c r="Y99" s="14"/>
      <c r="Z99" s="14"/>
      <c r="AA99" s="14"/>
      <c r="AB99" s="14"/>
      <c r="AC99" s="14"/>
      <c r="AD99" s="12"/>
      <c r="AE99" s="12"/>
      <c r="AF99" s="12"/>
      <c r="AG99" s="12"/>
      <c r="AH99" s="12"/>
      <c r="AI99" s="12"/>
      <c r="AJ99" s="12"/>
      <c r="AK99" s="11" t="s">
        <v>45</v>
      </c>
      <c r="AL99" s="13" t="s">
        <v>44</v>
      </c>
      <c r="AM99" s="13" t="s">
        <v>44</v>
      </c>
      <c r="AN99" s="65"/>
      <c r="AO99" s="15"/>
      <c r="AP99" s="15"/>
    </row>
    <row r="100">
      <c r="A100" s="11" t="s">
        <v>36</v>
      </c>
      <c r="B100" s="9">
        <v>45366.64590609954</v>
      </c>
      <c r="C100" s="10" t="s">
        <v>320</v>
      </c>
      <c r="D100" s="11" t="s">
        <v>51</v>
      </c>
      <c r="E100" s="11" t="s">
        <v>52</v>
      </c>
      <c r="F100" s="11" t="s">
        <v>65</v>
      </c>
      <c r="G100" s="11" t="s">
        <v>131</v>
      </c>
      <c r="H100" s="11" t="s">
        <v>61</v>
      </c>
      <c r="I100" s="11" t="s">
        <v>321</v>
      </c>
      <c r="J100" s="11" t="s">
        <v>102</v>
      </c>
      <c r="K100" s="12"/>
      <c r="L100" s="24" t="s">
        <v>322</v>
      </c>
      <c r="M100" s="11" t="s">
        <v>71</v>
      </c>
      <c r="N100" s="13" t="s">
        <v>44</v>
      </c>
      <c r="O100" s="14"/>
      <c r="P100" s="14"/>
      <c r="Q100" s="14"/>
      <c r="R100" s="14"/>
      <c r="S100" s="14"/>
      <c r="T100" s="14"/>
      <c r="U100" s="14"/>
      <c r="V100" s="14"/>
      <c r="W100" s="14"/>
      <c r="X100" s="14"/>
      <c r="Y100" s="14"/>
      <c r="Z100" s="14"/>
      <c r="AA100" s="14"/>
      <c r="AB100" s="14"/>
      <c r="AC100" s="14"/>
      <c r="AD100" s="12"/>
      <c r="AE100" s="12"/>
      <c r="AF100" s="12"/>
      <c r="AG100" s="12"/>
      <c r="AH100" s="12"/>
      <c r="AI100" s="12"/>
      <c r="AJ100" s="12"/>
      <c r="AK100" s="11" t="s">
        <v>45</v>
      </c>
      <c r="AL100" s="13" t="s">
        <v>44</v>
      </c>
      <c r="AM100" s="13" t="s">
        <v>44</v>
      </c>
      <c r="AN100" s="11"/>
      <c r="AO100" s="15"/>
      <c r="AP100" s="15"/>
    </row>
    <row r="101">
      <c r="A101" s="34" t="s">
        <v>36</v>
      </c>
      <c r="B101" s="32">
        <v>45371.38749015046</v>
      </c>
      <c r="C101" s="33" t="s">
        <v>323</v>
      </c>
      <c r="D101" s="34" t="s">
        <v>51</v>
      </c>
      <c r="E101" s="34" t="s">
        <v>138</v>
      </c>
      <c r="F101" s="34" t="s">
        <v>65</v>
      </c>
      <c r="G101" s="34" t="s">
        <v>54</v>
      </c>
      <c r="H101" s="34" t="s">
        <v>99</v>
      </c>
      <c r="I101" s="102">
        <v>15000.0</v>
      </c>
      <c r="J101" s="34" t="s">
        <v>194</v>
      </c>
      <c r="K101" s="35"/>
      <c r="L101" s="35"/>
      <c r="M101" s="34" t="s">
        <v>71</v>
      </c>
      <c r="N101" s="13" t="s">
        <v>44</v>
      </c>
      <c r="O101" s="14"/>
      <c r="P101" s="14"/>
      <c r="Q101" s="14"/>
      <c r="R101" s="14"/>
      <c r="S101" s="14"/>
      <c r="T101" s="14"/>
      <c r="U101" s="14"/>
      <c r="V101" s="14"/>
      <c r="W101" s="14"/>
      <c r="X101" s="14"/>
      <c r="Y101" s="14"/>
      <c r="Z101" s="14"/>
      <c r="AA101" s="14"/>
      <c r="AB101" s="14"/>
      <c r="AC101" s="14"/>
      <c r="AD101" s="12"/>
      <c r="AE101" s="12"/>
      <c r="AF101" s="12"/>
      <c r="AG101" s="12"/>
      <c r="AH101" s="12"/>
      <c r="AI101" s="12"/>
      <c r="AJ101" s="12"/>
      <c r="AK101" s="11" t="s">
        <v>45</v>
      </c>
      <c r="AL101" s="13" t="s">
        <v>44</v>
      </c>
      <c r="AM101" s="13" t="s">
        <v>44</v>
      </c>
      <c r="AN101" s="34" t="s">
        <v>324</v>
      </c>
      <c r="AO101" s="15"/>
      <c r="AP101" s="15"/>
    </row>
    <row r="102">
      <c r="A102" s="11" t="s">
        <v>36</v>
      </c>
      <c r="B102" s="9">
        <v>45371.43779121528</v>
      </c>
      <c r="C102" s="10" t="s">
        <v>325</v>
      </c>
      <c r="D102" s="11" t="s">
        <v>142</v>
      </c>
      <c r="E102" s="11" t="s">
        <v>138</v>
      </c>
      <c r="F102" s="11" t="s">
        <v>65</v>
      </c>
      <c r="G102" s="11" t="s">
        <v>54</v>
      </c>
      <c r="H102" s="11" t="s">
        <v>61</v>
      </c>
      <c r="I102" s="71">
        <v>200.0</v>
      </c>
      <c r="J102" s="11" t="s">
        <v>157</v>
      </c>
      <c r="K102" s="24" t="s">
        <v>326</v>
      </c>
      <c r="L102" s="11" t="s">
        <v>327</v>
      </c>
      <c r="M102" s="11" t="s">
        <v>71</v>
      </c>
      <c r="N102" s="13" t="s">
        <v>44</v>
      </c>
      <c r="O102" s="14"/>
      <c r="P102" s="14"/>
      <c r="Q102" s="14"/>
      <c r="R102" s="14"/>
      <c r="S102" s="14"/>
      <c r="T102" s="14"/>
      <c r="U102" s="14"/>
      <c r="V102" s="14"/>
      <c r="W102" s="14"/>
      <c r="X102" s="14"/>
      <c r="Y102" s="14"/>
      <c r="Z102" s="14"/>
      <c r="AA102" s="14"/>
      <c r="AB102" s="14"/>
      <c r="AC102" s="14"/>
      <c r="AD102" s="12"/>
      <c r="AE102" s="12"/>
      <c r="AF102" s="12"/>
      <c r="AG102" s="12"/>
      <c r="AH102" s="12"/>
      <c r="AI102" s="12"/>
      <c r="AJ102" s="12"/>
      <c r="AK102" s="11" t="s">
        <v>45</v>
      </c>
      <c r="AL102" s="13" t="s">
        <v>44</v>
      </c>
      <c r="AM102" s="13" t="s">
        <v>44</v>
      </c>
      <c r="AN102" s="11"/>
      <c r="AO102" s="15"/>
      <c r="AP102" s="15"/>
    </row>
    <row r="103">
      <c r="A103" s="11" t="s">
        <v>36</v>
      </c>
      <c r="B103" s="9">
        <v>45372.41338790509</v>
      </c>
      <c r="C103" s="10" t="s">
        <v>50</v>
      </c>
      <c r="D103" s="11" t="s">
        <v>51</v>
      </c>
      <c r="E103" s="11" t="s">
        <v>52</v>
      </c>
      <c r="F103" s="11" t="s">
        <v>139</v>
      </c>
      <c r="G103" s="11" t="s">
        <v>54</v>
      </c>
      <c r="H103" s="11" t="s">
        <v>47</v>
      </c>
      <c r="I103" s="77">
        <v>325.0</v>
      </c>
      <c r="J103" s="11" t="s">
        <v>128</v>
      </c>
      <c r="K103" s="12"/>
      <c r="L103" s="11" t="s">
        <v>328</v>
      </c>
      <c r="M103" s="11" t="s">
        <v>71</v>
      </c>
      <c r="N103" s="11" t="s">
        <v>68</v>
      </c>
      <c r="O103" s="14"/>
      <c r="P103" s="14"/>
      <c r="Q103" s="14"/>
      <c r="R103" s="14"/>
      <c r="S103" s="14"/>
      <c r="T103" s="14"/>
      <c r="U103" s="14"/>
      <c r="V103" s="14"/>
      <c r="W103" s="14"/>
      <c r="X103" s="14"/>
      <c r="Y103" s="14"/>
      <c r="Z103" s="14"/>
      <c r="AA103" s="14"/>
      <c r="AB103" s="14"/>
      <c r="AC103" s="14"/>
      <c r="AD103" s="14"/>
      <c r="AE103" s="78">
        <v>45376.0</v>
      </c>
      <c r="AF103" s="12"/>
      <c r="AG103" s="12"/>
      <c r="AH103" s="11" t="s">
        <v>329</v>
      </c>
      <c r="AI103" s="12"/>
      <c r="AJ103" s="12"/>
      <c r="AK103" s="12"/>
      <c r="AL103" s="27" t="s">
        <v>70</v>
      </c>
      <c r="AM103" s="14"/>
      <c r="AN103" s="11" t="s">
        <v>71</v>
      </c>
      <c r="AO103" s="8" t="b">
        <v>1</v>
      </c>
      <c r="AP103" s="8"/>
    </row>
    <row r="104">
      <c r="A104" s="11" t="s">
        <v>36</v>
      </c>
      <c r="B104" s="9">
        <v>45372.429322662036</v>
      </c>
      <c r="C104" s="10" t="s">
        <v>330</v>
      </c>
      <c r="D104" s="11" t="s">
        <v>51</v>
      </c>
      <c r="E104" s="11" t="s">
        <v>52</v>
      </c>
      <c r="F104" s="11" t="s">
        <v>65</v>
      </c>
      <c r="G104" s="11" t="s">
        <v>54</v>
      </c>
      <c r="H104" s="11" t="s">
        <v>61</v>
      </c>
      <c r="I104" s="11" t="s">
        <v>331</v>
      </c>
      <c r="J104" s="11" t="s">
        <v>223</v>
      </c>
      <c r="K104" s="12"/>
      <c r="L104" s="11" t="s">
        <v>332</v>
      </c>
      <c r="M104" s="11" t="s">
        <v>71</v>
      </c>
      <c r="N104" s="13" t="s">
        <v>44</v>
      </c>
      <c r="O104" s="14"/>
      <c r="P104" s="14"/>
      <c r="Q104" s="14"/>
      <c r="R104" s="14"/>
      <c r="S104" s="14"/>
      <c r="T104" s="14"/>
      <c r="U104" s="14"/>
      <c r="V104" s="14"/>
      <c r="W104" s="14"/>
      <c r="X104" s="14"/>
      <c r="Y104" s="14"/>
      <c r="Z104" s="14"/>
      <c r="AA104" s="14"/>
      <c r="AB104" s="14"/>
      <c r="AC104" s="14"/>
      <c r="AD104" s="12"/>
      <c r="AE104" s="12"/>
      <c r="AF104" s="12"/>
      <c r="AG104" s="12"/>
      <c r="AH104" s="12"/>
      <c r="AI104" s="12"/>
      <c r="AJ104" s="12"/>
      <c r="AK104" s="11" t="s">
        <v>45</v>
      </c>
      <c r="AL104" s="13" t="s">
        <v>44</v>
      </c>
      <c r="AM104" s="13" t="s">
        <v>44</v>
      </c>
      <c r="AN104" s="11" t="s">
        <v>71</v>
      </c>
      <c r="AO104" s="15" t="b">
        <v>1</v>
      </c>
      <c r="AP104" s="15"/>
    </row>
    <row r="105">
      <c r="A105" s="11" t="s">
        <v>36</v>
      </c>
      <c r="B105" s="9">
        <v>45372.59163679398</v>
      </c>
      <c r="C105" s="10" t="s">
        <v>333</v>
      </c>
      <c r="D105" s="11" t="s">
        <v>334</v>
      </c>
      <c r="E105" s="11" t="s">
        <v>52</v>
      </c>
      <c r="F105" s="11" t="s">
        <v>80</v>
      </c>
      <c r="G105" s="11" t="s">
        <v>41</v>
      </c>
      <c r="H105" s="11" t="s">
        <v>61</v>
      </c>
      <c r="I105" s="71">
        <v>3000.0</v>
      </c>
      <c r="J105" s="11" t="s">
        <v>102</v>
      </c>
      <c r="K105" s="12"/>
      <c r="L105" s="24" t="s">
        <v>335</v>
      </c>
      <c r="M105" s="11" t="s">
        <v>71</v>
      </c>
      <c r="N105" s="13" t="s">
        <v>44</v>
      </c>
      <c r="O105" s="14"/>
      <c r="P105" s="14"/>
      <c r="Q105" s="14"/>
      <c r="R105" s="14"/>
      <c r="S105" s="14"/>
      <c r="T105" s="14"/>
      <c r="U105" s="14"/>
      <c r="V105" s="14"/>
      <c r="W105" s="14"/>
      <c r="X105" s="14"/>
      <c r="Y105" s="14"/>
      <c r="Z105" s="14"/>
      <c r="AA105" s="14"/>
      <c r="AB105" s="14"/>
      <c r="AC105" s="14"/>
      <c r="AD105" s="12"/>
      <c r="AE105" s="12"/>
      <c r="AF105" s="12"/>
      <c r="AG105" s="12"/>
      <c r="AH105" s="12"/>
      <c r="AI105" s="12"/>
      <c r="AJ105" s="12"/>
      <c r="AK105" s="11" t="s">
        <v>45</v>
      </c>
      <c r="AL105" s="13" t="s">
        <v>44</v>
      </c>
      <c r="AM105" s="13" t="s">
        <v>44</v>
      </c>
      <c r="AN105" s="11"/>
      <c r="AO105" s="15"/>
      <c r="AP105" s="15"/>
    </row>
    <row r="106">
      <c r="A106" s="34" t="s">
        <v>36</v>
      </c>
      <c r="B106" s="32">
        <v>45372.6026446412</v>
      </c>
      <c r="C106" s="33" t="s">
        <v>123</v>
      </c>
      <c r="D106" s="34" t="s">
        <v>124</v>
      </c>
      <c r="E106" s="34" t="s">
        <v>52</v>
      </c>
      <c r="F106" s="34" t="s">
        <v>65</v>
      </c>
      <c r="G106" s="34" t="s">
        <v>54</v>
      </c>
      <c r="H106" s="34" t="s">
        <v>89</v>
      </c>
      <c r="I106" s="103">
        <v>57587.0</v>
      </c>
      <c r="J106" s="34" t="s">
        <v>194</v>
      </c>
      <c r="K106" s="35"/>
      <c r="L106" s="35"/>
      <c r="M106" s="34" t="s">
        <v>71</v>
      </c>
      <c r="N106" s="13" t="s">
        <v>44</v>
      </c>
      <c r="O106" s="14"/>
      <c r="P106" s="14"/>
      <c r="Q106" s="14"/>
      <c r="R106" s="14"/>
      <c r="S106" s="14"/>
      <c r="T106" s="14"/>
      <c r="U106" s="14"/>
      <c r="V106" s="14"/>
      <c r="W106" s="14"/>
      <c r="X106" s="14"/>
      <c r="Y106" s="14"/>
      <c r="Z106" s="14"/>
      <c r="AA106" s="14"/>
      <c r="AB106" s="14"/>
      <c r="AC106" s="14"/>
      <c r="AD106" s="12"/>
      <c r="AE106" s="12"/>
      <c r="AF106" s="12"/>
      <c r="AG106" s="12"/>
      <c r="AH106" s="12"/>
      <c r="AI106" s="12"/>
      <c r="AJ106" s="12"/>
      <c r="AK106" s="11" t="s">
        <v>45</v>
      </c>
      <c r="AL106" s="13" t="s">
        <v>44</v>
      </c>
      <c r="AM106" s="13" t="s">
        <v>44</v>
      </c>
      <c r="AN106" s="34"/>
      <c r="AO106" s="15"/>
      <c r="AP106" s="15"/>
    </row>
    <row r="107">
      <c r="A107" s="104" t="s">
        <v>36</v>
      </c>
      <c r="B107" s="105">
        <v>45373.678074791664</v>
      </c>
      <c r="C107" s="106" t="s">
        <v>64</v>
      </c>
      <c r="D107" s="104" t="s">
        <v>51</v>
      </c>
      <c r="E107" s="104" t="s">
        <v>52</v>
      </c>
      <c r="F107" s="104" t="s">
        <v>65</v>
      </c>
      <c r="G107" s="104" t="s">
        <v>54</v>
      </c>
      <c r="H107" s="104" t="s">
        <v>99</v>
      </c>
      <c r="I107" s="107">
        <v>15000.0</v>
      </c>
      <c r="J107" s="104" t="s">
        <v>336</v>
      </c>
      <c r="K107" s="108"/>
      <c r="L107" s="108"/>
      <c r="M107" s="104" t="s">
        <v>71</v>
      </c>
      <c r="N107" s="13" t="s">
        <v>44</v>
      </c>
      <c r="O107" s="14"/>
      <c r="P107" s="14"/>
      <c r="Q107" s="14"/>
      <c r="R107" s="14"/>
      <c r="S107" s="14"/>
      <c r="T107" s="14"/>
      <c r="U107" s="14"/>
      <c r="V107" s="14"/>
      <c r="W107" s="14"/>
      <c r="X107" s="14"/>
      <c r="Y107" s="14"/>
      <c r="Z107" s="14"/>
      <c r="AA107" s="14"/>
      <c r="AB107" s="14"/>
      <c r="AC107" s="14"/>
      <c r="AD107" s="12"/>
      <c r="AE107" s="12"/>
      <c r="AF107" s="12"/>
      <c r="AG107" s="12"/>
      <c r="AH107" s="12"/>
      <c r="AI107" s="12"/>
      <c r="AJ107" s="12"/>
      <c r="AK107" s="11" t="s">
        <v>45</v>
      </c>
      <c r="AL107" s="13" t="s">
        <v>44</v>
      </c>
      <c r="AM107" s="13" t="s">
        <v>44</v>
      </c>
      <c r="AN107" s="104" t="s">
        <v>324</v>
      </c>
      <c r="AO107" s="15" t="b">
        <v>0</v>
      </c>
      <c r="AP107" s="15"/>
    </row>
    <row r="108">
      <c r="A108" s="11" t="s">
        <v>36</v>
      </c>
      <c r="B108" s="9">
        <v>45376.47309662037</v>
      </c>
      <c r="C108" s="10" t="s">
        <v>141</v>
      </c>
      <c r="D108" s="11" t="s">
        <v>142</v>
      </c>
      <c r="E108" s="11" t="s">
        <v>52</v>
      </c>
      <c r="F108" s="11" t="s">
        <v>65</v>
      </c>
      <c r="G108" s="11" t="s">
        <v>54</v>
      </c>
      <c r="H108" s="11" t="s">
        <v>143</v>
      </c>
      <c r="I108" s="11">
        <v>828.0</v>
      </c>
      <c r="J108" s="11" t="s">
        <v>114</v>
      </c>
      <c r="K108" s="28" t="s">
        <v>337</v>
      </c>
      <c r="L108" s="24" t="s">
        <v>338</v>
      </c>
      <c r="M108" s="11" t="s">
        <v>71</v>
      </c>
      <c r="N108" s="13" t="s">
        <v>44</v>
      </c>
      <c r="O108" s="14"/>
      <c r="P108" s="14"/>
      <c r="Q108" s="14"/>
      <c r="R108" s="14"/>
      <c r="S108" s="14"/>
      <c r="T108" s="14"/>
      <c r="U108" s="14"/>
      <c r="V108" s="14"/>
      <c r="W108" s="14"/>
      <c r="X108" s="14"/>
      <c r="Y108" s="14"/>
      <c r="Z108" s="14"/>
      <c r="AA108" s="14"/>
      <c r="AB108" s="14"/>
      <c r="AC108" s="14"/>
      <c r="AD108" s="12"/>
      <c r="AE108" s="12"/>
      <c r="AF108" s="12"/>
      <c r="AG108" s="12"/>
      <c r="AH108" s="12"/>
      <c r="AI108" s="12"/>
      <c r="AJ108" s="12"/>
      <c r="AK108" s="11" t="s">
        <v>45</v>
      </c>
      <c r="AL108" s="13" t="s">
        <v>44</v>
      </c>
      <c r="AM108" s="13" t="s">
        <v>44</v>
      </c>
      <c r="AN108" s="11" t="s">
        <v>46</v>
      </c>
      <c r="AO108" s="15"/>
      <c r="AP108" s="15"/>
    </row>
    <row r="109">
      <c r="A109" s="11" t="s">
        <v>36</v>
      </c>
      <c r="B109" s="9">
        <v>45376.4902892824</v>
      </c>
      <c r="C109" s="10" t="s">
        <v>141</v>
      </c>
      <c r="D109" s="11" t="s">
        <v>142</v>
      </c>
      <c r="E109" s="11" t="s">
        <v>52</v>
      </c>
      <c r="F109" s="11" t="s">
        <v>65</v>
      </c>
      <c r="G109" s="11" t="s">
        <v>54</v>
      </c>
      <c r="H109" s="39" t="s">
        <v>127</v>
      </c>
      <c r="I109" s="11" t="s">
        <v>339</v>
      </c>
      <c r="J109" s="11" t="s">
        <v>114</v>
      </c>
      <c r="K109" s="28" t="s">
        <v>340</v>
      </c>
      <c r="L109" s="24" t="s">
        <v>341</v>
      </c>
      <c r="M109" s="11" t="s">
        <v>71</v>
      </c>
      <c r="N109" s="13" t="s">
        <v>44</v>
      </c>
      <c r="O109" s="14"/>
      <c r="P109" s="14"/>
      <c r="Q109" s="14"/>
      <c r="R109" s="14"/>
      <c r="S109" s="14"/>
      <c r="T109" s="14"/>
      <c r="U109" s="14"/>
      <c r="V109" s="14"/>
      <c r="W109" s="14"/>
      <c r="X109" s="14"/>
      <c r="Y109" s="14"/>
      <c r="Z109" s="14"/>
      <c r="AA109" s="14"/>
      <c r="AB109" s="14"/>
      <c r="AC109" s="14"/>
      <c r="AD109" s="12"/>
      <c r="AE109" s="12"/>
      <c r="AF109" s="12"/>
      <c r="AG109" s="12"/>
      <c r="AH109" s="12"/>
      <c r="AI109" s="12"/>
      <c r="AJ109" s="12"/>
      <c r="AK109" s="11" t="s">
        <v>45</v>
      </c>
      <c r="AL109" s="13" t="s">
        <v>44</v>
      </c>
      <c r="AM109" s="13" t="s">
        <v>44</v>
      </c>
      <c r="AN109" s="11" t="s">
        <v>46</v>
      </c>
      <c r="AO109" s="15"/>
      <c r="AP109" s="15"/>
    </row>
    <row r="110">
      <c r="A110" s="11" t="s">
        <v>36</v>
      </c>
      <c r="B110" s="9">
        <v>45376.49367405093</v>
      </c>
      <c r="C110" s="10" t="s">
        <v>141</v>
      </c>
      <c r="D110" s="11" t="s">
        <v>142</v>
      </c>
      <c r="E110" s="11" t="s">
        <v>52</v>
      </c>
      <c r="F110" s="11" t="s">
        <v>65</v>
      </c>
      <c r="G110" s="11" t="s">
        <v>54</v>
      </c>
      <c r="H110" s="39" t="s">
        <v>127</v>
      </c>
      <c r="I110" s="11" t="s">
        <v>342</v>
      </c>
      <c r="J110" s="11" t="s">
        <v>114</v>
      </c>
      <c r="K110" s="28" t="s">
        <v>343</v>
      </c>
      <c r="L110" s="24" t="s">
        <v>344</v>
      </c>
      <c r="M110" s="11" t="s">
        <v>71</v>
      </c>
      <c r="N110" s="13" t="s">
        <v>44</v>
      </c>
      <c r="O110" s="14"/>
      <c r="P110" s="14"/>
      <c r="Q110" s="14"/>
      <c r="R110" s="14"/>
      <c r="S110" s="14"/>
      <c r="T110" s="14"/>
      <c r="U110" s="14"/>
      <c r="V110" s="14"/>
      <c r="W110" s="14"/>
      <c r="X110" s="14"/>
      <c r="Y110" s="14"/>
      <c r="Z110" s="14"/>
      <c r="AA110" s="14"/>
      <c r="AB110" s="14"/>
      <c r="AC110" s="14"/>
      <c r="AD110" s="12"/>
      <c r="AE110" s="12"/>
      <c r="AF110" s="12"/>
      <c r="AG110" s="12"/>
      <c r="AH110" s="12"/>
      <c r="AI110" s="12"/>
      <c r="AJ110" s="12"/>
      <c r="AK110" s="11" t="s">
        <v>45</v>
      </c>
      <c r="AL110" s="13" t="s">
        <v>44</v>
      </c>
      <c r="AM110" s="13" t="s">
        <v>44</v>
      </c>
      <c r="AN110" s="11" t="s">
        <v>46</v>
      </c>
      <c r="AO110" s="15"/>
      <c r="AP110" s="15"/>
    </row>
    <row r="111">
      <c r="A111" s="11" t="s">
        <v>36</v>
      </c>
      <c r="B111" s="9">
        <v>45377.43205005787</v>
      </c>
      <c r="C111" s="10" t="s">
        <v>37</v>
      </c>
      <c r="D111" s="11" t="s">
        <v>51</v>
      </c>
      <c r="E111" s="11" t="s">
        <v>52</v>
      </c>
      <c r="F111" s="11" t="s">
        <v>65</v>
      </c>
      <c r="G111" s="11" t="s">
        <v>60</v>
      </c>
      <c r="H111" s="11" t="s">
        <v>345</v>
      </c>
      <c r="I111" s="71">
        <v>2625.0</v>
      </c>
      <c r="J111" s="11" t="s">
        <v>128</v>
      </c>
      <c r="K111" s="12"/>
      <c r="L111" s="12"/>
      <c r="M111" s="11" t="s">
        <v>71</v>
      </c>
      <c r="N111" s="13" t="s">
        <v>44</v>
      </c>
      <c r="O111" s="14"/>
      <c r="P111" s="14"/>
      <c r="Q111" s="14"/>
      <c r="R111" s="14"/>
      <c r="S111" s="14"/>
      <c r="T111" s="14"/>
      <c r="U111" s="14"/>
      <c r="V111" s="14"/>
      <c r="W111" s="14"/>
      <c r="X111" s="14"/>
      <c r="Y111" s="14"/>
      <c r="Z111" s="14"/>
      <c r="AA111" s="14"/>
      <c r="AB111" s="14"/>
      <c r="AC111" s="14"/>
      <c r="AD111" s="12"/>
      <c r="AE111" s="12"/>
      <c r="AF111" s="12"/>
      <c r="AG111" s="12"/>
      <c r="AH111" s="12"/>
      <c r="AI111" s="12"/>
      <c r="AJ111" s="12"/>
      <c r="AK111" s="11" t="s">
        <v>45</v>
      </c>
      <c r="AL111" s="13" t="s">
        <v>44</v>
      </c>
      <c r="AM111" s="13" t="s">
        <v>44</v>
      </c>
      <c r="AN111" s="11" t="s">
        <v>346</v>
      </c>
      <c r="AO111" s="15" t="b">
        <v>1</v>
      </c>
      <c r="AP111" s="15"/>
    </row>
    <row r="112">
      <c r="A112" s="34" t="s">
        <v>36</v>
      </c>
      <c r="B112" s="32">
        <v>45377.571343564814</v>
      </c>
      <c r="C112" s="33" t="s">
        <v>347</v>
      </c>
      <c r="D112" s="34" t="s">
        <v>51</v>
      </c>
      <c r="E112" s="34" t="s">
        <v>138</v>
      </c>
      <c r="F112" s="34" t="s">
        <v>40</v>
      </c>
      <c r="G112" s="34" t="s">
        <v>54</v>
      </c>
      <c r="H112" s="34" t="s">
        <v>99</v>
      </c>
      <c r="I112" s="34">
        <v>15000.0</v>
      </c>
      <c r="J112" s="34" t="s">
        <v>118</v>
      </c>
      <c r="K112" s="35"/>
      <c r="L112" s="35"/>
      <c r="M112" s="34" t="s">
        <v>71</v>
      </c>
      <c r="N112" s="13" t="s">
        <v>44</v>
      </c>
      <c r="O112" s="14"/>
      <c r="P112" s="14"/>
      <c r="Q112" s="14"/>
      <c r="R112" s="14"/>
      <c r="S112" s="14"/>
      <c r="T112" s="14"/>
      <c r="U112" s="14"/>
      <c r="V112" s="14"/>
      <c r="W112" s="14"/>
      <c r="X112" s="14"/>
      <c r="Y112" s="14"/>
      <c r="Z112" s="14"/>
      <c r="AA112" s="14"/>
      <c r="AB112" s="14"/>
      <c r="AC112" s="14"/>
      <c r="AD112" s="12"/>
      <c r="AE112" s="12"/>
      <c r="AF112" s="12"/>
      <c r="AG112" s="12"/>
      <c r="AH112" s="12"/>
      <c r="AI112" s="12"/>
      <c r="AJ112" s="12"/>
      <c r="AK112" s="11" t="s">
        <v>45</v>
      </c>
      <c r="AL112" s="13" t="s">
        <v>44</v>
      </c>
      <c r="AM112" s="13" t="s">
        <v>44</v>
      </c>
      <c r="AN112" s="34"/>
      <c r="AO112" s="15"/>
      <c r="AP112" s="15"/>
    </row>
    <row r="113">
      <c r="A113" s="11" t="s">
        <v>36</v>
      </c>
      <c r="B113" s="9">
        <v>45378.46089086805</v>
      </c>
      <c r="C113" s="10" t="s">
        <v>311</v>
      </c>
      <c r="D113" s="11" t="s">
        <v>317</v>
      </c>
      <c r="E113" s="11" t="s">
        <v>52</v>
      </c>
      <c r="F113" s="11" t="s">
        <v>65</v>
      </c>
      <c r="G113" s="11" t="s">
        <v>54</v>
      </c>
      <c r="H113" s="11" t="s">
        <v>277</v>
      </c>
      <c r="I113" s="77">
        <v>195.0</v>
      </c>
      <c r="J113" s="11" t="s">
        <v>100</v>
      </c>
      <c r="K113" s="28" t="s">
        <v>348</v>
      </c>
      <c r="L113" s="11" t="s">
        <v>349</v>
      </c>
      <c r="M113" s="11" t="s">
        <v>71</v>
      </c>
      <c r="N113" s="13" t="s">
        <v>44</v>
      </c>
      <c r="O113" s="14"/>
      <c r="P113" s="14"/>
      <c r="Q113" s="14"/>
      <c r="R113" s="14"/>
      <c r="S113" s="14"/>
      <c r="T113" s="14"/>
      <c r="U113" s="14"/>
      <c r="V113" s="14"/>
      <c r="W113" s="14"/>
      <c r="X113" s="14"/>
      <c r="Y113" s="14"/>
      <c r="Z113" s="14"/>
      <c r="AA113" s="14"/>
      <c r="AB113" s="14"/>
      <c r="AC113" s="14"/>
      <c r="AD113" s="12"/>
      <c r="AE113" s="12"/>
      <c r="AF113" s="12"/>
      <c r="AG113" s="12"/>
      <c r="AH113" s="12"/>
      <c r="AI113" s="12"/>
      <c r="AJ113" s="12"/>
      <c r="AK113" s="11" t="s">
        <v>45</v>
      </c>
      <c r="AL113" s="13" t="s">
        <v>44</v>
      </c>
      <c r="AM113" s="13" t="s">
        <v>44</v>
      </c>
      <c r="AN113" s="11"/>
      <c r="AO113" s="15"/>
      <c r="AP113" s="15"/>
    </row>
    <row r="114">
      <c r="A114" s="20" t="s">
        <v>36</v>
      </c>
      <c r="B114" s="18">
        <v>45380.37815464121</v>
      </c>
      <c r="C114" s="19" t="s">
        <v>350</v>
      </c>
      <c r="D114" s="20" t="s">
        <v>51</v>
      </c>
      <c r="E114" s="20" t="s">
        <v>52</v>
      </c>
      <c r="F114" s="20" t="s">
        <v>65</v>
      </c>
      <c r="G114" s="20" t="s">
        <v>41</v>
      </c>
      <c r="H114" s="20" t="s">
        <v>61</v>
      </c>
      <c r="I114" s="20">
        <v>18.95</v>
      </c>
      <c r="J114" s="20" t="s">
        <v>128</v>
      </c>
      <c r="K114" s="21"/>
      <c r="L114" s="20" t="s">
        <v>351</v>
      </c>
      <c r="M114" s="20" t="s">
        <v>71</v>
      </c>
      <c r="N114" s="13" t="s">
        <v>44</v>
      </c>
      <c r="O114" s="14"/>
      <c r="P114" s="14"/>
      <c r="Q114" s="14"/>
      <c r="R114" s="14"/>
      <c r="S114" s="14"/>
      <c r="T114" s="14"/>
      <c r="U114" s="14"/>
      <c r="V114" s="14"/>
      <c r="W114" s="14"/>
      <c r="X114" s="14"/>
      <c r="Y114" s="14"/>
      <c r="Z114" s="14"/>
      <c r="AA114" s="14"/>
      <c r="AB114" s="14"/>
      <c r="AC114" s="14"/>
      <c r="AD114" s="12"/>
      <c r="AE114" s="12"/>
      <c r="AF114" s="12"/>
      <c r="AG114" s="12"/>
      <c r="AH114" s="12"/>
      <c r="AI114" s="12"/>
      <c r="AJ114" s="12"/>
      <c r="AK114" s="11" t="s">
        <v>45</v>
      </c>
      <c r="AL114" s="13" t="s">
        <v>44</v>
      </c>
      <c r="AM114" s="13" t="s">
        <v>44</v>
      </c>
      <c r="AN114" s="20" t="s">
        <v>71</v>
      </c>
      <c r="AO114" s="15" t="b">
        <v>1</v>
      </c>
      <c r="AP114" s="15"/>
    </row>
    <row r="115">
      <c r="A115" s="11" t="s">
        <v>36</v>
      </c>
      <c r="B115" s="9">
        <v>45380.38597496528</v>
      </c>
      <c r="C115" s="10" t="s">
        <v>123</v>
      </c>
      <c r="D115" s="11" t="s">
        <v>124</v>
      </c>
      <c r="E115" s="11" t="s">
        <v>52</v>
      </c>
      <c r="F115" s="11" t="s">
        <v>65</v>
      </c>
      <c r="G115" s="11" t="s">
        <v>54</v>
      </c>
      <c r="H115" s="11" t="s">
        <v>61</v>
      </c>
      <c r="I115" s="71">
        <v>1000.0</v>
      </c>
      <c r="J115" s="11" t="s">
        <v>118</v>
      </c>
      <c r="K115" s="12"/>
      <c r="L115" s="11" t="s">
        <v>352</v>
      </c>
      <c r="M115" s="11" t="s">
        <v>71</v>
      </c>
      <c r="N115" s="11" t="s">
        <v>68</v>
      </c>
      <c r="O115" s="14"/>
      <c r="P115" s="14"/>
      <c r="Q115" s="14"/>
      <c r="R115" s="14"/>
      <c r="S115" s="14"/>
      <c r="T115" s="14"/>
      <c r="U115" s="14"/>
      <c r="V115" s="14"/>
      <c r="W115" s="14"/>
      <c r="X115" s="14"/>
      <c r="Y115" s="14"/>
      <c r="Z115" s="14"/>
      <c r="AA115" s="14"/>
      <c r="AB115" s="14"/>
      <c r="AC115" s="14"/>
      <c r="AD115" s="14"/>
      <c r="AE115" s="12"/>
      <c r="AF115" s="12"/>
      <c r="AG115" s="78">
        <v>45380.0</v>
      </c>
      <c r="AH115" s="12"/>
      <c r="AI115" s="12"/>
      <c r="AJ115" s="12"/>
      <c r="AK115" s="11" t="s">
        <v>45</v>
      </c>
      <c r="AL115" s="27" t="s">
        <v>70</v>
      </c>
      <c r="AM115" s="14"/>
      <c r="AN115" s="11"/>
      <c r="AO115" s="38"/>
      <c r="AP115" s="38"/>
    </row>
    <row r="116">
      <c r="A116" s="20" t="s">
        <v>36</v>
      </c>
      <c r="B116" s="18">
        <v>45380.41260328704</v>
      </c>
      <c r="C116" s="19" t="s">
        <v>251</v>
      </c>
      <c r="D116" s="20" t="s">
        <v>51</v>
      </c>
      <c r="E116" s="20" t="s">
        <v>149</v>
      </c>
      <c r="F116" s="20" t="s">
        <v>80</v>
      </c>
      <c r="G116" s="20" t="s">
        <v>54</v>
      </c>
      <c r="H116" s="17" t="s">
        <v>61</v>
      </c>
      <c r="I116" s="20" t="s">
        <v>353</v>
      </c>
      <c r="J116" s="20" t="s">
        <v>73</v>
      </c>
      <c r="K116" s="21"/>
      <c r="L116" s="85" t="s">
        <v>354</v>
      </c>
      <c r="M116" s="20" t="s">
        <v>71</v>
      </c>
      <c r="N116" s="13" t="s">
        <v>44</v>
      </c>
      <c r="O116" s="14"/>
      <c r="P116" s="14"/>
      <c r="Q116" s="14"/>
      <c r="R116" s="14"/>
      <c r="S116" s="14"/>
      <c r="T116" s="14"/>
      <c r="U116" s="14"/>
      <c r="V116" s="14"/>
      <c r="W116" s="14"/>
      <c r="X116" s="14"/>
      <c r="Y116" s="14"/>
      <c r="Z116" s="14"/>
      <c r="AA116" s="14"/>
      <c r="AB116" s="14"/>
      <c r="AC116" s="14"/>
      <c r="AD116" s="12"/>
      <c r="AE116" s="12"/>
      <c r="AF116" s="12"/>
      <c r="AG116" s="12"/>
      <c r="AH116" s="12"/>
      <c r="AI116" s="12"/>
      <c r="AJ116" s="12"/>
      <c r="AK116" s="11" t="s">
        <v>45</v>
      </c>
      <c r="AL116" s="13" t="s">
        <v>44</v>
      </c>
      <c r="AM116" s="13" t="s">
        <v>44</v>
      </c>
      <c r="AN116" s="20"/>
      <c r="AO116" s="15" t="b">
        <v>1</v>
      </c>
      <c r="AP116" s="15"/>
    </row>
    <row r="117">
      <c r="A117" s="11" t="s">
        <v>36</v>
      </c>
      <c r="B117" s="9">
        <v>45380.63878971065</v>
      </c>
      <c r="C117" s="10" t="s">
        <v>153</v>
      </c>
      <c r="D117" s="11" t="s">
        <v>142</v>
      </c>
      <c r="E117" s="11" t="s">
        <v>52</v>
      </c>
      <c r="F117" s="11" t="s">
        <v>65</v>
      </c>
      <c r="G117" s="11" t="s">
        <v>131</v>
      </c>
      <c r="H117" s="39" t="s">
        <v>127</v>
      </c>
      <c r="I117" s="71">
        <v>1759.0</v>
      </c>
      <c r="J117" s="11" t="s">
        <v>100</v>
      </c>
      <c r="K117" s="24" t="s">
        <v>355</v>
      </c>
      <c r="L117" s="11" t="s">
        <v>356</v>
      </c>
      <c r="M117" s="11" t="s">
        <v>71</v>
      </c>
      <c r="N117" s="13" t="s">
        <v>44</v>
      </c>
      <c r="O117" s="14"/>
      <c r="P117" s="14"/>
      <c r="Q117" s="14"/>
      <c r="R117" s="14"/>
      <c r="S117" s="14"/>
      <c r="T117" s="14"/>
      <c r="U117" s="14"/>
      <c r="V117" s="14"/>
      <c r="W117" s="14"/>
      <c r="X117" s="14"/>
      <c r="Y117" s="14"/>
      <c r="Z117" s="14"/>
      <c r="AA117" s="14"/>
      <c r="AB117" s="14"/>
      <c r="AC117" s="14"/>
      <c r="AD117" s="12"/>
      <c r="AE117" s="12"/>
      <c r="AF117" s="12"/>
      <c r="AG117" s="12"/>
      <c r="AH117" s="12"/>
      <c r="AI117" s="12"/>
      <c r="AJ117" s="12"/>
      <c r="AK117" s="11" t="s">
        <v>45</v>
      </c>
      <c r="AL117" s="13" t="s">
        <v>44</v>
      </c>
      <c r="AM117" s="13" t="s">
        <v>44</v>
      </c>
      <c r="AN117" s="11"/>
      <c r="AO117" s="15"/>
      <c r="AP117" s="15"/>
    </row>
    <row r="118">
      <c r="A118" s="11" t="s">
        <v>36</v>
      </c>
      <c r="B118" s="9">
        <v>45383.514193703704</v>
      </c>
      <c r="C118" s="10" t="s">
        <v>357</v>
      </c>
      <c r="D118" s="11" t="s">
        <v>142</v>
      </c>
      <c r="E118" s="11" t="s">
        <v>52</v>
      </c>
      <c r="F118" s="11" t="s">
        <v>65</v>
      </c>
      <c r="G118" s="11" t="s">
        <v>54</v>
      </c>
      <c r="H118" s="11" t="s">
        <v>277</v>
      </c>
      <c r="I118" s="11" t="s">
        <v>358</v>
      </c>
      <c r="J118" s="11" t="s">
        <v>214</v>
      </c>
      <c r="K118" s="12"/>
      <c r="L118" s="11" t="s">
        <v>359</v>
      </c>
      <c r="M118" s="11" t="s">
        <v>71</v>
      </c>
      <c r="N118" s="13" t="s">
        <v>44</v>
      </c>
      <c r="O118" s="14"/>
      <c r="P118" s="14"/>
      <c r="Q118" s="14"/>
      <c r="R118" s="14"/>
      <c r="S118" s="14"/>
      <c r="T118" s="14"/>
      <c r="U118" s="14"/>
      <c r="V118" s="14"/>
      <c r="W118" s="14"/>
      <c r="X118" s="14"/>
      <c r="Y118" s="14"/>
      <c r="Z118" s="14"/>
      <c r="AA118" s="14"/>
      <c r="AB118" s="14"/>
      <c r="AC118" s="14"/>
      <c r="AD118" s="12"/>
      <c r="AE118" s="12"/>
      <c r="AF118" s="12"/>
      <c r="AG118" s="12"/>
      <c r="AH118" s="12"/>
      <c r="AI118" s="12"/>
      <c r="AJ118" s="12"/>
      <c r="AK118" s="11" t="s">
        <v>45</v>
      </c>
      <c r="AL118" s="13" t="s">
        <v>44</v>
      </c>
      <c r="AM118" s="13" t="s">
        <v>44</v>
      </c>
      <c r="AN118" s="11"/>
      <c r="AO118" s="15"/>
      <c r="AP118" s="15"/>
    </row>
    <row r="119">
      <c r="A119" s="11" t="s">
        <v>36</v>
      </c>
      <c r="B119" s="9">
        <v>45385.55853231481</v>
      </c>
      <c r="C119" s="10" t="s">
        <v>37</v>
      </c>
      <c r="D119" s="11" t="s">
        <v>51</v>
      </c>
      <c r="E119" s="11" t="s">
        <v>52</v>
      </c>
      <c r="F119" s="11" t="s">
        <v>65</v>
      </c>
      <c r="G119" s="11" t="s">
        <v>60</v>
      </c>
      <c r="H119" s="8" t="s">
        <v>61</v>
      </c>
      <c r="I119" s="11" t="s">
        <v>360</v>
      </c>
      <c r="J119" s="11" t="s">
        <v>128</v>
      </c>
      <c r="K119" s="28" t="s">
        <v>361</v>
      </c>
      <c r="L119" s="11" t="s">
        <v>362</v>
      </c>
      <c r="M119" s="11" t="s">
        <v>71</v>
      </c>
      <c r="N119" s="13" t="s">
        <v>44</v>
      </c>
      <c r="O119" s="14"/>
      <c r="P119" s="14"/>
      <c r="Q119" s="14"/>
      <c r="R119" s="14"/>
      <c r="S119" s="14"/>
      <c r="T119" s="14"/>
      <c r="U119" s="14"/>
      <c r="V119" s="14"/>
      <c r="W119" s="14"/>
      <c r="X119" s="14"/>
      <c r="Y119" s="14"/>
      <c r="Z119" s="14"/>
      <c r="AA119" s="14"/>
      <c r="AB119" s="14"/>
      <c r="AC119" s="14"/>
      <c r="AD119" s="12"/>
      <c r="AE119" s="12"/>
      <c r="AF119" s="12"/>
      <c r="AG119" s="12"/>
      <c r="AH119" s="12"/>
      <c r="AI119" s="12"/>
      <c r="AJ119" s="12"/>
      <c r="AK119" s="11" t="s">
        <v>45</v>
      </c>
      <c r="AL119" s="13" t="s">
        <v>44</v>
      </c>
      <c r="AM119" s="13" t="s">
        <v>44</v>
      </c>
      <c r="AN119" s="11" t="s">
        <v>71</v>
      </c>
      <c r="AO119" s="15" t="b">
        <v>1</v>
      </c>
      <c r="AP119" s="15"/>
    </row>
    <row r="120">
      <c r="A120" s="11" t="s">
        <v>36</v>
      </c>
      <c r="B120" s="9">
        <v>45385.65700898148</v>
      </c>
      <c r="C120" s="10" t="s">
        <v>98</v>
      </c>
      <c r="D120" s="11" t="s">
        <v>51</v>
      </c>
      <c r="E120" s="11" t="s">
        <v>52</v>
      </c>
      <c r="F120" s="11" t="s">
        <v>65</v>
      </c>
      <c r="G120" s="11" t="s">
        <v>54</v>
      </c>
      <c r="H120" s="11" t="s">
        <v>42</v>
      </c>
      <c r="I120" s="77">
        <v>400.0</v>
      </c>
      <c r="J120" s="11" t="s">
        <v>363</v>
      </c>
      <c r="K120" s="12"/>
      <c r="L120" s="12"/>
      <c r="M120" s="11" t="s">
        <v>71</v>
      </c>
      <c r="N120" s="13" t="s">
        <v>44</v>
      </c>
      <c r="O120" s="14"/>
      <c r="P120" s="14"/>
      <c r="Q120" s="14"/>
      <c r="R120" s="14"/>
      <c r="S120" s="14"/>
      <c r="T120" s="14"/>
      <c r="U120" s="14"/>
      <c r="V120" s="14"/>
      <c r="W120" s="14"/>
      <c r="X120" s="14"/>
      <c r="Y120" s="14"/>
      <c r="Z120" s="14"/>
      <c r="AA120" s="14"/>
      <c r="AB120" s="14"/>
      <c r="AC120" s="14"/>
      <c r="AD120" s="12"/>
      <c r="AE120" s="12"/>
      <c r="AF120" s="12"/>
      <c r="AG120" s="12"/>
      <c r="AH120" s="12"/>
      <c r="AI120" s="12"/>
      <c r="AJ120" s="12"/>
      <c r="AK120" s="11" t="s">
        <v>45</v>
      </c>
      <c r="AL120" s="13" t="s">
        <v>44</v>
      </c>
      <c r="AM120" s="13" t="s">
        <v>44</v>
      </c>
      <c r="AN120" s="11"/>
      <c r="AO120" s="15"/>
      <c r="AP120" s="15"/>
    </row>
    <row r="121">
      <c r="A121" s="11" t="s">
        <v>36</v>
      </c>
      <c r="B121" s="9">
        <v>45386.596947199076</v>
      </c>
      <c r="C121" s="10" t="s">
        <v>314</v>
      </c>
      <c r="D121" s="11" t="s">
        <v>315</v>
      </c>
      <c r="E121" s="11" t="s">
        <v>252</v>
      </c>
      <c r="F121" s="11" t="s">
        <v>80</v>
      </c>
      <c r="G121" s="11" t="s">
        <v>131</v>
      </c>
      <c r="H121" s="11" t="s">
        <v>47</v>
      </c>
      <c r="I121" s="71">
        <v>299.0</v>
      </c>
      <c r="J121" s="11" t="s">
        <v>100</v>
      </c>
      <c r="K121" s="12"/>
      <c r="L121" s="11" t="s">
        <v>364</v>
      </c>
      <c r="M121" s="11" t="s">
        <v>71</v>
      </c>
      <c r="N121" s="11" t="s">
        <v>68</v>
      </c>
      <c r="O121" s="14"/>
      <c r="P121" s="14"/>
      <c r="Q121" s="14"/>
      <c r="R121" s="14"/>
      <c r="S121" s="14"/>
      <c r="T121" s="14"/>
      <c r="U121" s="14"/>
      <c r="V121" s="14"/>
      <c r="W121" s="14"/>
      <c r="X121" s="14"/>
      <c r="Y121" s="14"/>
      <c r="Z121" s="14"/>
      <c r="AA121" s="14"/>
      <c r="AB121" s="14"/>
      <c r="AC121" s="14"/>
      <c r="AD121" s="14"/>
      <c r="AE121" s="12"/>
      <c r="AF121" s="12"/>
      <c r="AG121" s="78">
        <v>45386.0</v>
      </c>
      <c r="AH121" s="12"/>
      <c r="AI121" s="12"/>
      <c r="AJ121" s="12"/>
      <c r="AK121" s="11" t="s">
        <v>45</v>
      </c>
      <c r="AL121" s="27" t="s">
        <v>70</v>
      </c>
      <c r="AM121" s="14"/>
      <c r="AN121" s="11"/>
      <c r="AO121" s="38"/>
      <c r="AP121" s="38"/>
    </row>
    <row r="122">
      <c r="A122" s="11" t="s">
        <v>36</v>
      </c>
      <c r="B122" s="9">
        <v>45386.600471157406</v>
      </c>
      <c r="C122" s="10" t="s">
        <v>314</v>
      </c>
      <c r="D122" s="11" t="s">
        <v>315</v>
      </c>
      <c r="E122" s="11" t="s">
        <v>252</v>
      </c>
      <c r="F122" s="11" t="s">
        <v>80</v>
      </c>
      <c r="G122" s="11" t="s">
        <v>131</v>
      </c>
      <c r="H122" s="11" t="s">
        <v>47</v>
      </c>
      <c r="I122" s="71">
        <v>150.0</v>
      </c>
      <c r="J122" s="11" t="s">
        <v>100</v>
      </c>
      <c r="K122" s="12"/>
      <c r="L122" s="24" t="s">
        <v>365</v>
      </c>
      <c r="M122" s="11" t="s">
        <v>71</v>
      </c>
      <c r="N122" s="11" t="s">
        <v>68</v>
      </c>
      <c r="O122" s="14"/>
      <c r="P122" s="14"/>
      <c r="Q122" s="14"/>
      <c r="R122" s="14"/>
      <c r="S122" s="14"/>
      <c r="T122" s="14"/>
      <c r="U122" s="14"/>
      <c r="V122" s="14"/>
      <c r="W122" s="14"/>
      <c r="X122" s="14"/>
      <c r="Y122" s="14"/>
      <c r="Z122" s="14"/>
      <c r="AA122" s="14"/>
      <c r="AB122" s="14"/>
      <c r="AC122" s="14"/>
      <c r="AD122" s="14"/>
      <c r="AE122" s="12"/>
      <c r="AF122" s="12"/>
      <c r="AG122" s="78">
        <v>45386.0</v>
      </c>
      <c r="AH122" s="12"/>
      <c r="AI122" s="12"/>
      <c r="AJ122" s="12"/>
      <c r="AK122" s="11" t="s">
        <v>45</v>
      </c>
      <c r="AL122" s="27" t="s">
        <v>70</v>
      </c>
      <c r="AM122" s="14"/>
      <c r="AN122" s="11"/>
      <c r="AO122" s="38"/>
      <c r="AP122" s="38"/>
    </row>
    <row r="123">
      <c r="A123" s="20" t="s">
        <v>36</v>
      </c>
      <c r="B123" s="18">
        <v>45387.39779340278</v>
      </c>
      <c r="C123" s="19" t="s">
        <v>366</v>
      </c>
      <c r="D123" s="20" t="s">
        <v>142</v>
      </c>
      <c r="E123" s="20" t="s">
        <v>52</v>
      </c>
      <c r="F123" s="20" t="s">
        <v>65</v>
      </c>
      <c r="G123" s="20" t="s">
        <v>54</v>
      </c>
      <c r="H123" s="20" t="s">
        <v>42</v>
      </c>
      <c r="I123" s="20" t="s">
        <v>367</v>
      </c>
      <c r="J123" s="20" t="s">
        <v>102</v>
      </c>
      <c r="K123" s="21"/>
      <c r="L123" s="21"/>
      <c r="M123" s="20" t="s">
        <v>71</v>
      </c>
      <c r="N123" s="13" t="s">
        <v>44</v>
      </c>
      <c r="O123" s="14"/>
      <c r="P123" s="14"/>
      <c r="Q123" s="14"/>
      <c r="R123" s="14"/>
      <c r="S123" s="14"/>
      <c r="T123" s="14"/>
      <c r="U123" s="14"/>
      <c r="V123" s="14"/>
      <c r="W123" s="14"/>
      <c r="X123" s="14"/>
      <c r="Y123" s="14"/>
      <c r="Z123" s="14"/>
      <c r="AA123" s="14"/>
      <c r="AB123" s="14"/>
      <c r="AC123" s="14"/>
      <c r="AD123" s="12"/>
      <c r="AE123" s="12"/>
      <c r="AF123" s="12"/>
      <c r="AG123" s="12"/>
      <c r="AH123" s="12"/>
      <c r="AI123" s="12"/>
      <c r="AJ123" s="12"/>
      <c r="AK123" s="11" t="s">
        <v>45</v>
      </c>
      <c r="AL123" s="13" t="s">
        <v>44</v>
      </c>
      <c r="AM123" s="13" t="s">
        <v>44</v>
      </c>
      <c r="AN123" s="20"/>
      <c r="AO123" s="15"/>
      <c r="AP123" s="15"/>
    </row>
    <row r="124">
      <c r="A124" s="11" t="s">
        <v>36</v>
      </c>
      <c r="B124" s="9">
        <v>45390.3830140625</v>
      </c>
      <c r="C124" s="10" t="s">
        <v>368</v>
      </c>
      <c r="D124" s="11" t="s">
        <v>142</v>
      </c>
      <c r="E124" s="11" t="s">
        <v>52</v>
      </c>
      <c r="F124" s="11" t="s">
        <v>40</v>
      </c>
      <c r="G124" s="11" t="s">
        <v>54</v>
      </c>
      <c r="H124" s="39" t="s">
        <v>127</v>
      </c>
      <c r="I124" s="11" t="s">
        <v>369</v>
      </c>
      <c r="J124" s="11" t="s">
        <v>102</v>
      </c>
      <c r="K124" s="24" t="s">
        <v>370</v>
      </c>
      <c r="L124" s="11" t="s">
        <v>371</v>
      </c>
      <c r="M124" s="11" t="s">
        <v>71</v>
      </c>
      <c r="N124" s="13" t="s">
        <v>44</v>
      </c>
      <c r="O124" s="14"/>
      <c r="P124" s="14"/>
      <c r="Q124" s="14"/>
      <c r="R124" s="14"/>
      <c r="S124" s="14"/>
      <c r="T124" s="14"/>
      <c r="U124" s="14"/>
      <c r="V124" s="14"/>
      <c r="W124" s="14"/>
      <c r="X124" s="14"/>
      <c r="Y124" s="14"/>
      <c r="Z124" s="14"/>
      <c r="AA124" s="14"/>
      <c r="AB124" s="14"/>
      <c r="AC124" s="14"/>
      <c r="AD124" s="12"/>
      <c r="AE124" s="12"/>
      <c r="AF124" s="12"/>
      <c r="AG124" s="12"/>
      <c r="AH124" s="12"/>
      <c r="AI124" s="12"/>
      <c r="AJ124" s="12"/>
      <c r="AK124" s="11" t="s">
        <v>45</v>
      </c>
      <c r="AL124" s="13" t="s">
        <v>44</v>
      </c>
      <c r="AM124" s="13" t="s">
        <v>44</v>
      </c>
      <c r="AN124" s="11"/>
      <c r="AO124" s="15"/>
      <c r="AP124" s="15"/>
    </row>
    <row r="125">
      <c r="A125" s="20" t="s">
        <v>36</v>
      </c>
      <c r="B125" s="18">
        <v>45390.421357141204</v>
      </c>
      <c r="C125" s="19" t="s">
        <v>245</v>
      </c>
      <c r="D125" s="20" t="s">
        <v>142</v>
      </c>
      <c r="E125" s="20" t="s">
        <v>52</v>
      </c>
      <c r="F125" s="20" t="s">
        <v>65</v>
      </c>
      <c r="G125" s="20" t="s">
        <v>54</v>
      </c>
      <c r="H125" s="39" t="s">
        <v>127</v>
      </c>
      <c r="I125" s="84">
        <v>204.59</v>
      </c>
      <c r="J125" s="20" t="s">
        <v>102</v>
      </c>
      <c r="K125" s="21"/>
      <c r="L125" s="20" t="s">
        <v>372</v>
      </c>
      <c r="M125" s="20" t="s">
        <v>71</v>
      </c>
      <c r="N125" s="13" t="s">
        <v>44</v>
      </c>
      <c r="O125" s="14"/>
      <c r="P125" s="14"/>
      <c r="Q125" s="14"/>
      <c r="R125" s="14"/>
      <c r="S125" s="14"/>
      <c r="T125" s="14"/>
      <c r="U125" s="14"/>
      <c r="V125" s="14"/>
      <c r="W125" s="14"/>
      <c r="X125" s="14"/>
      <c r="Y125" s="14"/>
      <c r="Z125" s="14"/>
      <c r="AA125" s="14"/>
      <c r="AB125" s="14"/>
      <c r="AC125" s="14"/>
      <c r="AD125" s="12"/>
      <c r="AE125" s="12"/>
      <c r="AF125" s="12"/>
      <c r="AG125" s="12"/>
      <c r="AH125" s="12"/>
      <c r="AI125" s="12"/>
      <c r="AJ125" s="12"/>
      <c r="AK125" s="11" t="s">
        <v>45</v>
      </c>
      <c r="AL125" s="13" t="s">
        <v>44</v>
      </c>
      <c r="AM125" s="13" t="s">
        <v>44</v>
      </c>
      <c r="AN125" s="20"/>
      <c r="AO125" s="15"/>
      <c r="AP125" s="15"/>
    </row>
    <row r="126">
      <c r="A126" s="11" t="s">
        <v>36</v>
      </c>
      <c r="B126" s="9">
        <v>45391.4498491088</v>
      </c>
      <c r="C126" s="10" t="s">
        <v>325</v>
      </c>
      <c r="D126" s="11" t="s">
        <v>142</v>
      </c>
      <c r="E126" s="11" t="s">
        <v>138</v>
      </c>
      <c r="F126" s="11" t="s">
        <v>65</v>
      </c>
      <c r="G126" s="11" t="s">
        <v>54</v>
      </c>
      <c r="H126" s="11" t="s">
        <v>61</v>
      </c>
      <c r="I126" s="11">
        <v>295.0</v>
      </c>
      <c r="J126" s="11" t="s">
        <v>157</v>
      </c>
      <c r="K126" s="12"/>
      <c r="L126" s="11" t="s">
        <v>373</v>
      </c>
      <c r="M126" s="11" t="s">
        <v>71</v>
      </c>
      <c r="N126" s="13" t="s">
        <v>44</v>
      </c>
      <c r="O126" s="14"/>
      <c r="P126" s="14"/>
      <c r="Q126" s="14"/>
      <c r="R126" s="14"/>
      <c r="S126" s="14"/>
      <c r="T126" s="14"/>
      <c r="U126" s="14"/>
      <c r="V126" s="14"/>
      <c r="W126" s="14"/>
      <c r="X126" s="14"/>
      <c r="Y126" s="14"/>
      <c r="Z126" s="14"/>
      <c r="AA126" s="14"/>
      <c r="AB126" s="14"/>
      <c r="AC126" s="14"/>
      <c r="AD126" s="12"/>
      <c r="AE126" s="12"/>
      <c r="AF126" s="12"/>
      <c r="AG126" s="12"/>
      <c r="AH126" s="12"/>
      <c r="AI126" s="12"/>
      <c r="AJ126" s="12"/>
      <c r="AK126" s="11" t="s">
        <v>45</v>
      </c>
      <c r="AL126" s="13" t="s">
        <v>44</v>
      </c>
      <c r="AM126" s="13" t="s">
        <v>44</v>
      </c>
      <c r="AN126" s="11"/>
      <c r="AO126" s="15"/>
      <c r="AP126" s="15"/>
    </row>
    <row r="127">
      <c r="A127" s="20" t="s">
        <v>36</v>
      </c>
      <c r="B127" s="18">
        <v>45391.50948234954</v>
      </c>
      <c r="C127" s="19" t="s">
        <v>374</v>
      </c>
      <c r="D127" s="20" t="s">
        <v>142</v>
      </c>
      <c r="E127" s="20" t="s">
        <v>52</v>
      </c>
      <c r="F127" s="20" t="s">
        <v>210</v>
      </c>
      <c r="G127" s="20" t="s">
        <v>41</v>
      </c>
      <c r="H127" s="39" t="s">
        <v>127</v>
      </c>
      <c r="I127" s="20" t="s">
        <v>375</v>
      </c>
      <c r="J127" s="20" t="s">
        <v>102</v>
      </c>
      <c r="K127" s="21"/>
      <c r="L127" s="85" t="s">
        <v>376</v>
      </c>
      <c r="M127" s="20" t="s">
        <v>71</v>
      </c>
      <c r="N127" s="13" t="s">
        <v>44</v>
      </c>
      <c r="O127" s="14"/>
      <c r="P127" s="14"/>
      <c r="Q127" s="14"/>
      <c r="R127" s="14"/>
      <c r="S127" s="14"/>
      <c r="T127" s="14"/>
      <c r="U127" s="14"/>
      <c r="V127" s="14"/>
      <c r="W127" s="14"/>
      <c r="X127" s="14"/>
      <c r="Y127" s="14"/>
      <c r="Z127" s="14"/>
      <c r="AA127" s="14"/>
      <c r="AB127" s="14"/>
      <c r="AC127" s="14"/>
      <c r="AD127" s="12"/>
      <c r="AE127" s="12"/>
      <c r="AF127" s="12"/>
      <c r="AG127" s="12"/>
      <c r="AH127" s="12"/>
      <c r="AI127" s="12"/>
      <c r="AJ127" s="12"/>
      <c r="AK127" s="11" t="s">
        <v>45</v>
      </c>
      <c r="AL127" s="13" t="s">
        <v>44</v>
      </c>
      <c r="AM127" s="13" t="s">
        <v>44</v>
      </c>
      <c r="AN127" s="20"/>
      <c r="AO127" s="15"/>
      <c r="AP127" s="15"/>
    </row>
    <row r="128">
      <c r="A128" s="20" t="s">
        <v>36</v>
      </c>
      <c r="B128" s="18">
        <v>45393.48574265046</v>
      </c>
      <c r="C128" s="19" t="s">
        <v>377</v>
      </c>
      <c r="D128" s="20" t="s">
        <v>378</v>
      </c>
      <c r="E128" s="20" t="s">
        <v>52</v>
      </c>
      <c r="F128" s="20" t="s">
        <v>65</v>
      </c>
      <c r="G128" s="20" t="s">
        <v>54</v>
      </c>
      <c r="H128" s="20" t="s">
        <v>61</v>
      </c>
      <c r="I128" s="109">
        <v>3650.0</v>
      </c>
      <c r="J128" s="20" t="s">
        <v>118</v>
      </c>
      <c r="K128" s="29" t="s">
        <v>379</v>
      </c>
      <c r="L128" s="20" t="s">
        <v>380</v>
      </c>
      <c r="M128" s="20" t="s">
        <v>71</v>
      </c>
      <c r="N128" s="20" t="s">
        <v>96</v>
      </c>
      <c r="O128" s="22"/>
      <c r="P128" s="22"/>
      <c r="Q128" s="22"/>
      <c r="R128" s="22"/>
      <c r="S128" s="22"/>
      <c r="T128" s="22"/>
      <c r="U128" s="22"/>
      <c r="V128" s="22"/>
      <c r="W128" s="22"/>
      <c r="X128" s="22"/>
      <c r="Y128" s="22"/>
      <c r="Z128" s="22"/>
      <c r="AA128" s="22"/>
      <c r="AB128" s="22"/>
      <c r="AC128" s="22"/>
      <c r="AD128" s="21"/>
      <c r="AE128" s="21"/>
      <c r="AF128" s="21"/>
      <c r="AG128" s="48">
        <v>45397.0</v>
      </c>
      <c r="AH128" s="21"/>
      <c r="AI128" s="21"/>
      <c r="AJ128" s="21"/>
      <c r="AK128" s="20" t="s">
        <v>381</v>
      </c>
      <c r="AL128" s="13" t="s">
        <v>44</v>
      </c>
      <c r="AM128" s="20" t="s">
        <v>96</v>
      </c>
      <c r="AN128" s="20" t="s">
        <v>71</v>
      </c>
      <c r="AO128" s="15" t="b">
        <v>1</v>
      </c>
      <c r="AP128" s="15"/>
    </row>
    <row r="129">
      <c r="A129" s="11" t="s">
        <v>36</v>
      </c>
      <c r="B129" s="9">
        <v>45394.681506469904</v>
      </c>
      <c r="C129" s="10" t="s">
        <v>382</v>
      </c>
      <c r="D129" s="11" t="s">
        <v>109</v>
      </c>
      <c r="E129" s="11" t="s">
        <v>52</v>
      </c>
      <c r="F129" s="11" t="s">
        <v>65</v>
      </c>
      <c r="G129" s="11" t="s">
        <v>131</v>
      </c>
      <c r="H129" s="11" t="s">
        <v>61</v>
      </c>
      <c r="I129" s="77">
        <v>126.0</v>
      </c>
      <c r="J129" s="11" t="s">
        <v>383</v>
      </c>
      <c r="K129" s="12"/>
      <c r="L129" s="11" t="s">
        <v>384</v>
      </c>
      <c r="M129" s="11" t="s">
        <v>71</v>
      </c>
      <c r="N129" s="11" t="s">
        <v>96</v>
      </c>
      <c r="O129" s="14"/>
      <c r="P129" s="14"/>
      <c r="Q129" s="14"/>
      <c r="R129" s="14"/>
      <c r="S129" s="14"/>
      <c r="T129" s="14"/>
      <c r="U129" s="14"/>
      <c r="V129" s="14"/>
      <c r="W129" s="14"/>
      <c r="X129" s="14"/>
      <c r="Y129" s="14"/>
      <c r="Z129" s="14"/>
      <c r="AA129" s="14"/>
      <c r="AB129" s="14"/>
      <c r="AC129" s="14"/>
      <c r="AD129" s="12"/>
      <c r="AE129" s="12"/>
      <c r="AF129" s="12"/>
      <c r="AG129" s="25">
        <v>45397.0</v>
      </c>
      <c r="AH129" s="12"/>
      <c r="AI129" s="12"/>
      <c r="AJ129" s="12"/>
      <c r="AK129" s="11" t="s">
        <v>45</v>
      </c>
      <c r="AL129" s="13" t="s">
        <v>44</v>
      </c>
      <c r="AM129" s="11" t="s">
        <v>96</v>
      </c>
      <c r="AN129" s="11"/>
      <c r="AO129" s="8"/>
      <c r="AP129" s="8"/>
    </row>
    <row r="130">
      <c r="A130" s="11" t="s">
        <v>36</v>
      </c>
      <c r="B130" s="9">
        <v>45395.88516928241</v>
      </c>
      <c r="C130" s="10" t="s">
        <v>385</v>
      </c>
      <c r="D130" s="11" t="s">
        <v>109</v>
      </c>
      <c r="E130" s="11" t="s">
        <v>52</v>
      </c>
      <c r="F130" s="11" t="s">
        <v>65</v>
      </c>
      <c r="G130" s="11" t="s">
        <v>54</v>
      </c>
      <c r="H130" s="11" t="s">
        <v>61</v>
      </c>
      <c r="I130" s="11" t="s">
        <v>386</v>
      </c>
      <c r="J130" s="11" t="s">
        <v>102</v>
      </c>
      <c r="K130" s="12"/>
      <c r="L130" s="24" t="s">
        <v>387</v>
      </c>
      <c r="M130" s="11" t="s">
        <v>71</v>
      </c>
      <c r="N130" s="11" t="s">
        <v>96</v>
      </c>
      <c r="O130" s="14"/>
      <c r="P130" s="14"/>
      <c r="Q130" s="14"/>
      <c r="R130" s="14"/>
      <c r="S130" s="14"/>
      <c r="T130" s="14"/>
      <c r="U130" s="14"/>
      <c r="V130" s="14"/>
      <c r="W130" s="14"/>
      <c r="X130" s="14"/>
      <c r="Y130" s="14"/>
      <c r="Z130" s="14"/>
      <c r="AA130" s="14"/>
      <c r="AB130" s="14"/>
      <c r="AC130" s="14"/>
      <c r="AD130" s="12"/>
      <c r="AE130" s="12"/>
      <c r="AF130" s="12"/>
      <c r="AG130" s="25">
        <v>45397.0</v>
      </c>
      <c r="AH130" s="12"/>
      <c r="AI130" s="12"/>
      <c r="AJ130" s="12"/>
      <c r="AK130" s="11" t="s">
        <v>388</v>
      </c>
      <c r="AL130" s="13" t="s">
        <v>44</v>
      </c>
      <c r="AM130" s="11" t="s">
        <v>96</v>
      </c>
      <c r="AN130" s="11"/>
      <c r="AO130" s="8"/>
      <c r="AP130" s="8"/>
    </row>
    <row r="131">
      <c r="A131" s="79" t="s">
        <v>190</v>
      </c>
      <c r="B131" s="80">
        <v>45397.38605107639</v>
      </c>
      <c r="C131" s="81" t="s">
        <v>284</v>
      </c>
      <c r="D131" s="79" t="s">
        <v>389</v>
      </c>
      <c r="E131" s="79" t="s">
        <v>52</v>
      </c>
      <c r="F131" s="79" t="s">
        <v>60</v>
      </c>
      <c r="G131" s="79" t="s">
        <v>54</v>
      </c>
      <c r="H131" s="79" t="s">
        <v>285</v>
      </c>
      <c r="I131" s="79" t="s">
        <v>390</v>
      </c>
      <c r="J131" s="79" t="s">
        <v>102</v>
      </c>
      <c r="K131" s="82"/>
      <c r="L131" s="82"/>
      <c r="M131" s="79" t="s">
        <v>71</v>
      </c>
      <c r="N131" s="13" t="s">
        <v>44</v>
      </c>
      <c r="O131" s="14"/>
      <c r="P131" s="14"/>
      <c r="Q131" s="14"/>
      <c r="R131" s="14"/>
      <c r="S131" s="14"/>
      <c r="T131" s="14"/>
      <c r="U131" s="14"/>
      <c r="V131" s="14"/>
      <c r="W131" s="14"/>
      <c r="X131" s="14"/>
      <c r="Y131" s="14"/>
      <c r="Z131" s="14"/>
      <c r="AA131" s="14"/>
      <c r="AB131" s="14"/>
      <c r="AC131" s="14"/>
      <c r="AD131" s="12"/>
      <c r="AE131" s="12"/>
      <c r="AF131" s="12"/>
      <c r="AG131" s="12"/>
      <c r="AH131" s="12"/>
      <c r="AI131" s="12"/>
      <c r="AJ131" s="12"/>
      <c r="AK131" s="11" t="s">
        <v>45</v>
      </c>
      <c r="AL131" s="13" t="s">
        <v>44</v>
      </c>
      <c r="AM131" s="13" t="s">
        <v>44</v>
      </c>
      <c r="AN131" s="79"/>
      <c r="AO131" s="15"/>
      <c r="AP131" s="15"/>
    </row>
    <row r="132">
      <c r="A132" s="11" t="s">
        <v>36</v>
      </c>
      <c r="B132" s="9">
        <v>45397.54565270833</v>
      </c>
      <c r="C132" s="10" t="s">
        <v>160</v>
      </c>
      <c r="D132" s="11" t="s">
        <v>109</v>
      </c>
      <c r="E132" s="11" t="s">
        <v>52</v>
      </c>
      <c r="F132" s="11" t="s">
        <v>65</v>
      </c>
      <c r="G132" s="11" t="s">
        <v>54</v>
      </c>
      <c r="H132" s="11" t="s">
        <v>61</v>
      </c>
      <c r="I132" s="11" t="s">
        <v>391</v>
      </c>
      <c r="J132" s="11" t="s">
        <v>157</v>
      </c>
      <c r="K132" s="28" t="s">
        <v>392</v>
      </c>
      <c r="L132" s="24" t="s">
        <v>393</v>
      </c>
      <c r="M132" s="11" t="s">
        <v>71</v>
      </c>
      <c r="N132" s="11" t="s">
        <v>68</v>
      </c>
      <c r="O132" s="14"/>
      <c r="P132" s="14"/>
      <c r="Q132" s="14"/>
      <c r="R132" s="14"/>
      <c r="S132" s="14"/>
      <c r="T132" s="14"/>
      <c r="U132" s="14"/>
      <c r="V132" s="14"/>
      <c r="W132" s="14"/>
      <c r="X132" s="14"/>
      <c r="Y132" s="14"/>
      <c r="Z132" s="14"/>
      <c r="AA132" s="14"/>
      <c r="AB132" s="14"/>
      <c r="AC132" s="14"/>
      <c r="AD132" s="12"/>
      <c r="AE132" s="12"/>
      <c r="AF132" s="12"/>
      <c r="AG132" s="25">
        <v>45398.0</v>
      </c>
      <c r="AH132" s="12"/>
      <c r="AI132" s="12"/>
      <c r="AJ132" s="12"/>
      <c r="AK132" s="11" t="s">
        <v>45</v>
      </c>
      <c r="AL132" s="27" t="s">
        <v>70</v>
      </c>
      <c r="AM132" s="11" t="s">
        <v>68</v>
      </c>
      <c r="AN132" s="11"/>
      <c r="AO132" s="8"/>
      <c r="AP132" s="8"/>
    </row>
    <row r="133">
      <c r="A133" s="11" t="s">
        <v>36</v>
      </c>
      <c r="B133" s="9">
        <v>45397.55091498843</v>
      </c>
      <c r="C133" s="10" t="s">
        <v>155</v>
      </c>
      <c r="D133" s="11" t="s">
        <v>394</v>
      </c>
      <c r="E133" s="11" t="s">
        <v>52</v>
      </c>
      <c r="F133" s="11" t="s">
        <v>65</v>
      </c>
      <c r="G133" s="11" t="s">
        <v>54</v>
      </c>
      <c r="H133" s="11" t="s">
        <v>47</v>
      </c>
      <c r="I133" s="11">
        <v>2800.0</v>
      </c>
      <c r="J133" s="11" t="s">
        <v>157</v>
      </c>
      <c r="K133" s="12"/>
      <c r="L133" s="11" t="s">
        <v>395</v>
      </c>
      <c r="M133" s="11" t="s">
        <v>71</v>
      </c>
      <c r="N133" s="11" t="s">
        <v>96</v>
      </c>
      <c r="O133" s="14"/>
      <c r="P133" s="14"/>
      <c r="Q133" s="14"/>
      <c r="R133" s="14"/>
      <c r="S133" s="14"/>
      <c r="T133" s="14"/>
      <c r="U133" s="14"/>
      <c r="V133" s="14"/>
      <c r="W133" s="14"/>
      <c r="X133" s="14"/>
      <c r="Y133" s="14"/>
      <c r="Z133" s="14"/>
      <c r="AA133" s="14"/>
      <c r="AB133" s="14"/>
      <c r="AC133" s="14"/>
      <c r="AD133" s="12"/>
      <c r="AE133" s="12"/>
      <c r="AF133" s="12"/>
      <c r="AG133" s="25">
        <v>45398.0</v>
      </c>
      <c r="AH133" s="12"/>
      <c r="AI133" s="12"/>
      <c r="AJ133" s="12"/>
      <c r="AK133" s="11" t="s">
        <v>329</v>
      </c>
      <c r="AL133" s="13" t="s">
        <v>44</v>
      </c>
      <c r="AM133" s="11" t="s">
        <v>96</v>
      </c>
      <c r="AN133" s="11"/>
      <c r="AO133" s="8"/>
      <c r="AP133" s="8"/>
    </row>
    <row r="134">
      <c r="A134" s="11" t="s">
        <v>36</v>
      </c>
      <c r="B134" s="9">
        <v>45397.57199943287</v>
      </c>
      <c r="C134" s="10" t="s">
        <v>396</v>
      </c>
      <c r="D134" s="11" t="s">
        <v>142</v>
      </c>
      <c r="E134" s="11" t="s">
        <v>52</v>
      </c>
      <c r="F134" s="11" t="s">
        <v>60</v>
      </c>
      <c r="G134" s="11" t="s">
        <v>54</v>
      </c>
      <c r="H134" s="83" t="s">
        <v>127</v>
      </c>
      <c r="I134" s="11" t="s">
        <v>397</v>
      </c>
      <c r="J134" s="11" t="s">
        <v>100</v>
      </c>
      <c r="K134" s="12"/>
      <c r="L134" s="24" t="s">
        <v>398</v>
      </c>
      <c r="M134" s="11" t="s">
        <v>71</v>
      </c>
      <c r="N134" s="11" t="s">
        <v>96</v>
      </c>
      <c r="O134" s="14"/>
      <c r="P134" s="14"/>
      <c r="Q134" s="14"/>
      <c r="R134" s="14"/>
      <c r="S134" s="14"/>
      <c r="T134" s="14"/>
      <c r="U134" s="14"/>
      <c r="V134" s="14"/>
      <c r="W134" s="14"/>
      <c r="X134" s="14"/>
      <c r="Y134" s="14"/>
      <c r="Z134" s="14"/>
      <c r="AA134" s="14"/>
      <c r="AB134" s="14"/>
      <c r="AC134" s="14"/>
      <c r="AD134" s="12"/>
      <c r="AE134" s="12"/>
      <c r="AF134" s="12"/>
      <c r="AG134" s="25">
        <v>45398.0</v>
      </c>
      <c r="AH134" s="12"/>
      <c r="AI134" s="12"/>
      <c r="AJ134" s="12"/>
      <c r="AK134" s="11" t="s">
        <v>45</v>
      </c>
      <c r="AL134" s="13" t="s">
        <v>44</v>
      </c>
      <c r="AM134" s="11" t="s">
        <v>96</v>
      </c>
      <c r="AN134" s="11"/>
      <c r="AO134" s="8"/>
      <c r="AP134" s="8"/>
    </row>
    <row r="135">
      <c r="A135" s="20" t="s">
        <v>36</v>
      </c>
      <c r="B135" s="18">
        <v>45397.593696689815</v>
      </c>
      <c r="C135" s="19" t="s">
        <v>368</v>
      </c>
      <c r="D135" s="20" t="s">
        <v>142</v>
      </c>
      <c r="E135" s="20" t="s">
        <v>52</v>
      </c>
      <c r="F135" s="20" t="s">
        <v>40</v>
      </c>
      <c r="G135" s="20" t="s">
        <v>54</v>
      </c>
      <c r="H135" s="20" t="s">
        <v>61</v>
      </c>
      <c r="I135" s="20">
        <v>299.99</v>
      </c>
      <c r="J135" s="20" t="s">
        <v>102</v>
      </c>
      <c r="K135" s="29" t="s">
        <v>399</v>
      </c>
      <c r="L135" s="85" t="s">
        <v>400</v>
      </c>
      <c r="M135" s="20" t="s">
        <v>71</v>
      </c>
      <c r="N135" s="20" t="s">
        <v>96</v>
      </c>
      <c r="O135" s="22"/>
      <c r="P135" s="22"/>
      <c r="Q135" s="22"/>
      <c r="R135" s="22"/>
      <c r="S135" s="22"/>
      <c r="T135" s="22"/>
      <c r="U135" s="22"/>
      <c r="V135" s="22"/>
      <c r="W135" s="22"/>
      <c r="X135" s="22"/>
      <c r="Y135" s="22"/>
      <c r="Z135" s="22"/>
      <c r="AA135" s="22"/>
      <c r="AB135" s="22"/>
      <c r="AC135" s="22"/>
      <c r="AD135" s="21"/>
      <c r="AE135" s="21"/>
      <c r="AF135" s="21"/>
      <c r="AG135" s="110">
        <v>45398.0</v>
      </c>
      <c r="AH135" s="21"/>
      <c r="AI135" s="21"/>
      <c r="AJ135" s="21"/>
      <c r="AK135" s="20" t="s">
        <v>230</v>
      </c>
      <c r="AL135" s="13" t="s">
        <v>44</v>
      </c>
      <c r="AM135" s="20" t="s">
        <v>96</v>
      </c>
      <c r="AN135" s="20"/>
      <c r="AO135" s="17"/>
      <c r="AP135" s="17"/>
    </row>
    <row r="136">
      <c r="A136" s="11" t="s">
        <v>36</v>
      </c>
      <c r="B136" s="9">
        <v>45397.629443020836</v>
      </c>
      <c r="C136" s="10" t="s">
        <v>188</v>
      </c>
      <c r="D136" s="11" t="s">
        <v>142</v>
      </c>
      <c r="E136" s="11" t="s">
        <v>52</v>
      </c>
      <c r="F136" s="11" t="s">
        <v>65</v>
      </c>
      <c r="G136" s="11" t="s">
        <v>54</v>
      </c>
      <c r="H136" s="39" t="s">
        <v>127</v>
      </c>
      <c r="I136" s="71">
        <v>9500.0</v>
      </c>
      <c r="J136" s="11" t="s">
        <v>189</v>
      </c>
      <c r="K136" s="12"/>
      <c r="L136" s="24" t="s">
        <v>401</v>
      </c>
      <c r="M136" s="11" t="s">
        <v>71</v>
      </c>
      <c r="N136" s="11" t="s">
        <v>68</v>
      </c>
      <c r="O136" s="14"/>
      <c r="P136" s="14"/>
      <c r="Q136" s="14"/>
      <c r="R136" s="14"/>
      <c r="S136" s="14"/>
      <c r="T136" s="14"/>
      <c r="U136" s="14"/>
      <c r="V136" s="14"/>
      <c r="W136" s="14"/>
      <c r="X136" s="14"/>
      <c r="Y136" s="14"/>
      <c r="Z136" s="14"/>
      <c r="AA136" s="14"/>
      <c r="AB136" s="14"/>
      <c r="AC136" s="14"/>
      <c r="AD136" s="12"/>
      <c r="AE136" s="12"/>
      <c r="AF136" s="12"/>
      <c r="AG136" s="25">
        <v>45398.0</v>
      </c>
      <c r="AH136" s="12"/>
      <c r="AI136" s="12"/>
      <c r="AJ136" s="12"/>
      <c r="AK136" s="11" t="s">
        <v>45</v>
      </c>
      <c r="AL136" s="27" t="s">
        <v>70</v>
      </c>
      <c r="AM136" s="11" t="s">
        <v>68</v>
      </c>
      <c r="AN136" s="11"/>
      <c r="AO136" s="8"/>
      <c r="AP136" s="8"/>
    </row>
    <row r="137">
      <c r="A137" s="11" t="s">
        <v>36</v>
      </c>
      <c r="B137" s="9">
        <v>45397.65714277778</v>
      </c>
      <c r="C137" s="10" t="s">
        <v>333</v>
      </c>
      <c r="D137" s="11" t="s">
        <v>334</v>
      </c>
      <c r="E137" s="11" t="s">
        <v>52</v>
      </c>
      <c r="F137" s="11" t="s">
        <v>80</v>
      </c>
      <c r="G137" s="11" t="s">
        <v>41</v>
      </c>
      <c r="H137" s="11" t="s">
        <v>277</v>
      </c>
      <c r="I137" s="71">
        <v>260.0</v>
      </c>
      <c r="J137" s="11" t="s">
        <v>102</v>
      </c>
      <c r="K137" s="12"/>
      <c r="L137" s="11" t="s">
        <v>402</v>
      </c>
      <c r="M137" s="11" t="s">
        <v>71</v>
      </c>
      <c r="N137" s="11" t="s">
        <v>96</v>
      </c>
      <c r="O137" s="14"/>
      <c r="P137" s="14"/>
      <c r="Q137" s="14"/>
      <c r="R137" s="14"/>
      <c r="S137" s="14"/>
      <c r="T137" s="14"/>
      <c r="U137" s="14"/>
      <c r="V137" s="14"/>
      <c r="W137" s="14"/>
      <c r="X137" s="14"/>
      <c r="Y137" s="14"/>
      <c r="Z137" s="14"/>
      <c r="AA137" s="14"/>
      <c r="AB137" s="14"/>
      <c r="AC137" s="14"/>
      <c r="AD137" s="12"/>
      <c r="AE137" s="12"/>
      <c r="AF137" s="12"/>
      <c r="AG137" s="78">
        <v>45398.0</v>
      </c>
      <c r="AH137" s="12"/>
      <c r="AI137" s="12"/>
      <c r="AJ137" s="12"/>
      <c r="AK137" s="11" t="s">
        <v>45</v>
      </c>
      <c r="AL137" s="13" t="s">
        <v>44</v>
      </c>
      <c r="AM137" s="11" t="s">
        <v>96</v>
      </c>
      <c r="AN137" s="11"/>
      <c r="AO137" s="8"/>
      <c r="AP137" s="8"/>
    </row>
    <row r="138">
      <c r="A138" s="11" t="s">
        <v>36</v>
      </c>
      <c r="B138" s="9">
        <v>45398.3876428125</v>
      </c>
      <c r="C138" s="10" t="s">
        <v>37</v>
      </c>
      <c r="D138" s="11" t="s">
        <v>51</v>
      </c>
      <c r="E138" s="11" t="s">
        <v>52</v>
      </c>
      <c r="F138" s="11" t="s">
        <v>65</v>
      </c>
      <c r="G138" s="11" t="s">
        <v>60</v>
      </c>
      <c r="H138" s="11" t="s">
        <v>61</v>
      </c>
      <c r="I138" s="11" t="s">
        <v>403</v>
      </c>
      <c r="J138" s="11" t="s">
        <v>404</v>
      </c>
      <c r="K138" s="12"/>
      <c r="L138" s="11" t="s">
        <v>405</v>
      </c>
      <c r="M138" s="11" t="s">
        <v>71</v>
      </c>
      <c r="N138" s="13" t="s">
        <v>44</v>
      </c>
      <c r="O138" s="14"/>
      <c r="P138" s="14"/>
      <c r="Q138" s="14"/>
      <c r="R138" s="14"/>
      <c r="S138" s="14"/>
      <c r="T138" s="14"/>
      <c r="U138" s="14"/>
      <c r="V138" s="14"/>
      <c r="W138" s="14"/>
      <c r="X138" s="14"/>
      <c r="Y138" s="14"/>
      <c r="Z138" s="14"/>
      <c r="AA138" s="14"/>
      <c r="AB138" s="14"/>
      <c r="AC138" s="14"/>
      <c r="AD138" s="12"/>
      <c r="AE138" s="12"/>
      <c r="AF138" s="12"/>
      <c r="AG138" s="25">
        <v>45399.0</v>
      </c>
      <c r="AH138" s="12"/>
      <c r="AI138" s="12"/>
      <c r="AJ138" s="12"/>
      <c r="AK138" s="11" t="s">
        <v>329</v>
      </c>
      <c r="AL138" s="13" t="s">
        <v>44</v>
      </c>
      <c r="AM138" s="13" t="s">
        <v>44</v>
      </c>
      <c r="AN138" s="11" t="s">
        <v>406</v>
      </c>
      <c r="AO138" s="15"/>
      <c r="AP138" s="15"/>
    </row>
    <row r="139">
      <c r="A139" s="11" t="s">
        <v>36</v>
      </c>
      <c r="B139" s="9">
        <v>45398.443094675924</v>
      </c>
      <c r="C139" s="10" t="s">
        <v>407</v>
      </c>
      <c r="D139" s="11" t="s">
        <v>202</v>
      </c>
      <c r="E139" s="11" t="s">
        <v>138</v>
      </c>
      <c r="F139" s="11" t="s">
        <v>139</v>
      </c>
      <c r="G139" s="11" t="s">
        <v>54</v>
      </c>
      <c r="H139" s="11" t="s">
        <v>47</v>
      </c>
      <c r="I139" s="11" t="s">
        <v>408</v>
      </c>
      <c r="J139" s="11" t="s">
        <v>383</v>
      </c>
      <c r="K139" s="28" t="s">
        <v>409</v>
      </c>
      <c r="L139" s="11" t="s">
        <v>410</v>
      </c>
      <c r="M139" s="11" t="s">
        <v>71</v>
      </c>
      <c r="N139" s="13" t="s">
        <v>44</v>
      </c>
      <c r="O139" s="14"/>
      <c r="P139" s="14"/>
      <c r="Q139" s="14"/>
      <c r="R139" s="14"/>
      <c r="S139" s="14"/>
      <c r="T139" s="14"/>
      <c r="U139" s="14"/>
      <c r="V139" s="14"/>
      <c r="W139" s="14"/>
      <c r="X139" s="14"/>
      <c r="Y139" s="14"/>
      <c r="Z139" s="14"/>
      <c r="AA139" s="14"/>
      <c r="AB139" s="14"/>
      <c r="AC139" s="14"/>
      <c r="AD139" s="12"/>
      <c r="AE139" s="12"/>
      <c r="AF139" s="12"/>
      <c r="AG139" s="25">
        <v>45399.0</v>
      </c>
      <c r="AH139" s="12"/>
      <c r="AI139" s="12"/>
      <c r="AJ139" s="12"/>
      <c r="AK139" s="11" t="s">
        <v>329</v>
      </c>
      <c r="AL139" s="13" t="s">
        <v>44</v>
      </c>
      <c r="AM139" s="13" t="s">
        <v>44</v>
      </c>
      <c r="AN139" s="11"/>
      <c r="AO139" s="15"/>
      <c r="AP139" s="15"/>
    </row>
    <row r="140">
      <c r="A140" s="20" t="s">
        <v>36</v>
      </c>
      <c r="B140" s="18">
        <v>45399.50163643519</v>
      </c>
      <c r="C140" s="19" t="s">
        <v>411</v>
      </c>
      <c r="D140" s="20" t="s">
        <v>142</v>
      </c>
      <c r="E140" s="20" t="s">
        <v>138</v>
      </c>
      <c r="F140" s="20" t="s">
        <v>65</v>
      </c>
      <c r="G140" s="20" t="s">
        <v>54</v>
      </c>
      <c r="H140" s="20" t="s">
        <v>61</v>
      </c>
      <c r="I140" s="20">
        <v>584.0</v>
      </c>
      <c r="J140" s="20" t="s">
        <v>412</v>
      </c>
      <c r="K140" s="21"/>
      <c r="L140" s="85" t="s">
        <v>413</v>
      </c>
      <c r="M140" s="20" t="s">
        <v>71</v>
      </c>
      <c r="N140" s="20" t="s">
        <v>96</v>
      </c>
      <c r="O140" s="22"/>
      <c r="P140" s="22"/>
      <c r="Q140" s="22"/>
      <c r="R140" s="22"/>
      <c r="S140" s="22"/>
      <c r="T140" s="22"/>
      <c r="U140" s="22"/>
      <c r="V140" s="22"/>
      <c r="W140" s="22"/>
      <c r="X140" s="22"/>
      <c r="Y140" s="22"/>
      <c r="Z140" s="22"/>
      <c r="AA140" s="22"/>
      <c r="AB140" s="22"/>
      <c r="AC140" s="22"/>
      <c r="AD140" s="21"/>
      <c r="AE140" s="21"/>
      <c r="AF140" s="21"/>
      <c r="AG140" s="48">
        <v>45399.0</v>
      </c>
      <c r="AH140" s="21"/>
      <c r="AI140" s="21"/>
      <c r="AJ140" s="21"/>
      <c r="AK140" s="20" t="s">
        <v>381</v>
      </c>
      <c r="AL140" s="13" t="s">
        <v>44</v>
      </c>
      <c r="AM140" s="20" t="s">
        <v>96</v>
      </c>
      <c r="AN140" s="20" t="s">
        <v>71</v>
      </c>
      <c r="AO140" s="17" t="b">
        <v>1</v>
      </c>
      <c r="AP140" s="17"/>
    </row>
    <row r="141">
      <c r="A141" s="11" t="s">
        <v>36</v>
      </c>
      <c r="B141" s="9">
        <v>45399.53264427083</v>
      </c>
      <c r="C141" s="10" t="s">
        <v>414</v>
      </c>
      <c r="D141" s="11" t="s">
        <v>109</v>
      </c>
      <c r="E141" s="11" t="s">
        <v>52</v>
      </c>
      <c r="F141" s="11" t="s">
        <v>210</v>
      </c>
      <c r="G141" s="11" t="s">
        <v>54</v>
      </c>
      <c r="H141" s="11" t="s">
        <v>277</v>
      </c>
      <c r="I141" s="71">
        <v>260.0</v>
      </c>
      <c r="J141" s="11" t="s">
        <v>102</v>
      </c>
      <c r="K141" s="12"/>
      <c r="L141" s="11" t="s">
        <v>415</v>
      </c>
      <c r="M141" s="11" t="s">
        <v>71</v>
      </c>
      <c r="N141" s="11" t="s">
        <v>96</v>
      </c>
      <c r="O141" s="14"/>
      <c r="P141" s="14"/>
      <c r="Q141" s="14"/>
      <c r="R141" s="14"/>
      <c r="S141" s="14"/>
      <c r="T141" s="14"/>
      <c r="U141" s="14"/>
      <c r="V141" s="14"/>
      <c r="W141" s="14"/>
      <c r="X141" s="14"/>
      <c r="Y141" s="14"/>
      <c r="Z141" s="14"/>
      <c r="AA141" s="14"/>
      <c r="AB141" s="14"/>
      <c r="AC141" s="14"/>
      <c r="AD141" s="12"/>
      <c r="AE141" s="12"/>
      <c r="AF141" s="12"/>
      <c r="AG141" s="25">
        <v>45399.0</v>
      </c>
      <c r="AH141" s="12"/>
      <c r="AI141" s="12"/>
      <c r="AJ141" s="12"/>
      <c r="AK141" s="11" t="s">
        <v>329</v>
      </c>
      <c r="AL141" s="13" t="s">
        <v>44</v>
      </c>
      <c r="AM141" s="11" t="s">
        <v>96</v>
      </c>
      <c r="AN141" s="11"/>
      <c r="AO141" s="8"/>
      <c r="AP141" s="8"/>
    </row>
    <row r="142">
      <c r="A142" s="11" t="s">
        <v>36</v>
      </c>
      <c r="B142" s="9">
        <v>45399.61567569444</v>
      </c>
      <c r="C142" s="10" t="s">
        <v>416</v>
      </c>
      <c r="D142" s="11" t="s">
        <v>260</v>
      </c>
      <c r="E142" s="11" t="s">
        <v>138</v>
      </c>
      <c r="F142" s="11" t="s">
        <v>65</v>
      </c>
      <c r="G142" s="11" t="s">
        <v>54</v>
      </c>
      <c r="H142" s="11" t="s">
        <v>417</v>
      </c>
      <c r="I142" s="11">
        <v>525.0</v>
      </c>
      <c r="J142" s="11" t="s">
        <v>418</v>
      </c>
      <c r="K142" s="12"/>
      <c r="L142" s="11" t="s">
        <v>419</v>
      </c>
      <c r="M142" s="11" t="s">
        <v>71</v>
      </c>
      <c r="N142" s="11" t="s">
        <v>68</v>
      </c>
      <c r="O142" s="14"/>
      <c r="P142" s="14"/>
      <c r="Q142" s="14"/>
      <c r="R142" s="14"/>
      <c r="S142" s="14"/>
      <c r="T142" s="14"/>
      <c r="U142" s="14"/>
      <c r="V142" s="14"/>
      <c r="W142" s="14"/>
      <c r="X142" s="14"/>
      <c r="Y142" s="14"/>
      <c r="Z142" s="14"/>
      <c r="AA142" s="14"/>
      <c r="AB142" s="14"/>
      <c r="AC142" s="14"/>
      <c r="AD142" s="12"/>
      <c r="AE142" s="12"/>
      <c r="AF142" s="12"/>
      <c r="AG142" s="25">
        <v>45399.0</v>
      </c>
      <c r="AH142" s="12"/>
      <c r="AI142" s="12"/>
      <c r="AJ142" s="12"/>
      <c r="AK142" s="11" t="s">
        <v>329</v>
      </c>
      <c r="AL142" s="27" t="s">
        <v>70</v>
      </c>
      <c r="AM142" s="11" t="s">
        <v>68</v>
      </c>
      <c r="AN142" s="11"/>
      <c r="AO142" s="8"/>
      <c r="AP142" s="15"/>
    </row>
    <row r="143">
      <c r="A143" s="11" t="s">
        <v>36</v>
      </c>
      <c r="B143" s="9">
        <v>45400.31859121528</v>
      </c>
      <c r="C143" s="10" t="s">
        <v>148</v>
      </c>
      <c r="D143" s="11" t="s">
        <v>51</v>
      </c>
      <c r="E143" s="11" t="s">
        <v>149</v>
      </c>
      <c r="F143" s="11" t="s">
        <v>40</v>
      </c>
      <c r="G143" s="11" t="s">
        <v>41</v>
      </c>
      <c r="H143" s="11" t="s">
        <v>47</v>
      </c>
      <c r="I143" s="11" t="s">
        <v>420</v>
      </c>
      <c r="J143" s="11" t="s">
        <v>100</v>
      </c>
      <c r="K143" s="12"/>
      <c r="L143" s="24" t="s">
        <v>421</v>
      </c>
      <c r="M143" s="11" t="s">
        <v>71</v>
      </c>
      <c r="N143" s="11" t="s">
        <v>96</v>
      </c>
      <c r="O143" s="14"/>
      <c r="P143" s="14"/>
      <c r="Q143" s="14"/>
      <c r="R143" s="14"/>
      <c r="S143" s="14"/>
      <c r="T143" s="14"/>
      <c r="U143" s="14"/>
      <c r="V143" s="14"/>
      <c r="W143" s="14"/>
      <c r="X143" s="14"/>
      <c r="Y143" s="14"/>
      <c r="Z143" s="14"/>
      <c r="AA143" s="14"/>
      <c r="AB143" s="14"/>
      <c r="AC143" s="14"/>
      <c r="AD143" s="12"/>
      <c r="AE143" s="12"/>
      <c r="AF143" s="12"/>
      <c r="AG143" s="25">
        <v>45399.0</v>
      </c>
      <c r="AH143" s="12"/>
      <c r="AI143" s="12"/>
      <c r="AJ143" s="12"/>
      <c r="AK143" s="11" t="s">
        <v>329</v>
      </c>
      <c r="AL143" s="13" t="s">
        <v>44</v>
      </c>
      <c r="AM143" s="11" t="s">
        <v>96</v>
      </c>
      <c r="AN143" s="11"/>
      <c r="AO143" s="8"/>
      <c r="AP143" s="8"/>
    </row>
    <row r="144">
      <c r="A144" s="11" t="s">
        <v>36</v>
      </c>
      <c r="B144" s="9">
        <v>45400.37037896991</v>
      </c>
      <c r="C144" s="10" t="s">
        <v>416</v>
      </c>
      <c r="D144" s="11" t="s">
        <v>260</v>
      </c>
      <c r="E144" s="11" t="s">
        <v>138</v>
      </c>
      <c r="F144" s="11" t="s">
        <v>65</v>
      </c>
      <c r="G144" s="11" t="s">
        <v>54</v>
      </c>
      <c r="H144" s="11" t="s">
        <v>61</v>
      </c>
      <c r="I144" s="11" t="s">
        <v>422</v>
      </c>
      <c r="J144" s="11" t="s">
        <v>418</v>
      </c>
      <c r="K144" s="12"/>
      <c r="L144" s="24" t="s">
        <v>423</v>
      </c>
      <c r="M144" s="11" t="s">
        <v>71</v>
      </c>
      <c r="N144" s="11" t="s">
        <v>68</v>
      </c>
      <c r="O144" s="14"/>
      <c r="P144" s="14"/>
      <c r="Q144" s="14"/>
      <c r="R144" s="14"/>
      <c r="S144" s="14"/>
      <c r="T144" s="14"/>
      <c r="U144" s="14"/>
      <c r="V144" s="14"/>
      <c r="W144" s="14"/>
      <c r="X144" s="14"/>
      <c r="Y144" s="14"/>
      <c r="Z144" s="14"/>
      <c r="AA144" s="14"/>
      <c r="AB144" s="14"/>
      <c r="AC144" s="14"/>
      <c r="AD144" s="12"/>
      <c r="AE144" s="12"/>
      <c r="AF144" s="12"/>
      <c r="AG144" s="25">
        <v>45399.0</v>
      </c>
      <c r="AH144" s="12"/>
      <c r="AI144" s="12"/>
      <c r="AJ144" s="12"/>
      <c r="AK144" s="11" t="s">
        <v>329</v>
      </c>
      <c r="AL144" s="27" t="s">
        <v>70</v>
      </c>
      <c r="AM144" s="11" t="s">
        <v>68</v>
      </c>
      <c r="AN144" s="11"/>
      <c r="AO144" s="8"/>
      <c r="AP144" s="8"/>
    </row>
    <row r="145">
      <c r="A145" s="34" t="s">
        <v>36</v>
      </c>
      <c r="B145" s="32">
        <v>45400.46556892361</v>
      </c>
      <c r="C145" s="33" t="s">
        <v>123</v>
      </c>
      <c r="D145" s="34" t="s">
        <v>124</v>
      </c>
      <c r="E145" s="34" t="s">
        <v>52</v>
      </c>
      <c r="F145" s="34" t="s">
        <v>65</v>
      </c>
      <c r="G145" s="34" t="s">
        <v>41</v>
      </c>
      <c r="H145" s="34" t="s">
        <v>89</v>
      </c>
      <c r="I145" s="103">
        <v>8400.0</v>
      </c>
      <c r="J145" s="34" t="s">
        <v>118</v>
      </c>
      <c r="K145" s="35"/>
      <c r="L145" s="35"/>
      <c r="M145" s="34" t="s">
        <v>71</v>
      </c>
      <c r="N145" s="13" t="s">
        <v>44</v>
      </c>
      <c r="O145" s="111"/>
      <c r="P145" s="111"/>
      <c r="Q145" s="111"/>
      <c r="R145" s="111"/>
      <c r="S145" s="111"/>
      <c r="T145" s="111"/>
      <c r="U145" s="111"/>
      <c r="V145" s="111"/>
      <c r="W145" s="111"/>
      <c r="X145" s="111"/>
      <c r="Y145" s="111"/>
      <c r="Z145" s="111"/>
      <c r="AA145" s="111"/>
      <c r="AB145" s="111"/>
      <c r="AC145" s="111"/>
      <c r="AD145" s="35"/>
      <c r="AE145" s="35"/>
      <c r="AF145" s="35"/>
      <c r="AG145" s="112">
        <v>45401.0</v>
      </c>
      <c r="AH145" s="35"/>
      <c r="AI145" s="35"/>
      <c r="AJ145" s="35"/>
      <c r="AK145" s="34" t="s">
        <v>45</v>
      </c>
      <c r="AL145" s="13" t="s">
        <v>44</v>
      </c>
      <c r="AM145" s="13" t="s">
        <v>44</v>
      </c>
      <c r="AN145" s="34"/>
      <c r="AO145" s="15"/>
      <c r="AP145" s="15"/>
    </row>
    <row r="146">
      <c r="A146" s="11" t="s">
        <v>36</v>
      </c>
      <c r="B146" s="9">
        <v>45400.49746182871</v>
      </c>
      <c r="C146" s="10" t="s">
        <v>424</v>
      </c>
      <c r="D146" s="11" t="s">
        <v>109</v>
      </c>
      <c r="E146" s="11" t="s">
        <v>138</v>
      </c>
      <c r="F146" s="11" t="s">
        <v>65</v>
      </c>
      <c r="G146" s="11" t="s">
        <v>41</v>
      </c>
      <c r="H146" s="11" t="s">
        <v>47</v>
      </c>
      <c r="I146" s="11" t="s">
        <v>425</v>
      </c>
      <c r="J146" s="11" t="s">
        <v>262</v>
      </c>
      <c r="K146" s="12"/>
      <c r="L146" s="11" t="s">
        <v>426</v>
      </c>
      <c r="M146" s="11" t="s">
        <v>71</v>
      </c>
      <c r="N146" s="11" t="s">
        <v>68</v>
      </c>
      <c r="O146" s="14"/>
      <c r="P146" s="14"/>
      <c r="Q146" s="14"/>
      <c r="R146" s="14"/>
      <c r="S146" s="14"/>
      <c r="T146" s="14"/>
      <c r="U146" s="14"/>
      <c r="V146" s="14"/>
      <c r="W146" s="14"/>
      <c r="X146" s="14"/>
      <c r="Y146" s="14"/>
      <c r="Z146" s="14"/>
      <c r="AA146" s="14"/>
      <c r="AB146" s="14"/>
      <c r="AC146" s="14"/>
      <c r="AD146" s="12"/>
      <c r="AE146" s="12"/>
      <c r="AF146" s="12"/>
      <c r="AG146" s="78">
        <v>45400.0</v>
      </c>
      <c r="AH146" s="12"/>
      <c r="AI146" s="12"/>
      <c r="AJ146" s="12"/>
      <c r="AK146" s="11" t="s">
        <v>45</v>
      </c>
      <c r="AL146" s="27" t="s">
        <v>70</v>
      </c>
      <c r="AM146" s="11" t="s">
        <v>68</v>
      </c>
      <c r="AN146" s="11"/>
      <c r="AO146" s="8"/>
      <c r="AP146" s="8"/>
    </row>
    <row r="147">
      <c r="A147" s="11" t="s">
        <v>36</v>
      </c>
      <c r="B147" s="9">
        <v>45400.570311724536</v>
      </c>
      <c r="C147" s="10" t="s">
        <v>427</v>
      </c>
      <c r="D147" s="11" t="s">
        <v>51</v>
      </c>
      <c r="E147" s="11" t="s">
        <v>52</v>
      </c>
      <c r="F147" s="11" t="s">
        <v>65</v>
      </c>
      <c r="G147" s="11" t="s">
        <v>41</v>
      </c>
      <c r="H147" s="11" t="s">
        <v>47</v>
      </c>
      <c r="I147" s="11" t="s">
        <v>428</v>
      </c>
      <c r="J147" s="11" t="s">
        <v>184</v>
      </c>
      <c r="K147" s="28" t="s">
        <v>429</v>
      </c>
      <c r="L147" s="11" t="s">
        <v>430</v>
      </c>
      <c r="M147" s="11" t="s">
        <v>71</v>
      </c>
      <c r="N147" s="11" t="s">
        <v>96</v>
      </c>
      <c r="O147" s="14"/>
      <c r="P147" s="14"/>
      <c r="Q147" s="14"/>
      <c r="R147" s="14"/>
      <c r="S147" s="14"/>
      <c r="T147" s="14"/>
      <c r="U147" s="14"/>
      <c r="V147" s="14"/>
      <c r="W147" s="14"/>
      <c r="X147" s="14"/>
      <c r="Y147" s="14"/>
      <c r="Z147" s="14"/>
      <c r="AA147" s="14"/>
      <c r="AB147" s="14"/>
      <c r="AC147" s="14"/>
      <c r="AD147" s="12"/>
      <c r="AE147" s="12"/>
      <c r="AF147" s="12"/>
      <c r="AG147" s="78">
        <v>45401.0</v>
      </c>
      <c r="AH147" s="12"/>
      <c r="AI147" s="12"/>
      <c r="AJ147" s="12"/>
      <c r="AK147" s="11" t="s">
        <v>45</v>
      </c>
      <c r="AL147" s="13" t="s">
        <v>44</v>
      </c>
      <c r="AM147" s="11" t="s">
        <v>96</v>
      </c>
      <c r="AN147" s="11"/>
      <c r="AO147" s="8"/>
      <c r="AP147" s="8"/>
    </row>
    <row r="148">
      <c r="A148" s="11" t="s">
        <v>36</v>
      </c>
      <c r="B148" s="9">
        <v>45400.651175625</v>
      </c>
      <c r="C148" s="10" t="s">
        <v>431</v>
      </c>
      <c r="D148" s="11" t="s">
        <v>51</v>
      </c>
      <c r="E148" s="11" t="s">
        <v>52</v>
      </c>
      <c r="F148" s="11" t="s">
        <v>210</v>
      </c>
      <c r="G148" s="11" t="s">
        <v>54</v>
      </c>
      <c r="H148" s="11" t="s">
        <v>47</v>
      </c>
      <c r="I148" s="11" t="s">
        <v>432</v>
      </c>
      <c r="J148" s="11" t="s">
        <v>433</v>
      </c>
      <c r="K148" s="12"/>
      <c r="L148" s="11" t="s">
        <v>434</v>
      </c>
      <c r="M148" s="11" t="s">
        <v>71</v>
      </c>
      <c r="N148" s="11" t="s">
        <v>68</v>
      </c>
      <c r="O148" s="14"/>
      <c r="P148" s="14"/>
      <c r="Q148" s="14"/>
      <c r="R148" s="14"/>
      <c r="S148" s="14"/>
      <c r="T148" s="14"/>
      <c r="U148" s="14"/>
      <c r="V148" s="14"/>
      <c r="W148" s="14"/>
      <c r="X148" s="14"/>
      <c r="Y148" s="14"/>
      <c r="Z148" s="14"/>
      <c r="AA148" s="14"/>
      <c r="AB148" s="14"/>
      <c r="AC148" s="14"/>
      <c r="AD148" s="12"/>
      <c r="AE148" s="12"/>
      <c r="AF148" s="12"/>
      <c r="AG148" s="78">
        <v>45401.0</v>
      </c>
      <c r="AH148" s="12"/>
      <c r="AI148" s="12"/>
      <c r="AJ148" s="12"/>
      <c r="AK148" s="11" t="s">
        <v>45</v>
      </c>
      <c r="AL148" s="27" t="s">
        <v>70</v>
      </c>
      <c r="AM148" s="11" t="s">
        <v>68</v>
      </c>
      <c r="AN148" s="11"/>
      <c r="AO148" s="8"/>
      <c r="AP148" s="8"/>
    </row>
    <row r="149">
      <c r="A149" s="34" t="s">
        <v>36</v>
      </c>
      <c r="B149" s="32">
        <v>45401.298592245366</v>
      </c>
      <c r="C149" s="33" t="s">
        <v>94</v>
      </c>
      <c r="D149" s="34" t="s">
        <v>51</v>
      </c>
      <c r="E149" s="34" t="s">
        <v>52</v>
      </c>
      <c r="F149" s="34" t="s">
        <v>65</v>
      </c>
      <c r="G149" s="34" t="s">
        <v>54</v>
      </c>
      <c r="H149" s="34" t="s">
        <v>99</v>
      </c>
      <c r="I149" s="103">
        <v>15000.0</v>
      </c>
      <c r="J149" s="34" t="s">
        <v>73</v>
      </c>
      <c r="K149" s="35"/>
      <c r="L149" s="35"/>
      <c r="M149" s="34" t="s">
        <v>71</v>
      </c>
      <c r="N149" s="13" t="s">
        <v>44</v>
      </c>
      <c r="O149" s="111"/>
      <c r="P149" s="111"/>
      <c r="Q149" s="111"/>
      <c r="R149" s="111"/>
      <c r="S149" s="111"/>
      <c r="T149" s="111"/>
      <c r="U149" s="111"/>
      <c r="V149" s="111"/>
      <c r="W149" s="111"/>
      <c r="X149" s="111"/>
      <c r="Y149" s="111"/>
      <c r="Z149" s="111"/>
      <c r="AA149" s="111"/>
      <c r="AB149" s="111"/>
      <c r="AC149" s="111"/>
      <c r="AD149" s="35"/>
      <c r="AE149" s="35"/>
      <c r="AF149" s="35"/>
      <c r="AG149" s="112">
        <v>45401.0</v>
      </c>
      <c r="AH149" s="35"/>
      <c r="AI149" s="35"/>
      <c r="AJ149" s="35"/>
      <c r="AK149" s="34" t="s">
        <v>435</v>
      </c>
      <c r="AL149" s="13" t="s">
        <v>44</v>
      </c>
      <c r="AM149" s="13" t="s">
        <v>44</v>
      </c>
      <c r="AN149" s="34" t="s">
        <v>324</v>
      </c>
      <c r="AO149" s="15" t="b">
        <v>0</v>
      </c>
      <c r="AP149" s="15"/>
    </row>
    <row r="150">
      <c r="A150" s="11" t="s">
        <v>36</v>
      </c>
      <c r="B150" s="9">
        <v>45401.35798195602</v>
      </c>
      <c r="C150" s="10" t="s">
        <v>436</v>
      </c>
      <c r="D150" s="11" t="s">
        <v>51</v>
      </c>
      <c r="E150" s="11" t="s">
        <v>52</v>
      </c>
      <c r="F150" s="11" t="s">
        <v>65</v>
      </c>
      <c r="G150" s="11" t="s">
        <v>41</v>
      </c>
      <c r="H150" s="11" t="s">
        <v>277</v>
      </c>
      <c r="I150" s="77">
        <v>286.0</v>
      </c>
      <c r="J150" s="11" t="s">
        <v>100</v>
      </c>
      <c r="K150" s="28" t="s">
        <v>437</v>
      </c>
      <c r="L150" s="11" t="s">
        <v>438</v>
      </c>
      <c r="M150" s="11" t="s">
        <v>71</v>
      </c>
      <c r="N150" s="13" t="s">
        <v>44</v>
      </c>
      <c r="O150" s="14"/>
      <c r="P150" s="14"/>
      <c r="Q150" s="14"/>
      <c r="R150" s="14"/>
      <c r="S150" s="14"/>
      <c r="T150" s="14"/>
      <c r="U150" s="14"/>
      <c r="V150" s="14"/>
      <c r="W150" s="14"/>
      <c r="X150" s="14"/>
      <c r="Y150" s="14"/>
      <c r="Z150" s="14"/>
      <c r="AA150" s="14"/>
      <c r="AB150" s="14"/>
      <c r="AC150" s="14"/>
      <c r="AD150" s="12"/>
      <c r="AE150" s="12"/>
      <c r="AF150" s="12"/>
      <c r="AG150" s="78">
        <v>45401.0</v>
      </c>
      <c r="AH150" s="12"/>
      <c r="AI150" s="12"/>
      <c r="AJ150" s="12"/>
      <c r="AK150" s="11" t="s">
        <v>45</v>
      </c>
      <c r="AL150" s="13" t="s">
        <v>44</v>
      </c>
      <c r="AM150" s="13" t="s">
        <v>44</v>
      </c>
      <c r="AN150" s="11"/>
      <c r="AO150" s="15"/>
      <c r="AP150" s="15"/>
    </row>
    <row r="151">
      <c r="A151" s="20" t="s">
        <v>36</v>
      </c>
      <c r="B151" s="18">
        <v>45401.633607372685</v>
      </c>
      <c r="C151" s="19" t="s">
        <v>123</v>
      </c>
      <c r="D151" s="20" t="s">
        <v>124</v>
      </c>
      <c r="E151" s="20" t="s">
        <v>52</v>
      </c>
      <c r="F151" s="20" t="s">
        <v>40</v>
      </c>
      <c r="G151" s="20" t="s">
        <v>41</v>
      </c>
      <c r="H151" s="20" t="s">
        <v>439</v>
      </c>
      <c r="I151" s="20" t="s">
        <v>440</v>
      </c>
      <c r="J151" s="20" t="s">
        <v>194</v>
      </c>
      <c r="K151" s="21"/>
      <c r="L151" s="85" t="s">
        <v>441</v>
      </c>
      <c r="M151" s="20" t="s">
        <v>71</v>
      </c>
      <c r="N151" s="13" t="s">
        <v>44</v>
      </c>
      <c r="O151" s="22"/>
      <c r="P151" s="22"/>
      <c r="Q151" s="22"/>
      <c r="R151" s="22"/>
      <c r="S151" s="22"/>
      <c r="T151" s="22"/>
      <c r="U151" s="22"/>
      <c r="V151" s="22"/>
      <c r="W151" s="22"/>
      <c r="X151" s="22"/>
      <c r="Y151" s="22"/>
      <c r="Z151" s="22"/>
      <c r="AA151" s="22"/>
      <c r="AB151" s="22"/>
      <c r="AC151" s="22"/>
      <c r="AD151" s="21"/>
      <c r="AE151" s="21"/>
      <c r="AF151" s="21"/>
      <c r="AG151" s="20" t="s">
        <v>442</v>
      </c>
      <c r="AH151" s="21"/>
      <c r="AI151" s="21"/>
      <c r="AJ151" s="21"/>
      <c r="AK151" s="20" t="s">
        <v>381</v>
      </c>
      <c r="AL151" s="13" t="s">
        <v>44</v>
      </c>
      <c r="AM151" s="13" t="s">
        <v>44</v>
      </c>
      <c r="AN151" s="20"/>
      <c r="AO151" s="15"/>
      <c r="AP151" s="15"/>
    </row>
    <row r="152">
      <c r="A152" s="11" t="s">
        <v>36</v>
      </c>
      <c r="B152" s="9">
        <v>45404.38495579861</v>
      </c>
      <c r="C152" s="10" t="s">
        <v>201</v>
      </c>
      <c r="D152" s="11" t="s">
        <v>202</v>
      </c>
      <c r="E152" s="11" t="s">
        <v>52</v>
      </c>
      <c r="F152" s="11" t="s">
        <v>443</v>
      </c>
      <c r="G152" s="11" t="s">
        <v>54</v>
      </c>
      <c r="H152" s="11" t="s">
        <v>277</v>
      </c>
      <c r="I152" s="11">
        <v>147.0</v>
      </c>
      <c r="J152" s="11" t="s">
        <v>102</v>
      </c>
      <c r="K152" s="12"/>
      <c r="L152" s="11" t="s">
        <v>444</v>
      </c>
      <c r="M152" s="11" t="s">
        <v>71</v>
      </c>
      <c r="N152" s="11" t="s">
        <v>96</v>
      </c>
      <c r="O152" s="14"/>
      <c r="P152" s="14"/>
      <c r="Q152" s="14"/>
      <c r="R152" s="14"/>
      <c r="S152" s="14"/>
      <c r="T152" s="14"/>
      <c r="U152" s="14"/>
      <c r="V152" s="14"/>
      <c r="W152" s="14"/>
      <c r="X152" s="14"/>
      <c r="Y152" s="14"/>
      <c r="Z152" s="14"/>
      <c r="AA152" s="14"/>
      <c r="AB152" s="14"/>
      <c r="AC152" s="14"/>
      <c r="AD152" s="12"/>
      <c r="AE152" s="12"/>
      <c r="AF152" s="12"/>
      <c r="AG152" s="11" t="s">
        <v>442</v>
      </c>
      <c r="AH152" s="12"/>
      <c r="AI152" s="12"/>
      <c r="AJ152" s="12"/>
      <c r="AK152" s="11" t="s">
        <v>45</v>
      </c>
      <c r="AL152" s="13" t="s">
        <v>44</v>
      </c>
      <c r="AM152" s="11" t="s">
        <v>96</v>
      </c>
      <c r="AN152" s="11"/>
      <c r="AO152" s="8"/>
      <c r="AP152" s="8"/>
    </row>
    <row r="153">
      <c r="A153" s="20" t="s">
        <v>36</v>
      </c>
      <c r="B153" s="18">
        <v>45405.306041180556</v>
      </c>
      <c r="C153" s="19" t="s">
        <v>445</v>
      </c>
      <c r="D153" s="20" t="s">
        <v>142</v>
      </c>
      <c r="E153" s="20" t="s">
        <v>138</v>
      </c>
      <c r="F153" s="20" t="s">
        <v>139</v>
      </c>
      <c r="G153" s="20" t="s">
        <v>54</v>
      </c>
      <c r="H153" s="20" t="s">
        <v>417</v>
      </c>
      <c r="I153" s="84">
        <v>525.0</v>
      </c>
      <c r="J153" s="20" t="s">
        <v>446</v>
      </c>
      <c r="K153" s="85" t="s">
        <v>447</v>
      </c>
      <c r="L153" s="85" t="s">
        <v>448</v>
      </c>
      <c r="M153" s="20" t="s">
        <v>71</v>
      </c>
      <c r="N153" s="20" t="s">
        <v>96</v>
      </c>
      <c r="O153" s="22"/>
      <c r="P153" s="22"/>
      <c r="Q153" s="22"/>
      <c r="R153" s="22"/>
      <c r="S153" s="22"/>
      <c r="T153" s="22"/>
      <c r="U153" s="22"/>
      <c r="V153" s="22"/>
      <c r="W153" s="22"/>
      <c r="X153" s="22"/>
      <c r="Y153" s="22"/>
      <c r="Z153" s="22"/>
      <c r="AA153" s="22"/>
      <c r="AB153" s="22"/>
      <c r="AC153" s="22"/>
      <c r="AD153" s="21"/>
      <c r="AE153" s="21"/>
      <c r="AF153" s="21"/>
      <c r="AG153" s="110">
        <v>45405.0</v>
      </c>
      <c r="AH153" s="21"/>
      <c r="AI153" s="21"/>
      <c r="AJ153" s="21"/>
      <c r="AK153" s="20" t="s">
        <v>381</v>
      </c>
      <c r="AL153" s="13" t="s">
        <v>44</v>
      </c>
      <c r="AM153" s="20" t="s">
        <v>96</v>
      </c>
      <c r="AN153" s="20"/>
      <c r="AO153" s="17"/>
      <c r="AP153" s="15"/>
    </row>
    <row r="154">
      <c r="A154" s="45" t="s">
        <v>177</v>
      </c>
      <c r="B154" s="43">
        <v>45405.424336412034</v>
      </c>
      <c r="C154" s="44" t="s">
        <v>449</v>
      </c>
      <c r="D154" s="45" t="s">
        <v>51</v>
      </c>
      <c r="E154" s="45" t="s">
        <v>52</v>
      </c>
      <c r="F154" s="45" t="s">
        <v>65</v>
      </c>
      <c r="G154" s="45" t="s">
        <v>131</v>
      </c>
      <c r="H154" s="45" t="s">
        <v>61</v>
      </c>
      <c r="I154" s="56" t="s">
        <v>450</v>
      </c>
      <c r="J154" s="45" t="s">
        <v>451</v>
      </c>
      <c r="K154" s="30"/>
      <c r="L154" s="45" t="s">
        <v>452</v>
      </c>
      <c r="M154" s="45" t="s">
        <v>71</v>
      </c>
      <c r="N154" s="13" t="s">
        <v>44</v>
      </c>
      <c r="O154" s="14"/>
      <c r="P154" s="14"/>
      <c r="Q154" s="14"/>
      <c r="R154" s="14"/>
      <c r="S154" s="14"/>
      <c r="T154" s="14"/>
      <c r="U154" s="14"/>
      <c r="V154" s="14"/>
      <c r="W154" s="14"/>
      <c r="X154" s="14"/>
      <c r="Y154" s="14"/>
      <c r="Z154" s="14"/>
      <c r="AA154" s="14"/>
      <c r="AB154" s="14"/>
      <c r="AC154" s="14"/>
      <c r="AD154" s="12"/>
      <c r="AE154" s="12"/>
      <c r="AF154" s="12"/>
      <c r="AG154" s="12"/>
      <c r="AH154" s="12"/>
      <c r="AI154" s="12"/>
      <c r="AJ154" s="12"/>
      <c r="AK154" s="11" t="s">
        <v>45</v>
      </c>
      <c r="AL154" s="13" t="s">
        <v>44</v>
      </c>
      <c r="AM154" s="13" t="s">
        <v>44</v>
      </c>
      <c r="AN154" s="45"/>
      <c r="AO154" s="15"/>
      <c r="AP154" s="15"/>
    </row>
    <row r="155">
      <c r="A155" s="11" t="s">
        <v>36</v>
      </c>
      <c r="B155" s="9">
        <v>45405.42824246528</v>
      </c>
      <c r="C155" s="10" t="s">
        <v>449</v>
      </c>
      <c r="D155" s="11" t="s">
        <v>51</v>
      </c>
      <c r="E155" s="11" t="s">
        <v>52</v>
      </c>
      <c r="F155" s="11" t="s">
        <v>65</v>
      </c>
      <c r="G155" s="11" t="s">
        <v>131</v>
      </c>
      <c r="H155" s="11" t="s">
        <v>47</v>
      </c>
      <c r="I155" s="11" t="s">
        <v>453</v>
      </c>
      <c r="J155" s="11" t="s">
        <v>451</v>
      </c>
      <c r="K155" s="12"/>
      <c r="L155" s="11" t="s">
        <v>454</v>
      </c>
      <c r="M155" s="11" t="s">
        <v>71</v>
      </c>
      <c r="N155" s="11" t="s">
        <v>96</v>
      </c>
      <c r="O155" s="14"/>
      <c r="P155" s="14"/>
      <c r="Q155" s="14"/>
      <c r="R155" s="14"/>
      <c r="S155" s="14"/>
      <c r="T155" s="14"/>
      <c r="U155" s="14"/>
      <c r="V155" s="14"/>
      <c r="W155" s="14"/>
      <c r="X155" s="14"/>
      <c r="Y155" s="14"/>
      <c r="Z155" s="14"/>
      <c r="AA155" s="14"/>
      <c r="AB155" s="14"/>
      <c r="AC155" s="14"/>
      <c r="AD155" s="12"/>
      <c r="AE155" s="12"/>
      <c r="AF155" s="12"/>
      <c r="AG155" s="78">
        <v>45406.0</v>
      </c>
      <c r="AH155" s="12"/>
      <c r="AI155" s="12"/>
      <c r="AJ155" s="12"/>
      <c r="AK155" s="11" t="s">
        <v>45</v>
      </c>
      <c r="AL155" s="13" t="s">
        <v>44</v>
      </c>
      <c r="AM155" s="11" t="s">
        <v>96</v>
      </c>
      <c r="AN155" s="11"/>
      <c r="AO155" s="8"/>
      <c r="AP155" s="8"/>
    </row>
    <row r="156">
      <c r="A156" s="11" t="s">
        <v>36</v>
      </c>
      <c r="B156" s="9">
        <v>45405.527999513884</v>
      </c>
      <c r="C156" s="10" t="s">
        <v>416</v>
      </c>
      <c r="D156" s="11" t="s">
        <v>455</v>
      </c>
      <c r="E156" s="11" t="s">
        <v>456</v>
      </c>
      <c r="F156" s="11" t="s">
        <v>40</v>
      </c>
      <c r="G156" s="11" t="s">
        <v>54</v>
      </c>
      <c r="H156" s="11" t="s">
        <v>61</v>
      </c>
      <c r="I156" s="11" t="s">
        <v>457</v>
      </c>
      <c r="J156" s="11" t="s">
        <v>418</v>
      </c>
      <c r="K156" s="12"/>
      <c r="L156" s="24" t="s">
        <v>458</v>
      </c>
      <c r="M156" s="11" t="s">
        <v>71</v>
      </c>
      <c r="N156" s="11" t="s">
        <v>96</v>
      </c>
      <c r="O156" s="14"/>
      <c r="P156" s="14"/>
      <c r="Q156" s="14"/>
      <c r="R156" s="14"/>
      <c r="S156" s="14"/>
      <c r="T156" s="14"/>
      <c r="U156" s="14"/>
      <c r="V156" s="14"/>
      <c r="W156" s="14"/>
      <c r="X156" s="14"/>
      <c r="Y156" s="14"/>
      <c r="Z156" s="14"/>
      <c r="AA156" s="14"/>
      <c r="AB156" s="14"/>
      <c r="AC156" s="14"/>
      <c r="AD156" s="12"/>
      <c r="AE156" s="12"/>
      <c r="AF156" s="12"/>
      <c r="AG156" s="78">
        <v>45406.0</v>
      </c>
      <c r="AH156" s="12"/>
      <c r="AI156" s="12"/>
      <c r="AJ156" s="12"/>
      <c r="AK156" s="11" t="s">
        <v>45</v>
      </c>
      <c r="AL156" s="13" t="s">
        <v>44</v>
      </c>
      <c r="AM156" s="11" t="s">
        <v>96</v>
      </c>
      <c r="AN156" s="11"/>
      <c r="AO156" s="8"/>
      <c r="AP156" s="8"/>
    </row>
    <row r="157">
      <c r="A157" s="11" t="s">
        <v>36</v>
      </c>
      <c r="B157" s="9">
        <v>45405.5422140625</v>
      </c>
      <c r="C157" s="10" t="s">
        <v>459</v>
      </c>
      <c r="D157" s="11" t="s">
        <v>105</v>
      </c>
      <c r="E157" s="11" t="s">
        <v>138</v>
      </c>
      <c r="F157" s="11" t="s">
        <v>139</v>
      </c>
      <c r="G157" s="11" t="s">
        <v>54</v>
      </c>
      <c r="H157" s="11" t="s">
        <v>42</v>
      </c>
      <c r="I157" s="11">
        <v>3000.0</v>
      </c>
      <c r="J157" s="11" t="s">
        <v>460</v>
      </c>
      <c r="K157" s="12"/>
      <c r="L157" s="12"/>
      <c r="M157" s="11" t="s">
        <v>71</v>
      </c>
      <c r="N157" s="13" t="s">
        <v>44</v>
      </c>
      <c r="O157" s="14"/>
      <c r="P157" s="14"/>
      <c r="Q157" s="14"/>
      <c r="R157" s="14"/>
      <c r="S157" s="14"/>
      <c r="T157" s="14"/>
      <c r="U157" s="14"/>
      <c r="V157" s="14"/>
      <c r="W157" s="14"/>
      <c r="X157" s="14"/>
      <c r="Y157" s="14"/>
      <c r="Z157" s="14"/>
      <c r="AA157" s="14"/>
      <c r="AB157" s="14"/>
      <c r="AC157" s="14"/>
      <c r="AD157" s="12"/>
      <c r="AE157" s="12"/>
      <c r="AF157" s="12"/>
      <c r="AG157" s="78">
        <v>45406.0</v>
      </c>
      <c r="AH157" s="12"/>
      <c r="AI157" s="12"/>
      <c r="AJ157" s="12"/>
      <c r="AK157" s="11" t="s">
        <v>45</v>
      </c>
      <c r="AL157" s="13" t="s">
        <v>44</v>
      </c>
      <c r="AM157" s="13" t="s">
        <v>44</v>
      </c>
      <c r="AN157" s="11" t="s">
        <v>46</v>
      </c>
      <c r="AO157" s="15"/>
      <c r="AP157" s="15"/>
    </row>
    <row r="158">
      <c r="A158" s="11" t="s">
        <v>36</v>
      </c>
      <c r="B158" s="9">
        <v>45406.52460228009</v>
      </c>
      <c r="C158" s="10" t="s">
        <v>461</v>
      </c>
      <c r="D158" s="11" t="s">
        <v>109</v>
      </c>
      <c r="E158" s="11" t="s">
        <v>52</v>
      </c>
      <c r="F158" s="11" t="s">
        <v>65</v>
      </c>
      <c r="G158" s="11" t="s">
        <v>54</v>
      </c>
      <c r="H158" s="11" t="s">
        <v>61</v>
      </c>
      <c r="I158" s="77">
        <v>1295.0</v>
      </c>
      <c r="J158" s="11" t="s">
        <v>418</v>
      </c>
      <c r="K158" s="24" t="s">
        <v>462</v>
      </c>
      <c r="L158" s="11" t="s">
        <v>463</v>
      </c>
      <c r="M158" s="11" t="s">
        <v>71</v>
      </c>
      <c r="N158" s="11" t="s">
        <v>96</v>
      </c>
      <c r="O158" s="14"/>
      <c r="P158" s="14"/>
      <c r="Q158" s="14"/>
      <c r="R158" s="14"/>
      <c r="S158" s="14"/>
      <c r="T158" s="14"/>
      <c r="U158" s="14"/>
      <c r="V158" s="14"/>
      <c r="W158" s="14"/>
      <c r="X158" s="14"/>
      <c r="Y158" s="14"/>
      <c r="Z158" s="14"/>
      <c r="AA158" s="14"/>
      <c r="AB158" s="14"/>
      <c r="AC158" s="14"/>
      <c r="AD158" s="12"/>
      <c r="AE158" s="12"/>
      <c r="AF158" s="12"/>
      <c r="AG158" s="78">
        <v>45407.0</v>
      </c>
      <c r="AH158" s="12"/>
      <c r="AI158" s="12"/>
      <c r="AJ158" s="12"/>
      <c r="AK158" s="11" t="s">
        <v>45</v>
      </c>
      <c r="AL158" s="13" t="s">
        <v>44</v>
      </c>
      <c r="AM158" s="11" t="s">
        <v>96</v>
      </c>
      <c r="AN158" s="11"/>
      <c r="AO158" s="8"/>
      <c r="AP158" s="8"/>
    </row>
    <row r="159">
      <c r="A159" s="11" t="s">
        <v>36</v>
      </c>
      <c r="B159" s="9">
        <v>45406.60514564815</v>
      </c>
      <c r="C159" s="10" t="s">
        <v>416</v>
      </c>
      <c r="D159" s="11" t="s">
        <v>260</v>
      </c>
      <c r="E159" s="11" t="s">
        <v>138</v>
      </c>
      <c r="F159" s="11" t="s">
        <v>65</v>
      </c>
      <c r="G159" s="11" t="s">
        <v>54</v>
      </c>
      <c r="H159" s="11" t="s">
        <v>61</v>
      </c>
      <c r="I159" s="11" t="s">
        <v>464</v>
      </c>
      <c r="J159" s="11" t="s">
        <v>418</v>
      </c>
      <c r="K159" s="12"/>
      <c r="L159" s="11" t="s">
        <v>465</v>
      </c>
      <c r="M159" s="11" t="s">
        <v>71</v>
      </c>
      <c r="N159" s="11" t="s">
        <v>68</v>
      </c>
      <c r="O159" s="14"/>
      <c r="P159" s="14"/>
      <c r="Q159" s="14"/>
      <c r="R159" s="14"/>
      <c r="S159" s="14"/>
      <c r="T159" s="14"/>
      <c r="U159" s="14"/>
      <c r="V159" s="14"/>
      <c r="W159" s="14"/>
      <c r="X159" s="14"/>
      <c r="Y159" s="14"/>
      <c r="Z159" s="14"/>
      <c r="AA159" s="14"/>
      <c r="AB159" s="14"/>
      <c r="AC159" s="14"/>
      <c r="AD159" s="12"/>
      <c r="AE159" s="12"/>
      <c r="AF159" s="12"/>
      <c r="AG159" s="12"/>
      <c r="AH159" s="12"/>
      <c r="AI159" s="12"/>
      <c r="AJ159" s="12"/>
      <c r="AK159" s="12"/>
      <c r="AL159" s="27" t="s">
        <v>70</v>
      </c>
      <c r="AM159" s="11" t="s">
        <v>68</v>
      </c>
      <c r="AN159" s="11"/>
      <c r="AO159" s="8"/>
      <c r="AP159" s="8"/>
    </row>
    <row r="160">
      <c r="A160" s="11" t="s">
        <v>36</v>
      </c>
      <c r="B160" s="9">
        <v>45406.64165818287</v>
      </c>
      <c r="C160" s="10" t="s">
        <v>37</v>
      </c>
      <c r="D160" s="11" t="s">
        <v>51</v>
      </c>
      <c r="E160" s="11" t="s">
        <v>39</v>
      </c>
      <c r="F160" s="11" t="s">
        <v>40</v>
      </c>
      <c r="G160" s="11" t="s">
        <v>41</v>
      </c>
      <c r="H160" s="11" t="s">
        <v>466</v>
      </c>
      <c r="I160" s="71">
        <v>3000.0</v>
      </c>
      <c r="J160" s="11" t="s">
        <v>128</v>
      </c>
      <c r="K160" s="12"/>
      <c r="L160" s="12"/>
      <c r="M160" s="11" t="s">
        <v>71</v>
      </c>
      <c r="N160" s="13" t="s">
        <v>44</v>
      </c>
      <c r="O160" s="14"/>
      <c r="P160" s="14"/>
      <c r="Q160" s="14"/>
      <c r="R160" s="14"/>
      <c r="S160" s="14"/>
      <c r="T160" s="14"/>
      <c r="U160" s="14"/>
      <c r="V160" s="14"/>
      <c r="W160" s="14"/>
      <c r="X160" s="14"/>
      <c r="Y160" s="14"/>
      <c r="Z160" s="14"/>
      <c r="AA160" s="14"/>
      <c r="AB160" s="14"/>
      <c r="AC160" s="14"/>
      <c r="AD160" s="12"/>
      <c r="AE160" s="12"/>
      <c r="AF160" s="12"/>
      <c r="AG160" s="12"/>
      <c r="AH160" s="12"/>
      <c r="AI160" s="12"/>
      <c r="AJ160" s="12"/>
      <c r="AK160" s="11" t="s">
        <v>45</v>
      </c>
      <c r="AL160" s="13" t="s">
        <v>44</v>
      </c>
      <c r="AM160" s="13" t="s">
        <v>44</v>
      </c>
      <c r="AN160" s="11" t="s">
        <v>71</v>
      </c>
      <c r="AO160" s="15" t="b">
        <v>1</v>
      </c>
      <c r="AP160" s="15"/>
    </row>
    <row r="161">
      <c r="A161" s="11" t="s">
        <v>36</v>
      </c>
      <c r="B161" s="9">
        <v>45406.642522939816</v>
      </c>
      <c r="C161" s="10" t="s">
        <v>37</v>
      </c>
      <c r="D161" s="11" t="s">
        <v>51</v>
      </c>
      <c r="E161" s="11" t="s">
        <v>52</v>
      </c>
      <c r="F161" s="11" t="s">
        <v>65</v>
      </c>
      <c r="G161" s="11" t="s">
        <v>41</v>
      </c>
      <c r="H161" s="11" t="s">
        <v>466</v>
      </c>
      <c r="I161" s="11" t="s">
        <v>467</v>
      </c>
      <c r="J161" s="11" t="s">
        <v>128</v>
      </c>
      <c r="K161" s="12"/>
      <c r="L161" s="12"/>
      <c r="M161" s="11" t="s">
        <v>71</v>
      </c>
      <c r="N161" s="13" t="s">
        <v>44</v>
      </c>
      <c r="O161" s="14"/>
      <c r="P161" s="14"/>
      <c r="Q161" s="14"/>
      <c r="R161" s="14"/>
      <c r="S161" s="14"/>
      <c r="T161" s="14"/>
      <c r="U161" s="14"/>
      <c r="V161" s="14"/>
      <c r="W161" s="14"/>
      <c r="X161" s="14"/>
      <c r="Y161" s="14"/>
      <c r="Z161" s="14"/>
      <c r="AA161" s="14"/>
      <c r="AB161" s="14"/>
      <c r="AC161" s="14"/>
      <c r="AD161" s="12"/>
      <c r="AE161" s="12"/>
      <c r="AF161" s="12"/>
      <c r="AG161" s="12"/>
      <c r="AH161" s="12"/>
      <c r="AI161" s="12"/>
      <c r="AJ161" s="12"/>
      <c r="AK161" s="11" t="s">
        <v>45</v>
      </c>
      <c r="AL161" s="13" t="s">
        <v>44</v>
      </c>
      <c r="AM161" s="13" t="s">
        <v>44</v>
      </c>
      <c r="AN161" s="11" t="s">
        <v>71</v>
      </c>
      <c r="AO161" s="15" t="b">
        <v>1</v>
      </c>
      <c r="AP161" s="15"/>
    </row>
    <row r="162">
      <c r="A162" s="11" t="s">
        <v>36</v>
      </c>
      <c r="B162" s="9">
        <v>45406.64406466435</v>
      </c>
      <c r="C162" s="10" t="s">
        <v>37</v>
      </c>
      <c r="D162" s="11" t="s">
        <v>51</v>
      </c>
      <c r="E162" s="11" t="s">
        <v>52</v>
      </c>
      <c r="F162" s="11" t="s">
        <v>65</v>
      </c>
      <c r="G162" s="11" t="s">
        <v>41</v>
      </c>
      <c r="H162" s="11" t="s">
        <v>466</v>
      </c>
      <c r="I162" s="11" t="s">
        <v>468</v>
      </c>
      <c r="J162" s="11" t="s">
        <v>128</v>
      </c>
      <c r="K162" s="12"/>
      <c r="L162" s="12"/>
      <c r="M162" s="11" t="s">
        <v>71</v>
      </c>
      <c r="N162" s="13" t="s">
        <v>44</v>
      </c>
      <c r="O162" s="14"/>
      <c r="P162" s="14"/>
      <c r="Q162" s="14"/>
      <c r="R162" s="14"/>
      <c r="S162" s="14"/>
      <c r="T162" s="14"/>
      <c r="U162" s="14"/>
      <c r="V162" s="14"/>
      <c r="W162" s="14"/>
      <c r="X162" s="14"/>
      <c r="Y162" s="14"/>
      <c r="Z162" s="14"/>
      <c r="AA162" s="14"/>
      <c r="AB162" s="14"/>
      <c r="AC162" s="14"/>
      <c r="AD162" s="12"/>
      <c r="AE162" s="12"/>
      <c r="AF162" s="12"/>
      <c r="AG162" s="12"/>
      <c r="AH162" s="12"/>
      <c r="AI162" s="12"/>
      <c r="AJ162" s="12"/>
      <c r="AK162" s="11" t="s">
        <v>45</v>
      </c>
      <c r="AL162" s="13" t="s">
        <v>44</v>
      </c>
      <c r="AM162" s="13" t="s">
        <v>44</v>
      </c>
      <c r="AN162" s="11" t="s">
        <v>71</v>
      </c>
      <c r="AO162" s="15" t="b">
        <v>1</v>
      </c>
      <c r="AP162" s="15"/>
    </row>
    <row r="163">
      <c r="A163" s="11" t="s">
        <v>36</v>
      </c>
      <c r="B163" s="9">
        <v>45407.4018775463</v>
      </c>
      <c r="C163" s="10" t="s">
        <v>382</v>
      </c>
      <c r="D163" s="11" t="s">
        <v>109</v>
      </c>
      <c r="E163" s="11" t="s">
        <v>52</v>
      </c>
      <c r="F163" s="11" t="s">
        <v>65</v>
      </c>
      <c r="G163" s="11" t="s">
        <v>131</v>
      </c>
      <c r="H163" s="11" t="s">
        <v>61</v>
      </c>
      <c r="I163" s="77">
        <v>250.0</v>
      </c>
      <c r="J163" s="11" t="s">
        <v>383</v>
      </c>
      <c r="K163" s="12"/>
      <c r="L163" s="11" t="s">
        <v>469</v>
      </c>
      <c r="M163" s="11" t="s">
        <v>71</v>
      </c>
      <c r="N163" s="11" t="s">
        <v>96</v>
      </c>
      <c r="O163" s="14"/>
      <c r="P163" s="14"/>
      <c r="Q163" s="14"/>
      <c r="R163" s="14"/>
      <c r="S163" s="14"/>
      <c r="T163" s="14"/>
      <c r="U163" s="14"/>
      <c r="V163" s="14"/>
      <c r="W163" s="14"/>
      <c r="X163" s="14"/>
      <c r="Y163" s="14"/>
      <c r="Z163" s="14"/>
      <c r="AA163" s="14"/>
      <c r="AB163" s="14"/>
      <c r="AC163" s="14"/>
      <c r="AD163" s="12"/>
      <c r="AE163" s="12"/>
      <c r="AF163" s="12"/>
      <c r="AG163" s="78">
        <v>45408.0</v>
      </c>
      <c r="AH163" s="12"/>
      <c r="AI163" s="12"/>
      <c r="AJ163" s="12"/>
      <c r="AK163" s="11" t="s">
        <v>470</v>
      </c>
      <c r="AL163" s="13" t="s">
        <v>44</v>
      </c>
      <c r="AM163" s="11" t="s">
        <v>96</v>
      </c>
      <c r="AN163" s="11"/>
      <c r="AO163" s="8"/>
      <c r="AP163" s="8"/>
    </row>
    <row r="164">
      <c r="A164" s="11" t="s">
        <v>36</v>
      </c>
      <c r="B164" s="9">
        <v>45407.450688599536</v>
      </c>
      <c r="C164" s="10" t="s">
        <v>85</v>
      </c>
      <c r="D164" s="11" t="s">
        <v>471</v>
      </c>
      <c r="E164" s="11" t="s">
        <v>52</v>
      </c>
      <c r="F164" s="11" t="s">
        <v>65</v>
      </c>
      <c r="G164" s="11" t="s">
        <v>54</v>
      </c>
      <c r="H164" s="11" t="s">
        <v>47</v>
      </c>
      <c r="I164" s="24" t="s">
        <v>472</v>
      </c>
      <c r="J164" s="11" t="s">
        <v>86</v>
      </c>
      <c r="K164" s="12"/>
      <c r="L164" s="24" t="s">
        <v>473</v>
      </c>
      <c r="M164" s="11" t="s">
        <v>71</v>
      </c>
      <c r="N164" s="11" t="s">
        <v>68</v>
      </c>
      <c r="O164" s="14"/>
      <c r="P164" s="14"/>
      <c r="Q164" s="14"/>
      <c r="R164" s="14"/>
      <c r="S164" s="14"/>
      <c r="T164" s="14"/>
      <c r="U164" s="14"/>
      <c r="V164" s="14"/>
      <c r="W164" s="14"/>
      <c r="X164" s="14"/>
      <c r="Y164" s="14"/>
      <c r="Z164" s="14"/>
      <c r="AA164" s="14"/>
      <c r="AB164" s="14"/>
      <c r="AC164" s="14"/>
      <c r="AD164" s="12"/>
      <c r="AE164" s="12"/>
      <c r="AF164" s="12"/>
      <c r="AG164" s="78">
        <v>45408.0</v>
      </c>
      <c r="AH164" s="12"/>
      <c r="AI164" s="12"/>
      <c r="AJ164" s="12"/>
      <c r="AK164" s="11" t="s">
        <v>45</v>
      </c>
      <c r="AL164" s="27" t="s">
        <v>70</v>
      </c>
      <c r="AM164" s="11" t="s">
        <v>68</v>
      </c>
      <c r="AN164" s="11"/>
      <c r="AO164" s="8"/>
      <c r="AP164" s="8"/>
    </row>
    <row r="165">
      <c r="A165" s="11" t="s">
        <v>36</v>
      </c>
      <c r="B165" s="9">
        <v>45407.452238784725</v>
      </c>
      <c r="C165" s="10" t="s">
        <v>85</v>
      </c>
      <c r="D165" s="11" t="s">
        <v>474</v>
      </c>
      <c r="E165" s="11" t="s">
        <v>52</v>
      </c>
      <c r="F165" s="11" t="s">
        <v>40</v>
      </c>
      <c r="G165" s="11" t="s">
        <v>41</v>
      </c>
      <c r="H165" s="11" t="s">
        <v>47</v>
      </c>
      <c r="I165" s="24" t="s">
        <v>475</v>
      </c>
      <c r="J165" s="11" t="s">
        <v>86</v>
      </c>
      <c r="K165" s="12"/>
      <c r="L165" s="11" t="s">
        <v>476</v>
      </c>
      <c r="M165" s="11" t="s">
        <v>71</v>
      </c>
      <c r="N165" s="11" t="s">
        <v>96</v>
      </c>
      <c r="O165" s="14"/>
      <c r="P165" s="14"/>
      <c r="Q165" s="14"/>
      <c r="R165" s="14"/>
      <c r="S165" s="14"/>
      <c r="T165" s="14"/>
      <c r="U165" s="14"/>
      <c r="V165" s="14"/>
      <c r="W165" s="14"/>
      <c r="X165" s="14"/>
      <c r="Y165" s="14"/>
      <c r="Z165" s="14"/>
      <c r="AA165" s="14"/>
      <c r="AB165" s="14"/>
      <c r="AC165" s="14"/>
      <c r="AD165" s="12"/>
      <c r="AE165" s="12"/>
      <c r="AF165" s="12"/>
      <c r="AG165" s="78">
        <v>45408.0</v>
      </c>
      <c r="AH165" s="12"/>
      <c r="AI165" s="12"/>
      <c r="AJ165" s="12"/>
      <c r="AK165" s="11" t="s">
        <v>45</v>
      </c>
      <c r="AL165" s="13" t="s">
        <v>44</v>
      </c>
      <c r="AM165" s="11" t="s">
        <v>96</v>
      </c>
      <c r="AN165" s="11"/>
      <c r="AO165" s="8"/>
      <c r="AP165" s="8"/>
    </row>
    <row r="166">
      <c r="A166" s="11" t="s">
        <v>36</v>
      </c>
      <c r="B166" s="9">
        <v>45407.45322215278</v>
      </c>
      <c r="C166" s="10" t="s">
        <v>85</v>
      </c>
      <c r="D166" s="11" t="s">
        <v>109</v>
      </c>
      <c r="E166" s="11" t="s">
        <v>52</v>
      </c>
      <c r="F166" s="11" t="s">
        <v>40</v>
      </c>
      <c r="G166" s="11" t="s">
        <v>41</v>
      </c>
      <c r="H166" s="11" t="s">
        <v>47</v>
      </c>
      <c r="I166" s="24" t="s">
        <v>477</v>
      </c>
      <c r="J166" s="11" t="s">
        <v>86</v>
      </c>
      <c r="K166" s="12"/>
      <c r="L166" s="11" t="s">
        <v>478</v>
      </c>
      <c r="M166" s="11" t="s">
        <v>71</v>
      </c>
      <c r="N166" s="11" t="s">
        <v>96</v>
      </c>
      <c r="O166" s="14"/>
      <c r="P166" s="14"/>
      <c r="Q166" s="14"/>
      <c r="R166" s="14"/>
      <c r="S166" s="14"/>
      <c r="T166" s="14"/>
      <c r="U166" s="14"/>
      <c r="V166" s="14"/>
      <c r="W166" s="14"/>
      <c r="X166" s="14"/>
      <c r="Y166" s="14"/>
      <c r="Z166" s="14"/>
      <c r="AA166" s="14"/>
      <c r="AB166" s="14"/>
      <c r="AC166" s="14"/>
      <c r="AD166" s="12"/>
      <c r="AE166" s="12"/>
      <c r="AF166" s="12"/>
      <c r="AG166" s="78">
        <v>45408.0</v>
      </c>
      <c r="AH166" s="12"/>
      <c r="AI166" s="12"/>
      <c r="AJ166" s="12"/>
      <c r="AK166" s="11" t="s">
        <v>45</v>
      </c>
      <c r="AL166" s="13" t="s">
        <v>44</v>
      </c>
      <c r="AM166" s="11" t="s">
        <v>96</v>
      </c>
      <c r="AN166" s="11"/>
      <c r="AO166" s="8"/>
      <c r="AP166" s="8"/>
    </row>
    <row r="167">
      <c r="A167" s="11" t="s">
        <v>36</v>
      </c>
      <c r="B167" s="9">
        <v>45407.55832258102</v>
      </c>
      <c r="C167" s="10" t="s">
        <v>479</v>
      </c>
      <c r="D167" s="11" t="s">
        <v>109</v>
      </c>
      <c r="E167" s="11" t="s">
        <v>138</v>
      </c>
      <c r="F167" s="11" t="s">
        <v>40</v>
      </c>
      <c r="G167" s="11" t="s">
        <v>54</v>
      </c>
      <c r="H167" s="11" t="s">
        <v>480</v>
      </c>
      <c r="I167" s="11">
        <v>85.0</v>
      </c>
      <c r="J167" s="11" t="s">
        <v>383</v>
      </c>
      <c r="K167" s="12"/>
      <c r="L167" s="24" t="s">
        <v>481</v>
      </c>
      <c r="M167" s="11" t="s">
        <v>71</v>
      </c>
      <c r="N167" s="11" t="s">
        <v>96</v>
      </c>
      <c r="O167" s="14"/>
      <c r="P167" s="14"/>
      <c r="Q167" s="14"/>
      <c r="R167" s="14"/>
      <c r="S167" s="14"/>
      <c r="T167" s="14"/>
      <c r="U167" s="14"/>
      <c r="V167" s="14"/>
      <c r="W167" s="14"/>
      <c r="X167" s="14"/>
      <c r="Y167" s="14"/>
      <c r="Z167" s="14"/>
      <c r="AA167" s="14"/>
      <c r="AB167" s="14"/>
      <c r="AC167" s="14"/>
      <c r="AD167" s="12"/>
      <c r="AE167" s="12"/>
      <c r="AF167" s="12"/>
      <c r="AG167" s="78">
        <v>45408.0</v>
      </c>
      <c r="AH167" s="12"/>
      <c r="AI167" s="12"/>
      <c r="AJ167" s="12"/>
      <c r="AK167" s="11" t="s">
        <v>45</v>
      </c>
      <c r="AL167" s="13" t="s">
        <v>44</v>
      </c>
      <c r="AM167" s="11" t="s">
        <v>96</v>
      </c>
      <c r="AN167" s="11"/>
      <c r="AO167" s="8"/>
      <c r="AP167" s="8"/>
    </row>
    <row r="168">
      <c r="A168" s="11" t="s">
        <v>36</v>
      </c>
      <c r="B168" s="9">
        <v>45407.62985195602</v>
      </c>
      <c r="C168" s="10" t="s">
        <v>482</v>
      </c>
      <c r="D168" s="11" t="s">
        <v>109</v>
      </c>
      <c r="E168" s="11" t="s">
        <v>138</v>
      </c>
      <c r="F168" s="11" t="s">
        <v>65</v>
      </c>
      <c r="G168" s="11" t="s">
        <v>131</v>
      </c>
      <c r="H168" s="39" t="s">
        <v>127</v>
      </c>
      <c r="I168" s="11" t="s">
        <v>483</v>
      </c>
      <c r="J168" s="11" t="s">
        <v>484</v>
      </c>
      <c r="K168" s="24" t="s">
        <v>485</v>
      </c>
      <c r="L168" s="11" t="s">
        <v>486</v>
      </c>
      <c r="M168" s="11" t="s">
        <v>71</v>
      </c>
      <c r="N168" s="11" t="s">
        <v>96</v>
      </c>
      <c r="O168" s="14"/>
      <c r="P168" s="14"/>
      <c r="Q168" s="14"/>
      <c r="R168" s="14"/>
      <c r="S168" s="14"/>
      <c r="T168" s="14"/>
      <c r="U168" s="14"/>
      <c r="V168" s="14"/>
      <c r="W168" s="14"/>
      <c r="X168" s="14"/>
      <c r="Y168" s="14"/>
      <c r="Z168" s="14"/>
      <c r="AA168" s="14"/>
      <c r="AB168" s="14"/>
      <c r="AC168" s="14"/>
      <c r="AD168" s="12"/>
      <c r="AE168" s="12"/>
      <c r="AF168" s="12"/>
      <c r="AG168" s="78">
        <v>45408.0</v>
      </c>
      <c r="AH168" s="12"/>
      <c r="AI168" s="12"/>
      <c r="AJ168" s="12"/>
      <c r="AK168" s="11" t="s">
        <v>45</v>
      </c>
      <c r="AL168" s="13" t="s">
        <v>44</v>
      </c>
      <c r="AM168" s="11" t="s">
        <v>96</v>
      </c>
      <c r="AN168" s="11"/>
      <c r="AO168" s="8"/>
      <c r="AP168" s="8"/>
    </row>
    <row r="169">
      <c r="A169" s="11" t="s">
        <v>36</v>
      </c>
      <c r="B169" s="9">
        <v>45407.70211945602</v>
      </c>
      <c r="C169" s="10" t="s">
        <v>487</v>
      </c>
      <c r="D169" s="11" t="s">
        <v>142</v>
      </c>
      <c r="E169" s="11" t="s">
        <v>52</v>
      </c>
      <c r="F169" s="11" t="s">
        <v>65</v>
      </c>
      <c r="G169" s="11" t="s">
        <v>54</v>
      </c>
      <c r="H169" s="11" t="s">
        <v>480</v>
      </c>
      <c r="I169" s="11" t="s">
        <v>488</v>
      </c>
      <c r="J169" s="11" t="s">
        <v>383</v>
      </c>
      <c r="K169" s="12"/>
      <c r="L169" s="24" t="s">
        <v>489</v>
      </c>
      <c r="M169" s="11" t="s">
        <v>71</v>
      </c>
      <c r="N169" s="11" t="s">
        <v>96</v>
      </c>
      <c r="O169" s="14"/>
      <c r="P169" s="14"/>
      <c r="Q169" s="14"/>
      <c r="R169" s="14"/>
      <c r="S169" s="14"/>
      <c r="T169" s="14"/>
      <c r="U169" s="14"/>
      <c r="V169" s="14"/>
      <c r="W169" s="14"/>
      <c r="X169" s="14"/>
      <c r="Y169" s="14"/>
      <c r="Z169" s="14"/>
      <c r="AA169" s="14"/>
      <c r="AB169" s="14"/>
      <c r="AC169" s="14"/>
      <c r="AD169" s="12"/>
      <c r="AE169" s="12"/>
      <c r="AF169" s="12"/>
      <c r="AG169" s="78">
        <v>45408.0</v>
      </c>
      <c r="AH169" s="12"/>
      <c r="AI169" s="12"/>
      <c r="AJ169" s="12"/>
      <c r="AK169" s="11" t="s">
        <v>45</v>
      </c>
      <c r="AL169" s="13" t="s">
        <v>44</v>
      </c>
      <c r="AM169" s="11" t="s">
        <v>96</v>
      </c>
      <c r="AN169" s="11"/>
      <c r="AO169" s="8"/>
      <c r="AP169" s="8"/>
    </row>
    <row r="170">
      <c r="A170" s="11" t="s">
        <v>36</v>
      </c>
      <c r="B170" s="9">
        <v>45407.70962721064</v>
      </c>
      <c r="C170" s="10" t="s">
        <v>490</v>
      </c>
      <c r="D170" s="11" t="s">
        <v>491</v>
      </c>
      <c r="E170" s="11" t="s">
        <v>52</v>
      </c>
      <c r="F170" s="11" t="s">
        <v>65</v>
      </c>
      <c r="G170" s="11" t="s">
        <v>54</v>
      </c>
      <c r="H170" s="39" t="s">
        <v>127</v>
      </c>
      <c r="I170" s="11">
        <v>190.0</v>
      </c>
      <c r="J170" s="11" t="s">
        <v>492</v>
      </c>
      <c r="K170" s="12"/>
      <c r="L170" s="24" t="s">
        <v>493</v>
      </c>
      <c r="M170" s="11" t="s">
        <v>71</v>
      </c>
      <c r="N170" s="11" t="s">
        <v>96</v>
      </c>
      <c r="O170" s="14"/>
      <c r="P170" s="14"/>
      <c r="Q170" s="14"/>
      <c r="R170" s="14"/>
      <c r="S170" s="14"/>
      <c r="T170" s="14"/>
      <c r="U170" s="14"/>
      <c r="V170" s="14"/>
      <c r="W170" s="14"/>
      <c r="X170" s="14"/>
      <c r="Y170" s="14"/>
      <c r="Z170" s="14"/>
      <c r="AA170" s="14"/>
      <c r="AB170" s="14"/>
      <c r="AC170" s="14"/>
      <c r="AD170" s="12"/>
      <c r="AE170" s="12"/>
      <c r="AF170" s="12"/>
      <c r="AG170" s="78">
        <v>45408.0</v>
      </c>
      <c r="AH170" s="12"/>
      <c r="AI170" s="12"/>
      <c r="AJ170" s="12"/>
      <c r="AK170" s="11" t="s">
        <v>45</v>
      </c>
      <c r="AL170" s="13" t="s">
        <v>44</v>
      </c>
      <c r="AM170" s="11" t="s">
        <v>96</v>
      </c>
      <c r="AN170" s="11" t="s">
        <v>71</v>
      </c>
      <c r="AO170" s="8" t="b">
        <v>1</v>
      </c>
      <c r="AP170" s="8"/>
    </row>
    <row r="171">
      <c r="A171" s="11" t="s">
        <v>36</v>
      </c>
      <c r="B171" s="9">
        <v>45408.33271440973</v>
      </c>
      <c r="C171" s="10" t="s">
        <v>494</v>
      </c>
      <c r="D171" s="11" t="s">
        <v>142</v>
      </c>
      <c r="E171" s="11" t="s">
        <v>52</v>
      </c>
      <c r="F171" s="11" t="s">
        <v>65</v>
      </c>
      <c r="G171" s="11" t="s">
        <v>54</v>
      </c>
      <c r="H171" s="39" t="s">
        <v>127</v>
      </c>
      <c r="I171" s="11">
        <v>1759.0</v>
      </c>
      <c r="J171" s="11" t="s">
        <v>100</v>
      </c>
      <c r="K171" s="24" t="s">
        <v>495</v>
      </c>
      <c r="L171" s="11" t="s">
        <v>496</v>
      </c>
      <c r="M171" s="11" t="s">
        <v>71</v>
      </c>
      <c r="N171" s="11" t="s">
        <v>96</v>
      </c>
      <c r="O171" s="14"/>
      <c r="P171" s="14"/>
      <c r="Q171" s="14"/>
      <c r="R171" s="14"/>
      <c r="S171" s="14"/>
      <c r="T171" s="14"/>
      <c r="U171" s="14"/>
      <c r="V171" s="14"/>
      <c r="W171" s="14"/>
      <c r="X171" s="14"/>
      <c r="Y171" s="14"/>
      <c r="Z171" s="14"/>
      <c r="AA171" s="14"/>
      <c r="AB171" s="14"/>
      <c r="AC171" s="14"/>
      <c r="AD171" s="12"/>
      <c r="AE171" s="12"/>
      <c r="AF171" s="12"/>
      <c r="AG171" s="78">
        <v>45411.0</v>
      </c>
      <c r="AH171" s="12"/>
      <c r="AI171" s="12"/>
      <c r="AJ171" s="12"/>
      <c r="AK171" s="11" t="s">
        <v>45</v>
      </c>
      <c r="AL171" s="13" t="s">
        <v>44</v>
      </c>
      <c r="AM171" s="11" t="s">
        <v>96</v>
      </c>
      <c r="AN171" s="11"/>
      <c r="AO171" s="8"/>
      <c r="AP171" s="8"/>
    </row>
    <row r="172">
      <c r="A172" s="75" t="s">
        <v>177</v>
      </c>
      <c r="B172" s="73">
        <v>45408.360465844904</v>
      </c>
      <c r="C172" s="74" t="s">
        <v>494</v>
      </c>
      <c r="D172" s="75" t="s">
        <v>142</v>
      </c>
      <c r="E172" s="75" t="s">
        <v>52</v>
      </c>
      <c r="F172" s="75" t="s">
        <v>65</v>
      </c>
      <c r="G172" s="75" t="s">
        <v>54</v>
      </c>
      <c r="H172" s="39" t="s">
        <v>127</v>
      </c>
      <c r="I172" s="75">
        <v>1759.0</v>
      </c>
      <c r="J172" s="75" t="s">
        <v>100</v>
      </c>
      <c r="K172" s="75" t="s">
        <v>497</v>
      </c>
      <c r="L172" s="75" t="s">
        <v>496</v>
      </c>
      <c r="M172" s="75" t="s">
        <v>71</v>
      </c>
      <c r="N172" s="13" t="s">
        <v>44</v>
      </c>
      <c r="O172" s="14"/>
      <c r="P172" s="14"/>
      <c r="Q172" s="14"/>
      <c r="R172" s="14"/>
      <c r="S172" s="14"/>
      <c r="T172" s="14"/>
      <c r="U172" s="14"/>
      <c r="V172" s="14"/>
      <c r="W172" s="14"/>
      <c r="X172" s="14"/>
      <c r="Y172" s="14"/>
      <c r="Z172" s="14"/>
      <c r="AA172" s="14"/>
      <c r="AB172" s="14"/>
      <c r="AC172" s="14"/>
      <c r="AD172" s="12"/>
      <c r="AE172" s="12"/>
      <c r="AF172" s="12"/>
      <c r="AG172" s="12"/>
      <c r="AH172" s="12"/>
      <c r="AI172" s="12"/>
      <c r="AJ172" s="12"/>
      <c r="AK172" s="11" t="s">
        <v>45</v>
      </c>
      <c r="AL172" s="13" t="s">
        <v>44</v>
      </c>
      <c r="AM172" s="13" t="s">
        <v>44</v>
      </c>
      <c r="AN172" s="75"/>
      <c r="AO172" s="15"/>
      <c r="AP172" s="15"/>
    </row>
    <row r="173">
      <c r="A173" s="11" t="s">
        <v>36</v>
      </c>
      <c r="B173" s="9">
        <v>45408.376612824075</v>
      </c>
      <c r="C173" s="10" t="s">
        <v>85</v>
      </c>
      <c r="D173" s="11" t="s">
        <v>109</v>
      </c>
      <c r="E173" s="11" t="s">
        <v>52</v>
      </c>
      <c r="F173" s="11" t="s">
        <v>40</v>
      </c>
      <c r="G173" s="11" t="s">
        <v>41</v>
      </c>
      <c r="H173" s="83" t="s">
        <v>127</v>
      </c>
      <c r="I173" s="11" t="s">
        <v>498</v>
      </c>
      <c r="J173" s="11" t="s">
        <v>86</v>
      </c>
      <c r="K173" s="12"/>
      <c r="L173" s="24" t="s">
        <v>499</v>
      </c>
      <c r="M173" s="11" t="s">
        <v>71</v>
      </c>
      <c r="N173" s="11" t="s">
        <v>96</v>
      </c>
      <c r="O173" s="14"/>
      <c r="P173" s="14"/>
      <c r="Q173" s="14"/>
      <c r="R173" s="14"/>
      <c r="S173" s="14"/>
      <c r="T173" s="14"/>
      <c r="U173" s="14"/>
      <c r="V173" s="14"/>
      <c r="W173" s="14"/>
      <c r="X173" s="14"/>
      <c r="Y173" s="14"/>
      <c r="Z173" s="14"/>
      <c r="AA173" s="14"/>
      <c r="AB173" s="14"/>
      <c r="AC173" s="14"/>
      <c r="AD173" s="12"/>
      <c r="AE173" s="12"/>
      <c r="AF173" s="12"/>
      <c r="AG173" s="78">
        <v>45411.0</v>
      </c>
      <c r="AH173" s="12"/>
      <c r="AI173" s="12"/>
      <c r="AJ173" s="12"/>
      <c r="AK173" s="11" t="s">
        <v>45</v>
      </c>
      <c r="AL173" s="13" t="s">
        <v>44</v>
      </c>
      <c r="AM173" s="11" t="s">
        <v>96</v>
      </c>
      <c r="AN173" s="11"/>
      <c r="AO173" s="8"/>
      <c r="AP173" s="8"/>
    </row>
    <row r="174">
      <c r="A174" s="11" t="s">
        <v>36</v>
      </c>
      <c r="B174" s="9">
        <v>45408.837399826385</v>
      </c>
      <c r="C174" s="10" t="s">
        <v>500</v>
      </c>
      <c r="D174" s="11" t="s">
        <v>501</v>
      </c>
      <c r="E174" s="11" t="s">
        <v>52</v>
      </c>
      <c r="F174" s="11" t="s">
        <v>40</v>
      </c>
      <c r="G174" s="11" t="s">
        <v>41</v>
      </c>
      <c r="H174" s="8" t="s">
        <v>277</v>
      </c>
      <c r="I174" s="71">
        <v>222.0</v>
      </c>
      <c r="J174" s="11" t="s">
        <v>214</v>
      </c>
      <c r="K174" s="28" t="s">
        <v>502</v>
      </c>
      <c r="L174" s="11" t="s">
        <v>503</v>
      </c>
      <c r="M174" s="11" t="s">
        <v>71</v>
      </c>
      <c r="N174" s="11" t="s">
        <v>96</v>
      </c>
      <c r="O174" s="14"/>
      <c r="P174" s="14"/>
      <c r="Q174" s="14"/>
      <c r="R174" s="14"/>
      <c r="S174" s="14"/>
      <c r="T174" s="14"/>
      <c r="U174" s="14"/>
      <c r="V174" s="14"/>
      <c r="W174" s="14"/>
      <c r="X174" s="14"/>
      <c r="Y174" s="14"/>
      <c r="Z174" s="14"/>
      <c r="AA174" s="14"/>
      <c r="AB174" s="14"/>
      <c r="AC174" s="14"/>
      <c r="AD174" s="12"/>
      <c r="AE174" s="12"/>
      <c r="AF174" s="12"/>
      <c r="AG174" s="78">
        <v>45411.0</v>
      </c>
      <c r="AH174" s="12"/>
      <c r="AI174" s="12"/>
      <c r="AJ174" s="12"/>
      <c r="AK174" s="11" t="s">
        <v>45</v>
      </c>
      <c r="AL174" s="13" t="s">
        <v>44</v>
      </c>
      <c r="AM174" s="11" t="s">
        <v>96</v>
      </c>
      <c r="AN174" s="11"/>
      <c r="AO174" s="8"/>
      <c r="AP174" s="8"/>
    </row>
    <row r="175">
      <c r="A175" s="11" t="s">
        <v>36</v>
      </c>
      <c r="B175" s="9">
        <v>45408.88848226852</v>
      </c>
      <c r="C175" s="10" t="s">
        <v>500</v>
      </c>
      <c r="D175" s="11" t="s">
        <v>389</v>
      </c>
      <c r="E175" s="11" t="s">
        <v>52</v>
      </c>
      <c r="F175" s="11" t="s">
        <v>40</v>
      </c>
      <c r="G175" s="11" t="s">
        <v>54</v>
      </c>
      <c r="H175" s="11" t="s">
        <v>480</v>
      </c>
      <c r="I175" s="11">
        <v>175.0</v>
      </c>
      <c r="J175" s="11" t="s">
        <v>214</v>
      </c>
      <c r="K175" s="24" t="s">
        <v>504</v>
      </c>
      <c r="L175" s="11" t="s">
        <v>505</v>
      </c>
      <c r="M175" s="11" t="s">
        <v>71</v>
      </c>
      <c r="N175" s="11" t="s">
        <v>96</v>
      </c>
      <c r="O175" s="14"/>
      <c r="P175" s="14"/>
      <c r="Q175" s="14"/>
      <c r="R175" s="14"/>
      <c r="S175" s="14"/>
      <c r="T175" s="14"/>
      <c r="U175" s="14"/>
      <c r="V175" s="14"/>
      <c r="W175" s="14"/>
      <c r="X175" s="14"/>
      <c r="Y175" s="14"/>
      <c r="Z175" s="14"/>
      <c r="AA175" s="14"/>
      <c r="AB175" s="14"/>
      <c r="AC175" s="14"/>
      <c r="AD175" s="12"/>
      <c r="AE175" s="12"/>
      <c r="AF175" s="12"/>
      <c r="AG175" s="78">
        <v>45411.0</v>
      </c>
      <c r="AH175" s="12"/>
      <c r="AI175" s="12"/>
      <c r="AJ175" s="12"/>
      <c r="AK175" s="11" t="s">
        <v>506</v>
      </c>
      <c r="AL175" s="13" t="s">
        <v>44</v>
      </c>
      <c r="AM175" s="11" t="s">
        <v>96</v>
      </c>
      <c r="AN175" s="11"/>
      <c r="AO175" s="8"/>
      <c r="AP175" s="8"/>
    </row>
    <row r="176">
      <c r="A176" s="11" t="s">
        <v>36</v>
      </c>
      <c r="B176" s="9">
        <v>45408.96933150463</v>
      </c>
      <c r="C176" s="10" t="s">
        <v>500</v>
      </c>
      <c r="D176" s="11" t="s">
        <v>389</v>
      </c>
      <c r="E176" s="11" t="s">
        <v>52</v>
      </c>
      <c r="F176" s="11" t="s">
        <v>40</v>
      </c>
      <c r="G176" s="11" t="s">
        <v>60</v>
      </c>
      <c r="H176" s="11" t="s">
        <v>47</v>
      </c>
      <c r="I176" s="71">
        <v>638.0</v>
      </c>
      <c r="J176" s="11" t="s">
        <v>214</v>
      </c>
      <c r="K176" s="24" t="s">
        <v>507</v>
      </c>
      <c r="L176" s="24" t="s">
        <v>508</v>
      </c>
      <c r="M176" s="11" t="s">
        <v>71</v>
      </c>
      <c r="N176" s="11" t="s">
        <v>96</v>
      </c>
      <c r="O176" s="14"/>
      <c r="P176" s="14"/>
      <c r="Q176" s="14"/>
      <c r="R176" s="14"/>
      <c r="S176" s="14"/>
      <c r="T176" s="14"/>
      <c r="U176" s="14"/>
      <c r="V176" s="14"/>
      <c r="W176" s="14"/>
      <c r="X176" s="14"/>
      <c r="Y176" s="14"/>
      <c r="Z176" s="14"/>
      <c r="AA176" s="14"/>
      <c r="AB176" s="14"/>
      <c r="AC176" s="14"/>
      <c r="AD176" s="12"/>
      <c r="AE176" s="12"/>
      <c r="AF176" s="12"/>
      <c r="AG176" s="78">
        <v>45411.0</v>
      </c>
      <c r="AH176" s="12"/>
      <c r="AI176" s="12"/>
      <c r="AJ176" s="12"/>
      <c r="AK176" s="11" t="s">
        <v>509</v>
      </c>
      <c r="AL176" s="13" t="s">
        <v>44</v>
      </c>
      <c r="AM176" s="11" t="s">
        <v>96</v>
      </c>
      <c r="AN176" s="11"/>
      <c r="AO176" s="8"/>
      <c r="AP176" s="8"/>
    </row>
    <row r="177">
      <c r="A177" s="11" t="s">
        <v>36</v>
      </c>
      <c r="B177" s="9">
        <v>45411.520393391205</v>
      </c>
      <c r="C177" s="10" t="s">
        <v>482</v>
      </c>
      <c r="D177" s="11" t="s">
        <v>109</v>
      </c>
      <c r="E177" s="11" t="s">
        <v>138</v>
      </c>
      <c r="F177" s="11" t="s">
        <v>65</v>
      </c>
      <c r="G177" s="11" t="s">
        <v>131</v>
      </c>
      <c r="H177" s="11" t="s">
        <v>480</v>
      </c>
      <c r="I177" s="11" t="s">
        <v>510</v>
      </c>
      <c r="J177" s="11" t="s">
        <v>484</v>
      </c>
      <c r="K177" s="12"/>
      <c r="L177" s="11" t="s">
        <v>511</v>
      </c>
      <c r="M177" s="11" t="s">
        <v>71</v>
      </c>
      <c r="N177" s="11" t="s">
        <v>96</v>
      </c>
      <c r="O177" s="14"/>
      <c r="P177" s="14"/>
      <c r="Q177" s="14"/>
      <c r="R177" s="14"/>
      <c r="S177" s="14"/>
      <c r="T177" s="14"/>
      <c r="U177" s="14"/>
      <c r="V177" s="14"/>
      <c r="W177" s="14"/>
      <c r="X177" s="14"/>
      <c r="Y177" s="14"/>
      <c r="Z177" s="14"/>
      <c r="AA177" s="14"/>
      <c r="AB177" s="14"/>
      <c r="AC177" s="14"/>
      <c r="AD177" s="12"/>
      <c r="AE177" s="12"/>
      <c r="AF177" s="12"/>
      <c r="AG177" s="78">
        <v>45412.0</v>
      </c>
      <c r="AH177" s="12"/>
      <c r="AI177" s="12"/>
      <c r="AJ177" s="12"/>
      <c r="AK177" s="11" t="s">
        <v>45</v>
      </c>
      <c r="AL177" s="13" t="s">
        <v>44</v>
      </c>
      <c r="AM177" s="11" t="s">
        <v>96</v>
      </c>
      <c r="AN177" s="11"/>
      <c r="AO177" s="8"/>
      <c r="AP177" s="8"/>
    </row>
    <row r="178">
      <c r="A178" s="11" t="s">
        <v>36</v>
      </c>
      <c r="B178" s="9">
        <v>45411.60643908565</v>
      </c>
      <c r="C178" s="10" t="s">
        <v>512</v>
      </c>
      <c r="D178" s="11" t="s">
        <v>142</v>
      </c>
      <c r="E178" s="11" t="s">
        <v>138</v>
      </c>
      <c r="F178" s="11" t="s">
        <v>65</v>
      </c>
      <c r="G178" s="11" t="s">
        <v>54</v>
      </c>
      <c r="H178" s="39" t="s">
        <v>127</v>
      </c>
      <c r="I178" s="11" t="s">
        <v>513</v>
      </c>
      <c r="J178" s="11" t="s">
        <v>514</v>
      </c>
      <c r="K178" s="12"/>
      <c r="L178" s="11" t="s">
        <v>515</v>
      </c>
      <c r="M178" s="11" t="s">
        <v>71</v>
      </c>
      <c r="N178" s="11" t="s">
        <v>96</v>
      </c>
      <c r="O178" s="14"/>
      <c r="P178" s="14"/>
      <c r="Q178" s="14"/>
      <c r="R178" s="14"/>
      <c r="S178" s="14"/>
      <c r="T178" s="14"/>
      <c r="U178" s="14"/>
      <c r="V178" s="14"/>
      <c r="W178" s="14"/>
      <c r="X178" s="14"/>
      <c r="Y178" s="14"/>
      <c r="Z178" s="14"/>
      <c r="AA178" s="14"/>
      <c r="AB178" s="14"/>
      <c r="AC178" s="14"/>
      <c r="AD178" s="12"/>
      <c r="AE178" s="12"/>
      <c r="AF178" s="12"/>
      <c r="AG178" s="78">
        <v>45412.0</v>
      </c>
      <c r="AH178" s="12"/>
      <c r="AI178" s="12"/>
      <c r="AJ178" s="12"/>
      <c r="AK178" s="11" t="s">
        <v>45</v>
      </c>
      <c r="AL178" s="13" t="s">
        <v>44</v>
      </c>
      <c r="AM178" s="11" t="s">
        <v>96</v>
      </c>
      <c r="AN178" s="11"/>
      <c r="AO178" s="8"/>
      <c r="AP178" s="8"/>
    </row>
    <row r="179">
      <c r="A179" s="11" t="s">
        <v>36</v>
      </c>
      <c r="B179" s="9">
        <v>45412.43829464121</v>
      </c>
      <c r="C179" s="10" t="s">
        <v>516</v>
      </c>
      <c r="D179" s="11" t="s">
        <v>51</v>
      </c>
      <c r="E179" s="11" t="s">
        <v>52</v>
      </c>
      <c r="F179" s="11" t="s">
        <v>210</v>
      </c>
      <c r="G179" s="11" t="s">
        <v>54</v>
      </c>
      <c r="H179" s="11" t="s">
        <v>417</v>
      </c>
      <c r="I179" s="77">
        <v>525.0</v>
      </c>
      <c r="J179" s="11" t="s">
        <v>383</v>
      </c>
      <c r="K179" s="11" t="s">
        <v>517</v>
      </c>
      <c r="L179" s="11" t="s">
        <v>518</v>
      </c>
      <c r="M179" s="11" t="s">
        <v>71</v>
      </c>
      <c r="N179" s="11" t="s">
        <v>68</v>
      </c>
      <c r="O179" s="14"/>
      <c r="P179" s="14"/>
      <c r="Q179" s="14"/>
      <c r="R179" s="14"/>
      <c r="S179" s="14"/>
      <c r="T179" s="14"/>
      <c r="U179" s="14"/>
      <c r="V179" s="14"/>
      <c r="W179" s="14"/>
      <c r="X179" s="14"/>
      <c r="Y179" s="14"/>
      <c r="Z179" s="14"/>
      <c r="AA179" s="14"/>
      <c r="AB179" s="14"/>
      <c r="AC179" s="14"/>
      <c r="AD179" s="12"/>
      <c r="AE179" s="12"/>
      <c r="AF179" s="12"/>
      <c r="AG179" s="78">
        <v>45412.0</v>
      </c>
      <c r="AH179" s="12"/>
      <c r="AI179" s="12"/>
      <c r="AJ179" s="12"/>
      <c r="AK179" s="11" t="s">
        <v>45</v>
      </c>
      <c r="AL179" s="27" t="s">
        <v>70</v>
      </c>
      <c r="AM179" s="11" t="s">
        <v>68</v>
      </c>
      <c r="AN179" s="11"/>
      <c r="AO179" s="8"/>
      <c r="AP179" s="15"/>
    </row>
    <row r="180">
      <c r="A180" s="11" t="s">
        <v>36</v>
      </c>
      <c r="B180" s="9">
        <v>45412.44223388888</v>
      </c>
      <c r="C180" s="10" t="s">
        <v>516</v>
      </c>
      <c r="D180" s="11" t="s">
        <v>51</v>
      </c>
      <c r="E180" s="11" t="s">
        <v>52</v>
      </c>
      <c r="F180" s="11" t="s">
        <v>210</v>
      </c>
      <c r="G180" s="11" t="s">
        <v>54</v>
      </c>
      <c r="H180" s="11" t="s">
        <v>277</v>
      </c>
      <c r="I180" s="77">
        <v>286.0</v>
      </c>
      <c r="J180" s="11" t="s">
        <v>383</v>
      </c>
      <c r="K180" s="28" t="s">
        <v>519</v>
      </c>
      <c r="L180" s="11" t="s">
        <v>520</v>
      </c>
      <c r="M180" s="11" t="s">
        <v>71</v>
      </c>
      <c r="N180" s="11" t="s">
        <v>68</v>
      </c>
      <c r="O180" s="14"/>
      <c r="P180" s="14"/>
      <c r="Q180" s="14"/>
      <c r="R180" s="14"/>
      <c r="S180" s="14"/>
      <c r="T180" s="14"/>
      <c r="U180" s="14"/>
      <c r="V180" s="14"/>
      <c r="W180" s="14"/>
      <c r="X180" s="14"/>
      <c r="Y180" s="14"/>
      <c r="Z180" s="14"/>
      <c r="AA180" s="14"/>
      <c r="AB180" s="14"/>
      <c r="AC180" s="14"/>
      <c r="AD180" s="12"/>
      <c r="AE180" s="12"/>
      <c r="AF180" s="12"/>
      <c r="AG180" s="78">
        <v>45412.0</v>
      </c>
      <c r="AH180" s="12"/>
      <c r="AI180" s="12"/>
      <c r="AJ180" s="12"/>
      <c r="AK180" s="11" t="s">
        <v>45</v>
      </c>
      <c r="AL180" s="27" t="s">
        <v>70</v>
      </c>
      <c r="AM180" s="11" t="s">
        <v>68</v>
      </c>
      <c r="AN180" s="11"/>
      <c r="AO180" s="8"/>
      <c r="AP180" s="8"/>
    </row>
    <row r="181">
      <c r="A181" s="11" t="s">
        <v>36</v>
      </c>
      <c r="B181" s="9">
        <v>45412.52313920139</v>
      </c>
      <c r="C181" s="10" t="s">
        <v>272</v>
      </c>
      <c r="D181" s="11" t="s">
        <v>51</v>
      </c>
      <c r="E181" s="11" t="s">
        <v>52</v>
      </c>
      <c r="F181" s="11" t="s">
        <v>65</v>
      </c>
      <c r="G181" s="11" t="s">
        <v>131</v>
      </c>
      <c r="H181" s="83" t="s">
        <v>127</v>
      </c>
      <c r="I181" s="113">
        <v>5000.0</v>
      </c>
      <c r="J181" s="11" t="s">
        <v>102</v>
      </c>
      <c r="K181" s="12"/>
      <c r="L181" s="11" t="s">
        <v>521</v>
      </c>
      <c r="M181" s="11" t="s">
        <v>71</v>
      </c>
      <c r="N181" s="11" t="s">
        <v>96</v>
      </c>
      <c r="O181" s="14"/>
      <c r="P181" s="14"/>
      <c r="Q181" s="14"/>
      <c r="R181" s="14"/>
      <c r="S181" s="14"/>
      <c r="T181" s="14"/>
      <c r="U181" s="14"/>
      <c r="V181" s="14"/>
      <c r="W181" s="14"/>
      <c r="X181" s="14"/>
      <c r="Y181" s="14"/>
      <c r="Z181" s="14"/>
      <c r="AA181" s="14"/>
      <c r="AB181" s="14"/>
      <c r="AC181" s="14"/>
      <c r="AD181" s="12"/>
      <c r="AE181" s="12"/>
      <c r="AF181" s="12"/>
      <c r="AG181" s="78">
        <v>45412.0</v>
      </c>
      <c r="AH181" s="12"/>
      <c r="AI181" s="12"/>
      <c r="AJ181" s="12"/>
      <c r="AK181" s="11" t="s">
        <v>45</v>
      </c>
      <c r="AL181" s="13" t="s">
        <v>44</v>
      </c>
      <c r="AM181" s="11" t="s">
        <v>96</v>
      </c>
      <c r="AN181" s="11"/>
      <c r="AO181" s="8"/>
      <c r="AP181" s="8"/>
    </row>
    <row r="182">
      <c r="A182" s="11" t="s">
        <v>36</v>
      </c>
      <c r="B182" s="9">
        <v>45412.67138668981</v>
      </c>
      <c r="C182" s="10" t="s">
        <v>522</v>
      </c>
      <c r="D182" s="11" t="s">
        <v>51</v>
      </c>
      <c r="E182" s="11" t="s">
        <v>52</v>
      </c>
      <c r="F182" s="11" t="s">
        <v>80</v>
      </c>
      <c r="G182" s="11" t="s">
        <v>131</v>
      </c>
      <c r="H182" s="11" t="s">
        <v>47</v>
      </c>
      <c r="I182" s="11" t="s">
        <v>523</v>
      </c>
      <c r="J182" s="11" t="s">
        <v>90</v>
      </c>
      <c r="K182" s="12"/>
      <c r="L182" s="11" t="s">
        <v>524</v>
      </c>
      <c r="M182" s="11" t="s">
        <v>71</v>
      </c>
      <c r="N182" s="11" t="s">
        <v>96</v>
      </c>
      <c r="O182" s="14"/>
      <c r="P182" s="14"/>
      <c r="Q182" s="14"/>
      <c r="R182" s="14"/>
      <c r="S182" s="14"/>
      <c r="T182" s="14"/>
      <c r="U182" s="14"/>
      <c r="V182" s="14"/>
      <c r="W182" s="14"/>
      <c r="X182" s="14"/>
      <c r="Y182" s="14"/>
      <c r="Z182" s="14"/>
      <c r="AA182" s="14"/>
      <c r="AB182" s="14"/>
      <c r="AC182" s="14"/>
      <c r="AD182" s="12"/>
      <c r="AE182" s="12"/>
      <c r="AF182" s="12"/>
      <c r="AG182" s="78">
        <v>45419.0</v>
      </c>
      <c r="AH182" s="12"/>
      <c r="AI182" s="12"/>
      <c r="AJ182" s="12"/>
      <c r="AK182" s="11" t="s">
        <v>525</v>
      </c>
      <c r="AL182" s="13" t="s">
        <v>44</v>
      </c>
      <c r="AM182" s="11" t="s">
        <v>96</v>
      </c>
      <c r="AN182" s="11"/>
      <c r="AO182" s="8"/>
      <c r="AP182" s="8"/>
    </row>
    <row r="183">
      <c r="A183" s="75" t="s">
        <v>177</v>
      </c>
      <c r="B183" s="73">
        <v>45413.47271112268</v>
      </c>
      <c r="C183" s="74" t="s">
        <v>108</v>
      </c>
      <c r="D183" s="75" t="s">
        <v>109</v>
      </c>
      <c r="E183" s="75" t="s">
        <v>52</v>
      </c>
      <c r="F183" s="75" t="s">
        <v>65</v>
      </c>
      <c r="G183" s="75" t="s">
        <v>54</v>
      </c>
      <c r="H183" s="39" t="s">
        <v>127</v>
      </c>
      <c r="I183" s="75">
        <v>160.0</v>
      </c>
      <c r="J183" s="75" t="s">
        <v>102</v>
      </c>
      <c r="K183" s="114"/>
      <c r="L183" s="115" t="s">
        <v>526</v>
      </c>
      <c r="M183" s="75" t="s">
        <v>71</v>
      </c>
      <c r="N183" s="13" t="s">
        <v>44</v>
      </c>
      <c r="O183" s="14"/>
      <c r="P183" s="14"/>
      <c r="Q183" s="14"/>
      <c r="R183" s="14"/>
      <c r="S183" s="14"/>
      <c r="T183" s="14"/>
      <c r="U183" s="14"/>
      <c r="V183" s="14"/>
      <c r="W183" s="14"/>
      <c r="X183" s="14"/>
      <c r="Y183" s="14"/>
      <c r="Z183" s="14"/>
      <c r="AA183" s="14"/>
      <c r="AB183" s="14"/>
      <c r="AC183" s="14"/>
      <c r="AD183" s="12"/>
      <c r="AE183" s="12"/>
      <c r="AF183" s="12"/>
      <c r="AG183" s="12"/>
      <c r="AH183" s="12"/>
      <c r="AI183" s="12"/>
      <c r="AJ183" s="12"/>
      <c r="AK183" s="11" t="s">
        <v>45</v>
      </c>
      <c r="AL183" s="13" t="s">
        <v>44</v>
      </c>
      <c r="AM183" s="13" t="s">
        <v>44</v>
      </c>
      <c r="AN183" s="75"/>
      <c r="AO183" s="15"/>
      <c r="AP183" s="15"/>
    </row>
    <row r="184">
      <c r="A184" s="11" t="s">
        <v>36</v>
      </c>
      <c r="B184" s="9">
        <v>45413.47377465278</v>
      </c>
      <c r="C184" s="10" t="s">
        <v>108</v>
      </c>
      <c r="D184" s="11" t="s">
        <v>109</v>
      </c>
      <c r="E184" s="11" t="s">
        <v>52</v>
      </c>
      <c r="F184" s="11" t="s">
        <v>65</v>
      </c>
      <c r="G184" s="11" t="s">
        <v>54</v>
      </c>
      <c r="H184" s="11" t="s">
        <v>480</v>
      </c>
      <c r="I184" s="11">
        <v>65.0</v>
      </c>
      <c r="J184" s="11" t="s">
        <v>102</v>
      </c>
      <c r="K184" s="12"/>
      <c r="L184" s="24" t="s">
        <v>527</v>
      </c>
      <c r="M184" s="11" t="s">
        <v>71</v>
      </c>
      <c r="N184" s="11" t="s">
        <v>96</v>
      </c>
      <c r="O184" s="14"/>
      <c r="P184" s="14"/>
      <c r="Q184" s="14"/>
      <c r="R184" s="14"/>
      <c r="S184" s="14"/>
      <c r="T184" s="14"/>
      <c r="U184" s="14"/>
      <c r="V184" s="14"/>
      <c r="W184" s="14"/>
      <c r="X184" s="14"/>
      <c r="Y184" s="14"/>
      <c r="Z184" s="14"/>
      <c r="AA184" s="14"/>
      <c r="AB184" s="14"/>
      <c r="AC184" s="14"/>
      <c r="AD184" s="12"/>
      <c r="AE184" s="12"/>
      <c r="AF184" s="12"/>
      <c r="AG184" s="78">
        <v>45418.0</v>
      </c>
      <c r="AH184" s="12"/>
      <c r="AI184" s="12"/>
      <c r="AJ184" s="12"/>
      <c r="AK184" s="11" t="s">
        <v>45</v>
      </c>
      <c r="AL184" s="13" t="s">
        <v>44</v>
      </c>
      <c r="AM184" s="11" t="s">
        <v>96</v>
      </c>
      <c r="AN184" s="11"/>
      <c r="AO184" s="8"/>
      <c r="AP184" s="8"/>
    </row>
    <row r="185">
      <c r="A185" s="16" t="s">
        <v>36</v>
      </c>
      <c r="B185" s="116">
        <v>45413.54705111111</v>
      </c>
      <c r="C185" s="117" t="s">
        <v>88</v>
      </c>
      <c r="D185" s="16" t="s">
        <v>51</v>
      </c>
      <c r="E185" s="16" t="s">
        <v>52</v>
      </c>
      <c r="F185" s="16" t="s">
        <v>65</v>
      </c>
      <c r="G185" s="16" t="s">
        <v>54</v>
      </c>
      <c r="H185" s="16" t="s">
        <v>89</v>
      </c>
      <c r="I185" s="16" t="s">
        <v>528</v>
      </c>
      <c r="J185" s="16" t="s">
        <v>90</v>
      </c>
      <c r="K185" s="118"/>
      <c r="L185" s="118"/>
      <c r="M185" s="16" t="s">
        <v>71</v>
      </c>
      <c r="N185" s="16" t="s">
        <v>68</v>
      </c>
      <c r="O185" s="119"/>
      <c r="P185" s="119"/>
      <c r="Q185" s="119"/>
      <c r="R185" s="119"/>
      <c r="S185" s="119"/>
      <c r="T185" s="119"/>
      <c r="U185" s="119"/>
      <c r="V185" s="119"/>
      <c r="W185" s="119"/>
      <c r="X185" s="119"/>
      <c r="Y185" s="119"/>
      <c r="Z185" s="119"/>
      <c r="AA185" s="119"/>
      <c r="AB185" s="119"/>
      <c r="AC185" s="119"/>
      <c r="AD185" s="118"/>
      <c r="AE185" s="118"/>
      <c r="AF185" s="118"/>
      <c r="AG185" s="118"/>
      <c r="AH185" s="118"/>
      <c r="AI185" s="118"/>
      <c r="AJ185" s="118"/>
      <c r="AK185" s="16" t="s">
        <v>529</v>
      </c>
      <c r="AL185" s="27" t="s">
        <v>70</v>
      </c>
      <c r="AM185" s="16" t="s">
        <v>68</v>
      </c>
      <c r="AN185" s="16"/>
      <c r="AO185" s="120"/>
      <c r="AP185" s="120"/>
    </row>
    <row r="186">
      <c r="A186" s="11" t="s">
        <v>36</v>
      </c>
      <c r="B186" s="9">
        <v>45414.371862835644</v>
      </c>
      <c r="C186" s="10" t="s">
        <v>530</v>
      </c>
      <c r="D186" s="11" t="s">
        <v>142</v>
      </c>
      <c r="E186" s="11" t="s">
        <v>52</v>
      </c>
      <c r="F186" s="11" t="s">
        <v>65</v>
      </c>
      <c r="G186" s="11" t="s">
        <v>131</v>
      </c>
      <c r="H186" s="39" t="s">
        <v>127</v>
      </c>
      <c r="I186" s="71">
        <v>485.0</v>
      </c>
      <c r="J186" s="11" t="s">
        <v>43</v>
      </c>
      <c r="K186" s="12"/>
      <c r="L186" s="11" t="s">
        <v>531</v>
      </c>
      <c r="M186" s="11" t="s">
        <v>71</v>
      </c>
      <c r="N186" s="11" t="s">
        <v>96</v>
      </c>
      <c r="O186" s="14"/>
      <c r="P186" s="14"/>
      <c r="Q186" s="14"/>
      <c r="R186" s="14"/>
      <c r="S186" s="14"/>
      <c r="T186" s="14"/>
      <c r="U186" s="14"/>
      <c r="V186" s="14"/>
      <c r="W186" s="14"/>
      <c r="X186" s="14"/>
      <c r="Y186" s="14"/>
      <c r="Z186" s="14"/>
      <c r="AA186" s="14"/>
      <c r="AB186" s="14"/>
      <c r="AC186" s="14"/>
      <c r="AD186" s="12"/>
      <c r="AE186" s="12"/>
      <c r="AF186" s="12"/>
      <c r="AG186" s="78">
        <v>45418.0</v>
      </c>
      <c r="AH186" s="12"/>
      <c r="AI186" s="12"/>
      <c r="AJ186" s="12"/>
      <c r="AK186" s="11" t="s">
        <v>45</v>
      </c>
      <c r="AL186" s="13" t="s">
        <v>44</v>
      </c>
      <c r="AM186" s="11" t="s">
        <v>96</v>
      </c>
      <c r="AN186" s="11"/>
      <c r="AO186" s="8"/>
      <c r="AP186" s="8"/>
    </row>
    <row r="187">
      <c r="A187" s="11" t="s">
        <v>36</v>
      </c>
      <c r="B187" s="9">
        <v>45414.53670077546</v>
      </c>
      <c r="C187" s="10" t="s">
        <v>123</v>
      </c>
      <c r="D187" s="11" t="s">
        <v>124</v>
      </c>
      <c r="E187" s="11" t="s">
        <v>52</v>
      </c>
      <c r="F187" s="11" t="s">
        <v>65</v>
      </c>
      <c r="G187" s="11" t="s">
        <v>54</v>
      </c>
      <c r="H187" s="11" t="s">
        <v>480</v>
      </c>
      <c r="I187" s="11">
        <v>175.0</v>
      </c>
      <c r="J187" s="11" t="s">
        <v>118</v>
      </c>
      <c r="K187" s="12"/>
      <c r="L187" s="24" t="s">
        <v>532</v>
      </c>
      <c r="M187" s="11" t="s">
        <v>71</v>
      </c>
      <c r="N187" s="13" t="s">
        <v>44</v>
      </c>
      <c r="O187" s="14"/>
      <c r="P187" s="14"/>
      <c r="Q187" s="14"/>
      <c r="R187" s="14"/>
      <c r="S187" s="14"/>
      <c r="T187" s="14"/>
      <c r="U187" s="14"/>
      <c r="V187" s="14"/>
      <c r="W187" s="14"/>
      <c r="X187" s="14"/>
      <c r="Y187" s="14"/>
      <c r="Z187" s="14"/>
      <c r="AA187" s="14"/>
      <c r="AB187" s="14"/>
      <c r="AC187" s="14"/>
      <c r="AD187" s="12"/>
      <c r="AE187" s="12"/>
      <c r="AF187" s="12"/>
      <c r="AG187" s="12"/>
      <c r="AH187" s="12"/>
      <c r="AI187" s="12"/>
      <c r="AJ187" s="12"/>
      <c r="AK187" s="11" t="s">
        <v>45</v>
      </c>
      <c r="AL187" s="13" t="s">
        <v>44</v>
      </c>
      <c r="AM187" s="13" t="s">
        <v>44</v>
      </c>
      <c r="AN187" s="11"/>
      <c r="AO187" s="15"/>
      <c r="AP187" s="15"/>
    </row>
    <row r="188">
      <c r="A188" s="11" t="s">
        <v>36</v>
      </c>
      <c r="B188" s="9">
        <v>45414.54131569444</v>
      </c>
      <c r="C188" s="10" t="s">
        <v>368</v>
      </c>
      <c r="D188" s="11" t="s">
        <v>142</v>
      </c>
      <c r="E188" s="11" t="s">
        <v>52</v>
      </c>
      <c r="F188" s="11" t="s">
        <v>40</v>
      </c>
      <c r="G188" s="11" t="s">
        <v>41</v>
      </c>
      <c r="H188" s="11" t="s">
        <v>277</v>
      </c>
      <c r="I188" s="11">
        <v>260.0</v>
      </c>
      <c r="J188" s="11" t="s">
        <v>102</v>
      </c>
      <c r="K188" s="28" t="s">
        <v>533</v>
      </c>
      <c r="L188" s="11" t="s">
        <v>534</v>
      </c>
      <c r="M188" s="11" t="s">
        <v>71</v>
      </c>
      <c r="N188" s="11" t="s">
        <v>96</v>
      </c>
      <c r="O188" s="14"/>
      <c r="P188" s="14"/>
      <c r="Q188" s="14"/>
      <c r="R188" s="14"/>
      <c r="S188" s="14"/>
      <c r="T188" s="14"/>
      <c r="U188" s="14"/>
      <c r="V188" s="14"/>
      <c r="W188" s="14"/>
      <c r="X188" s="14"/>
      <c r="Y188" s="14"/>
      <c r="Z188" s="14"/>
      <c r="AA188" s="14"/>
      <c r="AB188" s="14"/>
      <c r="AC188" s="14"/>
      <c r="AD188" s="12"/>
      <c r="AE188" s="12"/>
      <c r="AF188" s="12"/>
      <c r="AG188" s="78">
        <v>45418.0</v>
      </c>
      <c r="AH188" s="12"/>
      <c r="AI188" s="12"/>
      <c r="AJ188" s="12"/>
      <c r="AK188" s="11" t="s">
        <v>45</v>
      </c>
      <c r="AL188" s="13" t="s">
        <v>44</v>
      </c>
      <c r="AM188" s="11" t="s">
        <v>96</v>
      </c>
      <c r="AN188" s="11"/>
      <c r="AO188" s="8"/>
      <c r="AP188" s="8"/>
    </row>
    <row r="189">
      <c r="A189" s="16" t="s">
        <v>535</v>
      </c>
      <c r="B189" s="116">
        <v>45414.60504956018</v>
      </c>
      <c r="C189" s="117" t="s">
        <v>536</v>
      </c>
      <c r="D189" s="16" t="s">
        <v>142</v>
      </c>
      <c r="E189" s="16" t="s">
        <v>138</v>
      </c>
      <c r="F189" s="16" t="s">
        <v>139</v>
      </c>
      <c r="G189" s="16" t="s">
        <v>41</v>
      </c>
      <c r="H189" s="39" t="s">
        <v>127</v>
      </c>
      <c r="I189" s="16" t="s">
        <v>537</v>
      </c>
      <c r="J189" s="16" t="s">
        <v>538</v>
      </c>
      <c r="K189" s="118"/>
      <c r="L189" s="16" t="s">
        <v>539</v>
      </c>
      <c r="M189" s="16" t="s">
        <v>71</v>
      </c>
      <c r="N189" s="16" t="s">
        <v>96</v>
      </c>
      <c r="O189" s="119"/>
      <c r="P189" s="119"/>
      <c r="Q189" s="119"/>
      <c r="R189" s="119"/>
      <c r="S189" s="119"/>
      <c r="T189" s="119"/>
      <c r="U189" s="119"/>
      <c r="V189" s="119"/>
      <c r="W189" s="119"/>
      <c r="X189" s="119"/>
      <c r="Y189" s="119"/>
      <c r="Z189" s="119"/>
      <c r="AA189" s="119"/>
      <c r="AB189" s="119"/>
      <c r="AC189" s="119"/>
      <c r="AD189" s="118"/>
      <c r="AE189" s="118"/>
      <c r="AF189" s="118"/>
      <c r="AG189" s="118"/>
      <c r="AH189" s="118"/>
      <c r="AI189" s="118"/>
      <c r="AJ189" s="118"/>
      <c r="AK189" s="16" t="s">
        <v>540</v>
      </c>
      <c r="AL189" s="13" t="s">
        <v>44</v>
      </c>
      <c r="AM189" s="16" t="s">
        <v>96</v>
      </c>
      <c r="AN189" s="16"/>
      <c r="AO189" s="120"/>
      <c r="AP189" s="120"/>
    </row>
    <row r="190">
      <c r="A190" s="11" t="s">
        <v>36</v>
      </c>
      <c r="B190" s="9">
        <v>45415.470952511576</v>
      </c>
      <c r="C190" s="10" t="s">
        <v>541</v>
      </c>
      <c r="D190" s="11" t="s">
        <v>51</v>
      </c>
      <c r="E190" s="11" t="s">
        <v>52</v>
      </c>
      <c r="F190" s="11" t="s">
        <v>65</v>
      </c>
      <c r="G190" s="11" t="s">
        <v>54</v>
      </c>
      <c r="H190" s="11" t="s">
        <v>480</v>
      </c>
      <c r="I190" s="11" t="s">
        <v>542</v>
      </c>
      <c r="J190" s="11" t="s">
        <v>538</v>
      </c>
      <c r="K190" s="28" t="s">
        <v>543</v>
      </c>
      <c r="L190" s="11" t="s">
        <v>544</v>
      </c>
      <c r="M190" s="11" t="s">
        <v>71</v>
      </c>
      <c r="N190" s="11" t="s">
        <v>68</v>
      </c>
      <c r="O190" s="14"/>
      <c r="P190" s="14"/>
      <c r="Q190" s="14"/>
      <c r="R190" s="14"/>
      <c r="S190" s="14"/>
      <c r="T190" s="14"/>
      <c r="U190" s="14"/>
      <c r="V190" s="14"/>
      <c r="W190" s="14"/>
      <c r="X190" s="14"/>
      <c r="Y190" s="14"/>
      <c r="Z190" s="14"/>
      <c r="AA190" s="14"/>
      <c r="AB190" s="14"/>
      <c r="AC190" s="14"/>
      <c r="AD190" s="12"/>
      <c r="AE190" s="12"/>
      <c r="AF190" s="12"/>
      <c r="AG190" s="78">
        <v>45419.0</v>
      </c>
      <c r="AH190" s="12"/>
      <c r="AI190" s="12"/>
      <c r="AJ190" s="12"/>
      <c r="AK190" s="11" t="s">
        <v>45</v>
      </c>
      <c r="AL190" s="27" t="s">
        <v>70</v>
      </c>
      <c r="AM190" s="11" t="s">
        <v>68</v>
      </c>
      <c r="AN190" s="11"/>
      <c r="AO190" s="8"/>
      <c r="AP190" s="8"/>
    </row>
    <row r="191">
      <c r="A191" s="11" t="s">
        <v>36</v>
      </c>
      <c r="B191" s="9">
        <v>45415.6070462037</v>
      </c>
      <c r="C191" s="10" t="s">
        <v>545</v>
      </c>
      <c r="D191" s="11" t="s">
        <v>51</v>
      </c>
      <c r="E191" s="11" t="s">
        <v>52</v>
      </c>
      <c r="F191" s="11" t="s">
        <v>65</v>
      </c>
      <c r="G191" s="11" t="s">
        <v>131</v>
      </c>
      <c r="H191" s="11" t="s">
        <v>47</v>
      </c>
      <c r="I191" s="71">
        <v>150.0</v>
      </c>
      <c r="J191" s="11" t="s">
        <v>90</v>
      </c>
      <c r="K191" s="12"/>
      <c r="L191" s="11" t="s">
        <v>546</v>
      </c>
      <c r="M191" s="11" t="s">
        <v>71</v>
      </c>
      <c r="N191" s="11" t="s">
        <v>96</v>
      </c>
      <c r="O191" s="14"/>
      <c r="P191" s="14"/>
      <c r="Q191" s="14"/>
      <c r="R191" s="14"/>
      <c r="S191" s="14"/>
      <c r="T191" s="14"/>
      <c r="U191" s="14"/>
      <c r="V191" s="14"/>
      <c r="W191" s="14"/>
      <c r="X191" s="14"/>
      <c r="Y191" s="14"/>
      <c r="Z191" s="14"/>
      <c r="AA191" s="14"/>
      <c r="AB191" s="14"/>
      <c r="AC191" s="14"/>
      <c r="AD191" s="12"/>
      <c r="AE191" s="12"/>
      <c r="AF191" s="12"/>
      <c r="AG191" s="78">
        <v>45419.0</v>
      </c>
      <c r="AH191" s="12"/>
      <c r="AI191" s="12"/>
      <c r="AJ191" s="12"/>
      <c r="AK191" s="11" t="s">
        <v>45</v>
      </c>
      <c r="AL191" s="13" t="s">
        <v>44</v>
      </c>
      <c r="AM191" s="11" t="s">
        <v>96</v>
      </c>
      <c r="AN191" s="11"/>
      <c r="AO191" s="8"/>
      <c r="AP191" s="8"/>
    </row>
    <row r="192">
      <c r="A192" s="75" t="s">
        <v>177</v>
      </c>
      <c r="B192" s="73">
        <v>45415.61628366898</v>
      </c>
      <c r="C192" s="74" t="s">
        <v>547</v>
      </c>
      <c r="D192" s="75" t="s">
        <v>51</v>
      </c>
      <c r="E192" s="75" t="s">
        <v>52</v>
      </c>
      <c r="F192" s="75" t="s">
        <v>65</v>
      </c>
      <c r="G192" s="75" t="s">
        <v>54</v>
      </c>
      <c r="H192" s="75" t="s">
        <v>47</v>
      </c>
      <c r="I192" s="121">
        <v>150.0</v>
      </c>
      <c r="J192" s="75" t="s">
        <v>433</v>
      </c>
      <c r="K192" s="114"/>
      <c r="L192" s="75" t="s">
        <v>548</v>
      </c>
      <c r="M192" s="75" t="s">
        <v>71</v>
      </c>
      <c r="N192" s="13" t="s">
        <v>44</v>
      </c>
      <c r="O192" s="14"/>
      <c r="P192" s="14"/>
      <c r="Q192" s="14"/>
      <c r="R192" s="14"/>
      <c r="S192" s="14"/>
      <c r="T192" s="14"/>
      <c r="U192" s="14"/>
      <c r="V192" s="14"/>
      <c r="W192" s="14"/>
      <c r="X192" s="14"/>
      <c r="Y192" s="14"/>
      <c r="Z192" s="14"/>
      <c r="AA192" s="14"/>
      <c r="AB192" s="14"/>
      <c r="AC192" s="14"/>
      <c r="AD192" s="12"/>
      <c r="AE192" s="12"/>
      <c r="AF192" s="12"/>
      <c r="AG192" s="12"/>
      <c r="AH192" s="12"/>
      <c r="AI192" s="12"/>
      <c r="AJ192" s="12"/>
      <c r="AK192" s="11" t="s">
        <v>45</v>
      </c>
      <c r="AL192" s="13" t="s">
        <v>44</v>
      </c>
      <c r="AM192" s="13" t="s">
        <v>44</v>
      </c>
      <c r="AN192" s="75"/>
      <c r="AO192" s="15"/>
      <c r="AP192" s="15"/>
    </row>
    <row r="193">
      <c r="A193" s="11" t="s">
        <v>36</v>
      </c>
      <c r="B193" s="9">
        <v>45415.65010109954</v>
      </c>
      <c r="C193" s="10" t="s">
        <v>314</v>
      </c>
      <c r="D193" s="11" t="s">
        <v>315</v>
      </c>
      <c r="E193" s="11" t="s">
        <v>252</v>
      </c>
      <c r="F193" s="11" t="s">
        <v>549</v>
      </c>
      <c r="G193" s="11" t="s">
        <v>131</v>
      </c>
      <c r="H193" s="11" t="s">
        <v>47</v>
      </c>
      <c r="I193" s="71">
        <v>250.0</v>
      </c>
      <c r="J193" s="11" t="s">
        <v>100</v>
      </c>
      <c r="K193" s="12"/>
      <c r="L193" s="24" t="s">
        <v>550</v>
      </c>
      <c r="M193" s="11" t="s">
        <v>71</v>
      </c>
      <c r="N193" s="11" t="s">
        <v>68</v>
      </c>
      <c r="O193" s="14"/>
      <c r="P193" s="14"/>
      <c r="Q193" s="14"/>
      <c r="R193" s="14"/>
      <c r="S193" s="14"/>
      <c r="T193" s="14"/>
      <c r="U193" s="14"/>
      <c r="V193" s="14"/>
      <c r="W193" s="14"/>
      <c r="X193" s="14"/>
      <c r="Y193" s="14"/>
      <c r="Z193" s="14"/>
      <c r="AA193" s="14"/>
      <c r="AB193" s="14"/>
      <c r="AC193" s="14"/>
      <c r="AD193" s="12"/>
      <c r="AE193" s="12"/>
      <c r="AF193" s="12"/>
      <c r="AG193" s="78">
        <v>45419.0</v>
      </c>
      <c r="AH193" s="12"/>
      <c r="AI193" s="12"/>
      <c r="AJ193" s="12"/>
      <c r="AK193" s="11" t="s">
        <v>45</v>
      </c>
      <c r="AL193" s="27" t="s">
        <v>70</v>
      </c>
      <c r="AM193" s="11" t="s">
        <v>68</v>
      </c>
      <c r="AN193" s="11"/>
      <c r="AO193" s="8"/>
      <c r="AP193" s="8"/>
    </row>
    <row r="194">
      <c r="A194" s="11" t="s">
        <v>36</v>
      </c>
      <c r="B194" s="9">
        <v>45415.651079456016</v>
      </c>
      <c r="C194" s="10" t="s">
        <v>314</v>
      </c>
      <c r="D194" s="11" t="s">
        <v>315</v>
      </c>
      <c r="E194" s="11" t="s">
        <v>252</v>
      </c>
      <c r="F194" s="11" t="s">
        <v>549</v>
      </c>
      <c r="G194" s="11" t="s">
        <v>131</v>
      </c>
      <c r="H194" s="39" t="s">
        <v>127</v>
      </c>
      <c r="I194" s="71">
        <v>250.0</v>
      </c>
      <c r="J194" s="11" t="s">
        <v>100</v>
      </c>
      <c r="K194" s="12"/>
      <c r="L194" s="24" t="s">
        <v>551</v>
      </c>
      <c r="M194" s="11" t="s">
        <v>71</v>
      </c>
      <c r="N194" s="11" t="s">
        <v>68</v>
      </c>
      <c r="O194" s="14"/>
      <c r="P194" s="14"/>
      <c r="Q194" s="14"/>
      <c r="R194" s="14"/>
      <c r="S194" s="14"/>
      <c r="T194" s="14"/>
      <c r="U194" s="14"/>
      <c r="V194" s="14"/>
      <c r="W194" s="14"/>
      <c r="X194" s="14"/>
      <c r="Y194" s="14"/>
      <c r="Z194" s="14"/>
      <c r="AA194" s="14"/>
      <c r="AB194" s="14"/>
      <c r="AC194" s="14"/>
      <c r="AD194" s="12"/>
      <c r="AE194" s="12"/>
      <c r="AF194" s="12"/>
      <c r="AG194" s="78">
        <v>45419.0</v>
      </c>
      <c r="AH194" s="12"/>
      <c r="AI194" s="12"/>
      <c r="AJ194" s="12"/>
      <c r="AK194" s="11" t="s">
        <v>45</v>
      </c>
      <c r="AL194" s="27" t="s">
        <v>70</v>
      </c>
      <c r="AM194" s="11" t="s">
        <v>68</v>
      </c>
      <c r="AN194" s="11"/>
      <c r="AO194" s="8"/>
      <c r="AP194" s="8"/>
    </row>
    <row r="195">
      <c r="A195" s="11" t="s">
        <v>36</v>
      </c>
      <c r="B195" s="9">
        <v>45415.652273263884</v>
      </c>
      <c r="C195" s="10" t="s">
        <v>314</v>
      </c>
      <c r="D195" s="11" t="s">
        <v>315</v>
      </c>
      <c r="E195" s="11" t="s">
        <v>252</v>
      </c>
      <c r="F195" s="11" t="s">
        <v>549</v>
      </c>
      <c r="G195" s="11" t="s">
        <v>131</v>
      </c>
      <c r="H195" s="11" t="s">
        <v>47</v>
      </c>
      <c r="I195" s="71">
        <v>250.0</v>
      </c>
      <c r="J195" s="11" t="s">
        <v>100</v>
      </c>
      <c r="K195" s="12"/>
      <c r="L195" s="24" t="s">
        <v>552</v>
      </c>
      <c r="M195" s="11" t="s">
        <v>71</v>
      </c>
      <c r="N195" s="11" t="s">
        <v>68</v>
      </c>
      <c r="O195" s="14"/>
      <c r="P195" s="14"/>
      <c r="Q195" s="14"/>
      <c r="R195" s="14"/>
      <c r="S195" s="14"/>
      <c r="T195" s="14"/>
      <c r="U195" s="14"/>
      <c r="V195" s="14"/>
      <c r="W195" s="14"/>
      <c r="X195" s="14"/>
      <c r="Y195" s="14"/>
      <c r="Z195" s="14"/>
      <c r="AA195" s="14"/>
      <c r="AB195" s="14"/>
      <c r="AC195" s="14"/>
      <c r="AD195" s="12"/>
      <c r="AE195" s="12"/>
      <c r="AF195" s="12"/>
      <c r="AG195" s="78">
        <v>45419.0</v>
      </c>
      <c r="AH195" s="12"/>
      <c r="AI195" s="12"/>
      <c r="AJ195" s="12"/>
      <c r="AK195" s="11" t="s">
        <v>45</v>
      </c>
      <c r="AL195" s="27" t="s">
        <v>70</v>
      </c>
      <c r="AM195" s="11" t="s">
        <v>68</v>
      </c>
      <c r="AN195" s="11"/>
      <c r="AO195" s="8"/>
      <c r="AP195" s="8"/>
    </row>
    <row r="196">
      <c r="A196" s="11" t="s">
        <v>36</v>
      </c>
      <c r="B196" s="9">
        <v>45415.65315305555</v>
      </c>
      <c r="C196" s="10" t="s">
        <v>314</v>
      </c>
      <c r="D196" s="11" t="s">
        <v>315</v>
      </c>
      <c r="E196" s="11" t="s">
        <v>252</v>
      </c>
      <c r="F196" s="11" t="s">
        <v>549</v>
      </c>
      <c r="G196" s="11" t="s">
        <v>131</v>
      </c>
      <c r="H196" s="11" t="s">
        <v>47</v>
      </c>
      <c r="I196" s="71">
        <v>250.0</v>
      </c>
      <c r="J196" s="11" t="s">
        <v>100</v>
      </c>
      <c r="K196" s="12"/>
      <c r="L196" s="24" t="s">
        <v>553</v>
      </c>
      <c r="M196" s="11" t="s">
        <v>71</v>
      </c>
      <c r="N196" s="11" t="s">
        <v>68</v>
      </c>
      <c r="O196" s="14"/>
      <c r="P196" s="14"/>
      <c r="Q196" s="14"/>
      <c r="R196" s="14"/>
      <c r="S196" s="14"/>
      <c r="T196" s="14"/>
      <c r="U196" s="14"/>
      <c r="V196" s="14"/>
      <c r="W196" s="14"/>
      <c r="X196" s="14"/>
      <c r="Y196" s="14"/>
      <c r="Z196" s="14"/>
      <c r="AA196" s="14"/>
      <c r="AB196" s="14"/>
      <c r="AC196" s="14"/>
      <c r="AD196" s="12"/>
      <c r="AE196" s="12"/>
      <c r="AF196" s="12"/>
      <c r="AG196" s="78">
        <v>45419.0</v>
      </c>
      <c r="AH196" s="12"/>
      <c r="AI196" s="12"/>
      <c r="AJ196" s="12"/>
      <c r="AK196" s="11" t="s">
        <v>45</v>
      </c>
      <c r="AL196" s="27" t="s">
        <v>70</v>
      </c>
      <c r="AM196" s="11" t="s">
        <v>68</v>
      </c>
      <c r="AN196" s="11"/>
      <c r="AO196" s="8"/>
      <c r="AP196" s="8"/>
    </row>
    <row r="197">
      <c r="A197" s="11" t="s">
        <v>36</v>
      </c>
      <c r="B197" s="9">
        <v>45415.67489285879</v>
      </c>
      <c r="C197" s="10" t="s">
        <v>188</v>
      </c>
      <c r="D197" s="11" t="s">
        <v>142</v>
      </c>
      <c r="E197" s="11" t="s">
        <v>52</v>
      </c>
      <c r="F197" s="11" t="s">
        <v>65</v>
      </c>
      <c r="G197" s="11" t="s">
        <v>41</v>
      </c>
      <c r="H197" s="11" t="s">
        <v>480</v>
      </c>
      <c r="I197" s="11" t="s">
        <v>554</v>
      </c>
      <c r="J197" s="11" t="s">
        <v>226</v>
      </c>
      <c r="K197" s="12"/>
      <c r="L197" s="24" t="s">
        <v>555</v>
      </c>
      <c r="M197" s="11" t="s">
        <v>71</v>
      </c>
      <c r="N197" s="13" t="s">
        <v>44</v>
      </c>
      <c r="O197" s="14"/>
      <c r="P197" s="14"/>
      <c r="Q197" s="14"/>
      <c r="R197" s="14"/>
      <c r="S197" s="14"/>
      <c r="T197" s="14"/>
      <c r="U197" s="14"/>
      <c r="V197" s="14"/>
      <c r="W197" s="14"/>
      <c r="X197" s="14"/>
      <c r="Y197" s="14"/>
      <c r="Z197" s="14"/>
      <c r="AA197" s="14"/>
      <c r="AB197" s="14"/>
      <c r="AC197" s="14"/>
      <c r="AD197" s="12"/>
      <c r="AE197" s="12"/>
      <c r="AF197" s="12"/>
      <c r="AG197" s="12"/>
      <c r="AH197" s="12"/>
      <c r="AI197" s="12"/>
      <c r="AJ197" s="12"/>
      <c r="AK197" s="11" t="s">
        <v>45</v>
      </c>
      <c r="AL197" s="13" t="s">
        <v>44</v>
      </c>
      <c r="AM197" s="13" t="s">
        <v>44</v>
      </c>
      <c r="AN197" s="11"/>
      <c r="AO197" s="15"/>
      <c r="AP197" s="15"/>
    </row>
    <row r="198">
      <c r="A198" s="11" t="s">
        <v>36</v>
      </c>
      <c r="B198" s="9">
        <v>45418.587871400465</v>
      </c>
      <c r="C198" s="10" t="s">
        <v>479</v>
      </c>
      <c r="D198" s="11" t="s">
        <v>109</v>
      </c>
      <c r="E198" s="11" t="s">
        <v>138</v>
      </c>
      <c r="F198" s="11" t="s">
        <v>65</v>
      </c>
      <c r="G198" s="11" t="s">
        <v>54</v>
      </c>
      <c r="H198" s="39" t="s">
        <v>127</v>
      </c>
      <c r="I198" s="122">
        <v>1280.0</v>
      </c>
      <c r="J198" s="11" t="s">
        <v>383</v>
      </c>
      <c r="K198" s="12"/>
      <c r="L198" s="28" t="s">
        <v>556</v>
      </c>
      <c r="M198" s="11" t="s">
        <v>71</v>
      </c>
      <c r="N198" s="11" t="s">
        <v>96</v>
      </c>
      <c r="O198" s="14"/>
      <c r="P198" s="14"/>
      <c r="Q198" s="14"/>
      <c r="R198" s="14"/>
      <c r="S198" s="14"/>
      <c r="T198" s="14"/>
      <c r="U198" s="14"/>
      <c r="V198" s="14"/>
      <c r="W198" s="14"/>
      <c r="X198" s="14"/>
      <c r="Y198" s="14"/>
      <c r="Z198" s="14"/>
      <c r="AA198" s="14"/>
      <c r="AB198" s="14"/>
      <c r="AC198" s="14"/>
      <c r="AD198" s="12"/>
      <c r="AE198" s="12"/>
      <c r="AF198" s="12"/>
      <c r="AG198" s="11" t="s">
        <v>557</v>
      </c>
      <c r="AH198" s="12"/>
      <c r="AI198" s="12"/>
      <c r="AJ198" s="12"/>
      <c r="AK198" s="11" t="s">
        <v>45</v>
      </c>
      <c r="AL198" s="13" t="s">
        <v>44</v>
      </c>
      <c r="AM198" s="11" t="s">
        <v>96</v>
      </c>
      <c r="AN198" s="11"/>
      <c r="AO198" s="8"/>
      <c r="AP198" s="8"/>
    </row>
    <row r="199">
      <c r="A199" s="11" t="s">
        <v>36</v>
      </c>
      <c r="B199" s="9">
        <v>45418.65084648148</v>
      </c>
      <c r="C199" s="10" t="s">
        <v>558</v>
      </c>
      <c r="D199" s="11" t="s">
        <v>38</v>
      </c>
      <c r="E199" s="11" t="s">
        <v>40</v>
      </c>
      <c r="F199" s="11" t="s">
        <v>40</v>
      </c>
      <c r="G199" s="11" t="s">
        <v>41</v>
      </c>
      <c r="H199" s="11" t="s">
        <v>480</v>
      </c>
      <c r="I199" s="77">
        <v>250.0</v>
      </c>
      <c r="J199" s="11" t="s">
        <v>194</v>
      </c>
      <c r="K199" s="24" t="s">
        <v>559</v>
      </c>
      <c r="L199" s="123" t="s">
        <v>560</v>
      </c>
      <c r="M199" s="11" t="s">
        <v>71</v>
      </c>
      <c r="N199" s="11" t="s">
        <v>96</v>
      </c>
      <c r="O199" s="14"/>
      <c r="P199" s="14"/>
      <c r="Q199" s="14"/>
      <c r="R199" s="14"/>
      <c r="S199" s="14"/>
      <c r="T199" s="14"/>
      <c r="U199" s="14"/>
      <c r="V199" s="14"/>
      <c r="W199" s="14"/>
      <c r="X199" s="14"/>
      <c r="Y199" s="14"/>
      <c r="Z199" s="14"/>
      <c r="AA199" s="14"/>
      <c r="AB199" s="14"/>
      <c r="AC199" s="14"/>
      <c r="AD199" s="12"/>
      <c r="AE199" s="12"/>
      <c r="AF199" s="12"/>
      <c r="AG199" s="11" t="s">
        <v>557</v>
      </c>
      <c r="AH199" s="12"/>
      <c r="AI199" s="12"/>
      <c r="AJ199" s="12"/>
      <c r="AK199" s="11" t="s">
        <v>45</v>
      </c>
      <c r="AL199" s="13" t="s">
        <v>44</v>
      </c>
      <c r="AM199" s="11" t="s">
        <v>96</v>
      </c>
      <c r="AN199" s="11"/>
      <c r="AO199" s="8"/>
      <c r="AP199" s="8"/>
    </row>
    <row r="200">
      <c r="A200" s="11" t="s">
        <v>36</v>
      </c>
      <c r="B200" s="9">
        <v>45419.36800028935</v>
      </c>
      <c r="C200" s="10" t="s">
        <v>561</v>
      </c>
      <c r="D200" s="11" t="s">
        <v>51</v>
      </c>
      <c r="E200" s="11" t="s">
        <v>52</v>
      </c>
      <c r="F200" s="11" t="s">
        <v>65</v>
      </c>
      <c r="G200" s="11" t="s">
        <v>54</v>
      </c>
      <c r="H200" s="11" t="s">
        <v>480</v>
      </c>
      <c r="I200" s="71">
        <v>1195.0</v>
      </c>
      <c r="J200" s="11" t="s">
        <v>336</v>
      </c>
      <c r="K200" s="12"/>
      <c r="L200" s="24" t="s">
        <v>562</v>
      </c>
      <c r="M200" s="11" t="s">
        <v>71</v>
      </c>
      <c r="N200" s="11" t="s">
        <v>96</v>
      </c>
      <c r="O200" s="14"/>
      <c r="P200" s="14"/>
      <c r="Q200" s="14"/>
      <c r="R200" s="14"/>
      <c r="S200" s="14"/>
      <c r="T200" s="14"/>
      <c r="U200" s="14"/>
      <c r="V200" s="14"/>
      <c r="W200" s="14"/>
      <c r="X200" s="14"/>
      <c r="Y200" s="14"/>
      <c r="Z200" s="14"/>
      <c r="AA200" s="14"/>
      <c r="AB200" s="14"/>
      <c r="AC200" s="14"/>
      <c r="AD200" s="12"/>
      <c r="AE200" s="12"/>
      <c r="AF200" s="12"/>
      <c r="AG200" s="11" t="s">
        <v>557</v>
      </c>
      <c r="AH200" s="12"/>
      <c r="AI200" s="12"/>
      <c r="AJ200" s="12"/>
      <c r="AK200" s="11" t="s">
        <v>45</v>
      </c>
      <c r="AL200" s="13" t="s">
        <v>44</v>
      </c>
      <c r="AM200" s="11" t="s">
        <v>96</v>
      </c>
      <c r="AN200" s="11" t="s">
        <v>71</v>
      </c>
      <c r="AO200" s="8" t="b">
        <v>1</v>
      </c>
      <c r="AP200" s="8"/>
    </row>
    <row r="201">
      <c r="A201" s="11" t="s">
        <v>36</v>
      </c>
      <c r="B201" s="9">
        <v>45419.501551458336</v>
      </c>
      <c r="C201" s="10" t="s">
        <v>541</v>
      </c>
      <c r="D201" s="11" t="s">
        <v>51</v>
      </c>
      <c r="E201" s="11" t="s">
        <v>52</v>
      </c>
      <c r="F201" s="11" t="s">
        <v>65</v>
      </c>
      <c r="G201" s="11" t="s">
        <v>54</v>
      </c>
      <c r="H201" s="11" t="s">
        <v>99</v>
      </c>
      <c r="I201" s="11" t="s">
        <v>563</v>
      </c>
      <c r="J201" s="11" t="s">
        <v>538</v>
      </c>
      <c r="K201" s="12"/>
      <c r="L201" s="12"/>
      <c r="M201" s="11" t="s">
        <v>71</v>
      </c>
      <c r="N201" s="11" t="s">
        <v>96</v>
      </c>
      <c r="O201" s="14"/>
      <c r="P201" s="14"/>
      <c r="Q201" s="14"/>
      <c r="R201" s="14"/>
      <c r="S201" s="14"/>
      <c r="T201" s="14"/>
      <c r="U201" s="14"/>
      <c r="V201" s="14"/>
      <c r="W201" s="14"/>
      <c r="X201" s="14"/>
      <c r="Y201" s="14"/>
      <c r="Z201" s="14"/>
      <c r="AA201" s="14"/>
      <c r="AB201" s="14"/>
      <c r="AC201" s="14"/>
      <c r="AD201" s="12"/>
      <c r="AE201" s="12"/>
      <c r="AF201" s="12"/>
      <c r="AG201" s="11" t="s">
        <v>557</v>
      </c>
      <c r="AH201" s="12"/>
      <c r="AI201" s="12"/>
      <c r="AJ201" s="12"/>
      <c r="AK201" s="11" t="s">
        <v>45</v>
      </c>
      <c r="AL201" s="13" t="s">
        <v>44</v>
      </c>
      <c r="AM201" s="11" t="s">
        <v>96</v>
      </c>
      <c r="AN201" s="11"/>
      <c r="AO201" s="8"/>
      <c r="AP201" s="8"/>
    </row>
    <row r="202">
      <c r="A202" s="11" t="s">
        <v>36</v>
      </c>
      <c r="B202" s="9">
        <v>45419.57301190972</v>
      </c>
      <c r="C202" s="10" t="s">
        <v>251</v>
      </c>
      <c r="D202" s="11" t="s">
        <v>51</v>
      </c>
      <c r="E202" s="11" t="s">
        <v>149</v>
      </c>
      <c r="F202" s="11" t="s">
        <v>80</v>
      </c>
      <c r="G202" s="11" t="s">
        <v>54</v>
      </c>
      <c r="H202" s="11" t="s">
        <v>47</v>
      </c>
      <c r="I202" s="71">
        <v>85.0</v>
      </c>
      <c r="J202" s="11" t="s">
        <v>118</v>
      </c>
      <c r="K202" s="24" t="s">
        <v>564</v>
      </c>
      <c r="L202" s="11" t="s">
        <v>565</v>
      </c>
      <c r="M202" s="11" t="s">
        <v>71</v>
      </c>
      <c r="N202" s="11" t="s">
        <v>96</v>
      </c>
      <c r="O202" s="14"/>
      <c r="P202" s="14"/>
      <c r="Q202" s="14"/>
      <c r="R202" s="14"/>
      <c r="S202" s="14"/>
      <c r="T202" s="14"/>
      <c r="U202" s="14"/>
      <c r="V202" s="14"/>
      <c r="W202" s="14"/>
      <c r="X202" s="14"/>
      <c r="Y202" s="14"/>
      <c r="Z202" s="14"/>
      <c r="AA202" s="14"/>
      <c r="AB202" s="14"/>
      <c r="AC202" s="14"/>
      <c r="AD202" s="12"/>
      <c r="AE202" s="12"/>
      <c r="AF202" s="12"/>
      <c r="AG202" s="11" t="s">
        <v>557</v>
      </c>
      <c r="AH202" s="12"/>
      <c r="AI202" s="12"/>
      <c r="AJ202" s="12"/>
      <c r="AK202" s="11" t="s">
        <v>45</v>
      </c>
      <c r="AL202" s="13" t="s">
        <v>44</v>
      </c>
      <c r="AM202" s="11" t="s">
        <v>96</v>
      </c>
      <c r="AN202" s="11"/>
      <c r="AO202" s="15" t="b">
        <v>1</v>
      </c>
      <c r="AP202" s="15"/>
    </row>
    <row r="203">
      <c r="A203" s="11" t="s">
        <v>36</v>
      </c>
      <c r="B203" s="9">
        <v>45420.44634409722</v>
      </c>
      <c r="C203" s="10" t="s">
        <v>284</v>
      </c>
      <c r="D203" s="11" t="s">
        <v>51</v>
      </c>
      <c r="E203" s="11" t="s">
        <v>138</v>
      </c>
      <c r="F203" s="11" t="s">
        <v>65</v>
      </c>
      <c r="G203" s="11" t="s">
        <v>54</v>
      </c>
      <c r="H203" s="39" t="s">
        <v>127</v>
      </c>
      <c r="I203" s="71">
        <v>10000.0</v>
      </c>
      <c r="J203" s="11" t="s">
        <v>102</v>
      </c>
      <c r="K203" s="12"/>
      <c r="L203" s="11" t="s">
        <v>566</v>
      </c>
      <c r="M203" s="11" t="s">
        <v>71</v>
      </c>
      <c r="N203" s="13" t="s">
        <v>44</v>
      </c>
      <c r="O203" s="14"/>
      <c r="P203" s="14"/>
      <c r="Q203" s="14"/>
      <c r="R203" s="14"/>
      <c r="S203" s="14"/>
      <c r="T203" s="14"/>
      <c r="U203" s="14"/>
      <c r="V203" s="14"/>
      <c r="W203" s="14"/>
      <c r="X203" s="14"/>
      <c r="Y203" s="14"/>
      <c r="Z203" s="14"/>
      <c r="AA203" s="14"/>
      <c r="AB203" s="14"/>
      <c r="AC203" s="14"/>
      <c r="AD203" s="12"/>
      <c r="AE203" s="12"/>
      <c r="AF203" s="12"/>
      <c r="AG203" s="12"/>
      <c r="AH203" s="12"/>
      <c r="AI203" s="12"/>
      <c r="AJ203" s="12"/>
      <c r="AK203" s="11" t="s">
        <v>45</v>
      </c>
      <c r="AL203" s="13" t="s">
        <v>44</v>
      </c>
      <c r="AM203" s="13" t="s">
        <v>44</v>
      </c>
      <c r="AN203" s="11"/>
      <c r="AO203" s="15"/>
      <c r="AP203" s="15"/>
    </row>
    <row r="204">
      <c r="A204" s="11" t="s">
        <v>36</v>
      </c>
      <c r="B204" s="9">
        <v>45420.581332511574</v>
      </c>
      <c r="C204" s="10" t="s">
        <v>111</v>
      </c>
      <c r="D204" s="11" t="s">
        <v>51</v>
      </c>
      <c r="E204" s="11" t="s">
        <v>52</v>
      </c>
      <c r="F204" s="11" t="s">
        <v>65</v>
      </c>
      <c r="G204" s="11" t="s">
        <v>54</v>
      </c>
      <c r="H204" s="11" t="s">
        <v>480</v>
      </c>
      <c r="I204" s="71">
        <v>4000.0</v>
      </c>
      <c r="J204" s="11" t="s">
        <v>100</v>
      </c>
      <c r="K204" s="24" t="s">
        <v>567</v>
      </c>
      <c r="L204" s="11" t="s">
        <v>568</v>
      </c>
      <c r="M204" s="11" t="s">
        <v>71</v>
      </c>
      <c r="N204" s="11" t="s">
        <v>96</v>
      </c>
      <c r="O204" s="14"/>
      <c r="P204" s="14"/>
      <c r="Q204" s="14"/>
      <c r="R204" s="14"/>
      <c r="S204" s="14"/>
      <c r="T204" s="14"/>
      <c r="U204" s="14"/>
      <c r="V204" s="14"/>
      <c r="W204" s="14"/>
      <c r="X204" s="14"/>
      <c r="Y204" s="14"/>
      <c r="Z204" s="14"/>
      <c r="AA204" s="14"/>
      <c r="AB204" s="14"/>
      <c r="AC204" s="14"/>
      <c r="AD204" s="12"/>
      <c r="AE204" s="12"/>
      <c r="AF204" s="12"/>
      <c r="AG204" s="11" t="s">
        <v>557</v>
      </c>
      <c r="AH204" s="12"/>
      <c r="AI204" s="12"/>
      <c r="AJ204" s="12"/>
      <c r="AK204" s="11" t="s">
        <v>45</v>
      </c>
      <c r="AL204" s="13" t="s">
        <v>44</v>
      </c>
      <c r="AM204" s="11" t="s">
        <v>96</v>
      </c>
      <c r="AN204" s="11"/>
      <c r="AO204" s="8"/>
      <c r="AP204" s="8"/>
    </row>
    <row r="205">
      <c r="A205" s="11" t="s">
        <v>36</v>
      </c>
      <c r="B205" s="9">
        <v>45421.54755091435</v>
      </c>
      <c r="C205" s="10" t="s">
        <v>569</v>
      </c>
      <c r="D205" s="11" t="s">
        <v>51</v>
      </c>
      <c r="E205" s="11" t="s">
        <v>138</v>
      </c>
      <c r="F205" s="11" t="s">
        <v>65</v>
      </c>
      <c r="G205" s="11" t="s">
        <v>41</v>
      </c>
      <c r="H205" s="11" t="s">
        <v>61</v>
      </c>
      <c r="I205" s="71">
        <v>90.0</v>
      </c>
      <c r="J205" s="11" t="s">
        <v>90</v>
      </c>
      <c r="K205" s="24" t="s">
        <v>570</v>
      </c>
      <c r="L205" s="11" t="s">
        <v>571</v>
      </c>
      <c r="M205" s="11" t="s">
        <v>71</v>
      </c>
      <c r="N205" s="11" t="s">
        <v>96</v>
      </c>
      <c r="O205" s="14"/>
      <c r="P205" s="14"/>
      <c r="Q205" s="14"/>
      <c r="R205" s="14"/>
      <c r="S205" s="14"/>
      <c r="T205" s="14"/>
      <c r="U205" s="14"/>
      <c r="V205" s="14"/>
      <c r="W205" s="14"/>
      <c r="X205" s="14"/>
      <c r="Y205" s="14"/>
      <c r="Z205" s="14"/>
      <c r="AA205" s="14"/>
      <c r="AB205" s="14"/>
      <c r="AC205" s="14"/>
      <c r="AD205" s="12"/>
      <c r="AE205" s="12"/>
      <c r="AF205" s="12"/>
      <c r="AG205" s="78">
        <v>45429.0</v>
      </c>
      <c r="AH205" s="12"/>
      <c r="AI205" s="12"/>
      <c r="AJ205" s="12"/>
      <c r="AK205" s="11" t="s">
        <v>45</v>
      </c>
      <c r="AL205" s="13" t="s">
        <v>44</v>
      </c>
      <c r="AM205" s="11" t="s">
        <v>96</v>
      </c>
      <c r="AN205" s="11"/>
      <c r="AO205" s="8"/>
      <c r="AP205" s="8"/>
    </row>
    <row r="206">
      <c r="A206" s="11" t="s">
        <v>36</v>
      </c>
      <c r="B206" s="9">
        <v>45421.7109808449</v>
      </c>
      <c r="C206" s="10" t="s">
        <v>487</v>
      </c>
      <c r="D206" s="11" t="s">
        <v>142</v>
      </c>
      <c r="E206" s="11" t="s">
        <v>52</v>
      </c>
      <c r="F206" s="11" t="s">
        <v>65</v>
      </c>
      <c r="G206" s="11" t="s">
        <v>54</v>
      </c>
      <c r="H206" s="39" t="s">
        <v>127</v>
      </c>
      <c r="I206" s="11" t="s">
        <v>572</v>
      </c>
      <c r="J206" s="11" t="s">
        <v>189</v>
      </c>
      <c r="K206" s="12"/>
      <c r="L206" s="24" t="s">
        <v>573</v>
      </c>
      <c r="M206" s="11" t="s">
        <v>71</v>
      </c>
      <c r="N206" s="11" t="s">
        <v>96</v>
      </c>
      <c r="O206" s="14"/>
      <c r="P206" s="14"/>
      <c r="Q206" s="14"/>
      <c r="R206" s="14"/>
      <c r="S206" s="14"/>
      <c r="T206" s="14"/>
      <c r="U206" s="14"/>
      <c r="V206" s="14"/>
      <c r="W206" s="14"/>
      <c r="X206" s="14"/>
      <c r="Y206" s="14"/>
      <c r="Z206" s="14"/>
      <c r="AA206" s="14"/>
      <c r="AB206" s="14"/>
      <c r="AC206" s="14"/>
      <c r="AD206" s="12"/>
      <c r="AE206" s="12"/>
      <c r="AF206" s="12"/>
      <c r="AG206" s="78">
        <v>45429.0</v>
      </c>
      <c r="AH206" s="12"/>
      <c r="AI206" s="12"/>
      <c r="AJ206" s="12"/>
      <c r="AK206" s="11" t="s">
        <v>45</v>
      </c>
      <c r="AL206" s="13" t="s">
        <v>44</v>
      </c>
      <c r="AM206" s="11" t="s">
        <v>96</v>
      </c>
      <c r="AN206" s="11"/>
      <c r="AO206" s="8"/>
      <c r="AP206" s="8"/>
    </row>
    <row r="207">
      <c r="A207" s="11" t="s">
        <v>36</v>
      </c>
      <c r="B207" s="9">
        <v>45422.455574293985</v>
      </c>
      <c r="C207" s="10" t="s">
        <v>574</v>
      </c>
      <c r="D207" s="11" t="s">
        <v>142</v>
      </c>
      <c r="E207" s="11" t="s">
        <v>52</v>
      </c>
      <c r="F207" s="11" t="s">
        <v>65</v>
      </c>
      <c r="G207" s="11" t="s">
        <v>54</v>
      </c>
      <c r="H207" s="83" t="s">
        <v>127</v>
      </c>
      <c r="I207" s="11" t="s">
        <v>575</v>
      </c>
      <c r="J207" s="11" t="s">
        <v>86</v>
      </c>
      <c r="K207" s="12"/>
      <c r="L207" s="11" t="s">
        <v>576</v>
      </c>
      <c r="M207" s="11" t="s">
        <v>71</v>
      </c>
      <c r="N207" s="11" t="s">
        <v>96</v>
      </c>
      <c r="O207" s="14"/>
      <c r="P207" s="14"/>
      <c r="Q207" s="14"/>
      <c r="R207" s="14"/>
      <c r="S207" s="14"/>
      <c r="T207" s="14"/>
      <c r="U207" s="14"/>
      <c r="V207" s="14"/>
      <c r="W207" s="14"/>
      <c r="X207" s="14"/>
      <c r="Y207" s="14"/>
      <c r="Z207" s="14"/>
      <c r="AA207" s="14"/>
      <c r="AB207" s="14"/>
      <c r="AC207" s="14"/>
      <c r="AD207" s="12"/>
      <c r="AE207" s="12"/>
      <c r="AF207" s="12"/>
      <c r="AG207" s="78">
        <v>45429.0</v>
      </c>
      <c r="AH207" s="12"/>
      <c r="AI207" s="12"/>
      <c r="AJ207" s="12"/>
      <c r="AK207" s="11" t="s">
        <v>45</v>
      </c>
      <c r="AL207" s="13" t="s">
        <v>44</v>
      </c>
      <c r="AM207" s="11" t="s">
        <v>96</v>
      </c>
      <c r="AN207" s="11"/>
      <c r="AO207" s="8"/>
      <c r="AP207" s="8"/>
    </row>
    <row r="208">
      <c r="A208" s="11" t="s">
        <v>36</v>
      </c>
      <c r="B208" s="9">
        <v>45426.421066192124</v>
      </c>
      <c r="C208" s="10" t="s">
        <v>577</v>
      </c>
      <c r="D208" s="11" t="s">
        <v>51</v>
      </c>
      <c r="E208" s="11" t="s">
        <v>52</v>
      </c>
      <c r="F208" s="11" t="s">
        <v>80</v>
      </c>
      <c r="G208" s="11" t="s">
        <v>131</v>
      </c>
      <c r="H208" s="11" t="s">
        <v>578</v>
      </c>
      <c r="I208" s="71">
        <v>3838.0</v>
      </c>
      <c r="J208" s="11" t="s">
        <v>128</v>
      </c>
      <c r="K208" s="24" t="s">
        <v>579</v>
      </c>
      <c r="L208" s="11" t="s">
        <v>580</v>
      </c>
      <c r="M208" s="11" t="s">
        <v>71</v>
      </c>
      <c r="N208" s="11" t="s">
        <v>96</v>
      </c>
      <c r="O208" s="14"/>
      <c r="P208" s="14"/>
      <c r="Q208" s="14"/>
      <c r="R208" s="14"/>
      <c r="S208" s="14"/>
      <c r="T208" s="14"/>
      <c r="U208" s="14"/>
      <c r="V208" s="14"/>
      <c r="W208" s="14"/>
      <c r="X208" s="14"/>
      <c r="Y208" s="14"/>
      <c r="Z208" s="14"/>
      <c r="AA208" s="14"/>
      <c r="AB208" s="14"/>
      <c r="AC208" s="14"/>
      <c r="AD208" s="12"/>
      <c r="AE208" s="12"/>
      <c r="AF208" s="12"/>
      <c r="AG208" s="78">
        <v>45429.0</v>
      </c>
      <c r="AH208" s="12"/>
      <c r="AI208" s="12"/>
      <c r="AJ208" s="12"/>
      <c r="AK208" s="11" t="s">
        <v>45</v>
      </c>
      <c r="AL208" s="13" t="s">
        <v>44</v>
      </c>
      <c r="AM208" s="11" t="s">
        <v>96</v>
      </c>
      <c r="AN208" s="11" t="s">
        <v>71</v>
      </c>
      <c r="AO208" s="8" t="b">
        <v>1</v>
      </c>
      <c r="AP208" s="8"/>
    </row>
    <row r="209">
      <c r="A209" s="124" t="s">
        <v>177</v>
      </c>
      <c r="B209" s="125">
        <v>45426.53564533565</v>
      </c>
      <c r="C209" s="126" t="s">
        <v>500</v>
      </c>
      <c r="D209" s="124" t="s">
        <v>501</v>
      </c>
      <c r="E209" s="124" t="s">
        <v>52</v>
      </c>
      <c r="F209" s="124" t="s">
        <v>40</v>
      </c>
      <c r="G209" s="124" t="s">
        <v>54</v>
      </c>
      <c r="H209" s="127" t="s">
        <v>578</v>
      </c>
      <c r="I209" s="124">
        <v>25.95</v>
      </c>
      <c r="J209" s="124" t="s">
        <v>189</v>
      </c>
      <c r="K209" s="128" t="s">
        <v>581</v>
      </c>
      <c r="L209" s="124" t="s">
        <v>582</v>
      </c>
      <c r="M209" s="124" t="s">
        <v>71</v>
      </c>
      <c r="N209" s="13" t="s">
        <v>44</v>
      </c>
      <c r="O209" s="14"/>
      <c r="P209" s="14"/>
      <c r="Q209" s="14"/>
      <c r="R209" s="14"/>
      <c r="S209" s="14"/>
      <c r="T209" s="14"/>
      <c r="U209" s="14"/>
      <c r="V209" s="14"/>
      <c r="W209" s="14"/>
      <c r="X209" s="14"/>
      <c r="Y209" s="14"/>
      <c r="Z209" s="14"/>
      <c r="AA209" s="14"/>
      <c r="AB209" s="14"/>
      <c r="AC209" s="14"/>
      <c r="AD209" s="12"/>
      <c r="AE209" s="12"/>
      <c r="AF209" s="12"/>
      <c r="AG209" s="12"/>
      <c r="AH209" s="12"/>
      <c r="AI209" s="12"/>
      <c r="AJ209" s="12"/>
      <c r="AK209" s="11" t="s">
        <v>45</v>
      </c>
      <c r="AL209" s="13" t="s">
        <v>44</v>
      </c>
      <c r="AM209" s="13" t="s">
        <v>44</v>
      </c>
      <c r="AN209" s="124"/>
      <c r="AO209" s="15"/>
      <c r="AP209" s="15"/>
    </row>
    <row r="210">
      <c r="A210" s="11" t="s">
        <v>36</v>
      </c>
      <c r="B210" s="9">
        <v>45426.57541109953</v>
      </c>
      <c r="C210" s="10" t="s">
        <v>137</v>
      </c>
      <c r="D210" s="11" t="s">
        <v>51</v>
      </c>
      <c r="E210" s="11" t="s">
        <v>138</v>
      </c>
      <c r="F210" s="11" t="s">
        <v>139</v>
      </c>
      <c r="G210" s="11" t="s">
        <v>54</v>
      </c>
      <c r="H210" s="11" t="s">
        <v>578</v>
      </c>
      <c r="I210" s="11" t="s">
        <v>583</v>
      </c>
      <c r="J210" s="11" t="s">
        <v>102</v>
      </c>
      <c r="K210" s="12"/>
      <c r="L210" s="24" t="s">
        <v>584</v>
      </c>
      <c r="M210" s="11" t="s">
        <v>71</v>
      </c>
      <c r="N210" s="11" t="s">
        <v>68</v>
      </c>
      <c r="O210" s="14"/>
      <c r="P210" s="14"/>
      <c r="Q210" s="14"/>
      <c r="R210" s="14"/>
      <c r="S210" s="14"/>
      <c r="T210" s="14"/>
      <c r="U210" s="14"/>
      <c r="V210" s="14"/>
      <c r="W210" s="14"/>
      <c r="X210" s="14"/>
      <c r="Y210" s="14"/>
      <c r="Z210" s="14"/>
      <c r="AA210" s="14"/>
      <c r="AB210" s="14"/>
      <c r="AC210" s="14"/>
      <c r="AD210" s="12"/>
      <c r="AE210" s="12"/>
      <c r="AF210" s="12"/>
      <c r="AG210" s="78">
        <v>45429.0</v>
      </c>
      <c r="AH210" s="12"/>
      <c r="AI210" s="12"/>
      <c r="AJ210" s="12"/>
      <c r="AK210" s="11" t="s">
        <v>45</v>
      </c>
      <c r="AL210" s="27" t="s">
        <v>70</v>
      </c>
      <c r="AM210" s="11" t="s">
        <v>68</v>
      </c>
      <c r="AN210" s="11"/>
      <c r="AO210" s="8"/>
      <c r="AP210" s="8"/>
    </row>
    <row r="211">
      <c r="A211" s="11" t="s">
        <v>36</v>
      </c>
      <c r="B211" s="9">
        <v>45427.73058386574</v>
      </c>
      <c r="C211" s="9">
        <v>45427.73058386574</v>
      </c>
      <c r="D211" s="11" t="s">
        <v>142</v>
      </c>
      <c r="E211" s="11" t="s">
        <v>52</v>
      </c>
      <c r="F211" s="11" t="s">
        <v>65</v>
      </c>
      <c r="G211" s="11" t="s">
        <v>54</v>
      </c>
      <c r="H211" s="39" t="s">
        <v>127</v>
      </c>
      <c r="I211" s="11" t="s">
        <v>585</v>
      </c>
      <c r="J211" s="11" t="s">
        <v>86</v>
      </c>
      <c r="K211" s="12"/>
      <c r="L211" s="11" t="s">
        <v>356</v>
      </c>
      <c r="M211" s="11" t="s">
        <v>71</v>
      </c>
      <c r="N211" s="11" t="s">
        <v>96</v>
      </c>
      <c r="O211" s="14"/>
      <c r="P211" s="14"/>
      <c r="Q211" s="14"/>
      <c r="R211" s="14"/>
      <c r="S211" s="14"/>
      <c r="T211" s="14"/>
      <c r="U211" s="14"/>
      <c r="V211" s="14"/>
      <c r="W211" s="14"/>
      <c r="X211" s="14"/>
      <c r="Y211" s="14"/>
      <c r="Z211" s="14"/>
      <c r="AA211" s="14"/>
      <c r="AB211" s="14"/>
      <c r="AC211" s="14"/>
      <c r="AD211" s="12"/>
      <c r="AE211" s="12"/>
      <c r="AF211" s="12"/>
      <c r="AG211" s="78">
        <v>45429.0</v>
      </c>
      <c r="AH211" s="12"/>
      <c r="AI211" s="12"/>
      <c r="AJ211" s="12"/>
      <c r="AK211" s="11" t="s">
        <v>45</v>
      </c>
      <c r="AL211" s="13" t="s">
        <v>44</v>
      </c>
      <c r="AM211" s="11" t="s">
        <v>96</v>
      </c>
      <c r="AN211" s="11"/>
      <c r="AO211" s="8"/>
      <c r="AP211" s="8"/>
    </row>
    <row r="212">
      <c r="A212" s="11" t="s">
        <v>36</v>
      </c>
      <c r="B212" s="9">
        <v>45428.469957002315</v>
      </c>
      <c r="C212" s="10" t="s">
        <v>586</v>
      </c>
      <c r="D212" s="11" t="s">
        <v>51</v>
      </c>
      <c r="E212" s="11" t="s">
        <v>52</v>
      </c>
      <c r="F212" s="11" t="s">
        <v>40</v>
      </c>
      <c r="G212" s="11" t="s">
        <v>131</v>
      </c>
      <c r="H212" s="11" t="s">
        <v>578</v>
      </c>
      <c r="I212" s="11" t="s">
        <v>587</v>
      </c>
      <c r="J212" s="11" t="s">
        <v>102</v>
      </c>
      <c r="K212" s="12"/>
      <c r="L212" s="11" t="s">
        <v>588</v>
      </c>
      <c r="M212" s="11" t="s">
        <v>71</v>
      </c>
      <c r="N212" s="11" t="s">
        <v>96</v>
      </c>
      <c r="O212" s="14"/>
      <c r="P212" s="14"/>
      <c r="Q212" s="14"/>
      <c r="R212" s="14"/>
      <c r="S212" s="14"/>
      <c r="T212" s="14"/>
      <c r="U212" s="14"/>
      <c r="V212" s="14"/>
      <c r="W212" s="14"/>
      <c r="X212" s="14"/>
      <c r="Y212" s="14"/>
      <c r="Z212" s="14"/>
      <c r="AA212" s="14"/>
      <c r="AB212" s="14"/>
      <c r="AC212" s="14"/>
      <c r="AD212" s="12"/>
      <c r="AE212" s="12"/>
      <c r="AF212" s="12"/>
      <c r="AG212" s="78">
        <v>45429.0</v>
      </c>
      <c r="AH212" s="12"/>
      <c r="AI212" s="12"/>
      <c r="AJ212" s="12"/>
      <c r="AK212" s="11" t="s">
        <v>45</v>
      </c>
      <c r="AL212" s="13" t="s">
        <v>44</v>
      </c>
      <c r="AM212" s="11" t="s">
        <v>96</v>
      </c>
      <c r="AN212" s="11"/>
      <c r="AO212" s="8"/>
      <c r="AP212" s="8"/>
    </row>
    <row r="213">
      <c r="A213" s="11" t="s">
        <v>36</v>
      </c>
      <c r="B213" s="9">
        <v>45428.52731640046</v>
      </c>
      <c r="C213" s="10" t="s">
        <v>589</v>
      </c>
      <c r="D213" s="11" t="s">
        <v>51</v>
      </c>
      <c r="E213" s="11" t="s">
        <v>138</v>
      </c>
      <c r="F213" s="11" t="s">
        <v>590</v>
      </c>
      <c r="G213" s="11" t="s">
        <v>131</v>
      </c>
      <c r="H213" s="8" t="s">
        <v>578</v>
      </c>
      <c r="I213" s="11" t="s">
        <v>591</v>
      </c>
      <c r="J213" s="11" t="s">
        <v>86</v>
      </c>
      <c r="K213" s="24" t="s">
        <v>592</v>
      </c>
      <c r="L213" s="11" t="s">
        <v>593</v>
      </c>
      <c r="M213" s="11" t="s">
        <v>71</v>
      </c>
      <c r="N213" s="11" t="s">
        <v>96</v>
      </c>
      <c r="O213" s="14"/>
      <c r="P213" s="14"/>
      <c r="Q213" s="14"/>
      <c r="R213" s="14"/>
      <c r="S213" s="14"/>
      <c r="T213" s="14"/>
      <c r="U213" s="14"/>
      <c r="V213" s="14"/>
      <c r="W213" s="14"/>
      <c r="X213" s="14"/>
      <c r="Y213" s="14"/>
      <c r="Z213" s="14"/>
      <c r="AA213" s="14"/>
      <c r="AB213" s="14"/>
      <c r="AC213" s="14"/>
      <c r="AD213" s="12"/>
      <c r="AE213" s="12"/>
      <c r="AF213" s="12"/>
      <c r="AG213" s="78">
        <v>45429.0</v>
      </c>
      <c r="AH213" s="12"/>
      <c r="AI213" s="12"/>
      <c r="AJ213" s="12"/>
      <c r="AK213" s="11" t="s">
        <v>45</v>
      </c>
      <c r="AL213" s="13" t="s">
        <v>44</v>
      </c>
      <c r="AM213" s="11" t="s">
        <v>96</v>
      </c>
      <c r="AN213" s="11"/>
      <c r="AO213" s="8"/>
      <c r="AP213" s="8"/>
    </row>
    <row r="214">
      <c r="A214" s="75" t="s">
        <v>177</v>
      </c>
      <c r="B214" s="73">
        <v>45428.54099716435</v>
      </c>
      <c r="C214" s="74" t="s">
        <v>487</v>
      </c>
      <c r="D214" s="75" t="s">
        <v>142</v>
      </c>
      <c r="E214" s="75" t="s">
        <v>52</v>
      </c>
      <c r="F214" s="75" t="s">
        <v>65</v>
      </c>
      <c r="G214" s="75" t="s">
        <v>54</v>
      </c>
      <c r="H214" s="72" t="s">
        <v>578</v>
      </c>
      <c r="I214" s="121">
        <v>375.0</v>
      </c>
      <c r="J214" s="75" t="s">
        <v>189</v>
      </c>
      <c r="K214" s="114"/>
      <c r="L214" s="115" t="s">
        <v>594</v>
      </c>
      <c r="M214" s="75" t="s">
        <v>71</v>
      </c>
      <c r="N214" s="13" t="s">
        <v>44</v>
      </c>
      <c r="O214" s="14"/>
      <c r="P214" s="14"/>
      <c r="Q214" s="14"/>
      <c r="R214" s="14"/>
      <c r="S214" s="14"/>
      <c r="T214" s="14"/>
      <c r="U214" s="14"/>
      <c r="V214" s="14"/>
      <c r="W214" s="14"/>
      <c r="X214" s="14"/>
      <c r="Y214" s="14"/>
      <c r="Z214" s="14"/>
      <c r="AA214" s="14"/>
      <c r="AB214" s="14"/>
      <c r="AC214" s="14"/>
      <c r="AD214" s="12"/>
      <c r="AE214" s="12"/>
      <c r="AF214" s="12"/>
      <c r="AG214" s="12"/>
      <c r="AH214" s="12"/>
      <c r="AI214" s="12"/>
      <c r="AJ214" s="12"/>
      <c r="AK214" s="11" t="s">
        <v>45</v>
      </c>
      <c r="AL214" s="13" t="s">
        <v>44</v>
      </c>
      <c r="AM214" s="13" t="s">
        <v>44</v>
      </c>
      <c r="AN214" s="75"/>
      <c r="AO214" s="15"/>
      <c r="AP214" s="15"/>
    </row>
    <row r="215">
      <c r="A215" s="11" t="s">
        <v>36</v>
      </c>
      <c r="B215" s="9">
        <v>45428.60682966435</v>
      </c>
      <c r="C215" s="10" t="s">
        <v>595</v>
      </c>
      <c r="D215" s="11" t="s">
        <v>142</v>
      </c>
      <c r="E215" s="11" t="s">
        <v>52</v>
      </c>
      <c r="F215" s="11" t="s">
        <v>65</v>
      </c>
      <c r="G215" s="11" t="s">
        <v>54</v>
      </c>
      <c r="H215" s="11" t="s">
        <v>578</v>
      </c>
      <c r="I215" s="11" t="s">
        <v>596</v>
      </c>
      <c r="J215" s="11" t="s">
        <v>226</v>
      </c>
      <c r="K215" s="12"/>
      <c r="L215" s="28" t="s">
        <v>597</v>
      </c>
      <c r="M215" s="11" t="s">
        <v>71</v>
      </c>
      <c r="N215" s="11" t="s">
        <v>68</v>
      </c>
      <c r="O215" s="14"/>
      <c r="P215" s="14"/>
      <c r="Q215" s="14"/>
      <c r="R215" s="14"/>
      <c r="S215" s="14"/>
      <c r="T215" s="14"/>
      <c r="U215" s="14"/>
      <c r="V215" s="14"/>
      <c r="W215" s="14"/>
      <c r="X215" s="14"/>
      <c r="Y215" s="14"/>
      <c r="Z215" s="14"/>
      <c r="AA215" s="14"/>
      <c r="AB215" s="14"/>
      <c r="AC215" s="14"/>
      <c r="AD215" s="12"/>
      <c r="AE215" s="12"/>
      <c r="AF215" s="12"/>
      <c r="AG215" s="78">
        <v>45429.0</v>
      </c>
      <c r="AH215" s="12"/>
      <c r="AI215" s="12"/>
      <c r="AJ215" s="12"/>
      <c r="AK215" s="11" t="s">
        <v>598</v>
      </c>
      <c r="AL215" s="27" t="s">
        <v>70</v>
      </c>
      <c r="AM215" s="11" t="s">
        <v>68</v>
      </c>
      <c r="AN215" s="11"/>
      <c r="AO215" s="8"/>
      <c r="AP215" s="8"/>
    </row>
    <row r="216">
      <c r="A216" s="75" t="s">
        <v>177</v>
      </c>
      <c r="B216" s="73">
        <v>45428.680401018515</v>
      </c>
      <c r="C216" s="74" t="s">
        <v>545</v>
      </c>
      <c r="D216" s="75" t="s">
        <v>51</v>
      </c>
      <c r="E216" s="75" t="s">
        <v>52</v>
      </c>
      <c r="F216" s="75" t="s">
        <v>65</v>
      </c>
      <c r="G216" s="75" t="s">
        <v>41</v>
      </c>
      <c r="H216" s="75" t="s">
        <v>578</v>
      </c>
      <c r="I216" s="121">
        <v>120.0</v>
      </c>
      <c r="J216" s="75" t="s">
        <v>90</v>
      </c>
      <c r="K216" s="114"/>
      <c r="L216" s="115" t="s">
        <v>599</v>
      </c>
      <c r="M216" s="75" t="s">
        <v>71</v>
      </c>
      <c r="N216" s="13" t="s">
        <v>44</v>
      </c>
      <c r="O216" s="14"/>
      <c r="P216" s="14"/>
      <c r="Q216" s="14"/>
      <c r="R216" s="14"/>
      <c r="S216" s="14"/>
      <c r="T216" s="14"/>
      <c r="U216" s="14"/>
      <c r="V216" s="14"/>
      <c r="W216" s="14"/>
      <c r="X216" s="14"/>
      <c r="Y216" s="14"/>
      <c r="Z216" s="14"/>
      <c r="AA216" s="14"/>
      <c r="AB216" s="14"/>
      <c r="AC216" s="14"/>
      <c r="AD216" s="12"/>
      <c r="AE216" s="12"/>
      <c r="AF216" s="12"/>
      <c r="AG216" s="12"/>
      <c r="AH216" s="12"/>
      <c r="AI216" s="12"/>
      <c r="AJ216" s="12"/>
      <c r="AK216" s="11" t="s">
        <v>45</v>
      </c>
      <c r="AL216" s="13" t="s">
        <v>44</v>
      </c>
      <c r="AM216" s="13" t="s">
        <v>44</v>
      </c>
      <c r="AN216" s="75"/>
      <c r="AO216" s="15"/>
      <c r="AP216" s="15"/>
    </row>
    <row r="217">
      <c r="A217" s="11" t="s">
        <v>36</v>
      </c>
      <c r="B217" s="9">
        <v>45429.40262365741</v>
      </c>
      <c r="C217" s="10" t="s">
        <v>600</v>
      </c>
      <c r="D217" s="11" t="s">
        <v>142</v>
      </c>
      <c r="E217" s="11" t="s">
        <v>52</v>
      </c>
      <c r="F217" s="11" t="s">
        <v>65</v>
      </c>
      <c r="G217" s="11" t="s">
        <v>54</v>
      </c>
      <c r="H217" s="11" t="s">
        <v>578</v>
      </c>
      <c r="I217" s="11" t="s">
        <v>601</v>
      </c>
      <c r="J217" s="11" t="s">
        <v>383</v>
      </c>
      <c r="K217" s="24" t="s">
        <v>602</v>
      </c>
      <c r="L217" s="24" t="s">
        <v>603</v>
      </c>
      <c r="M217" s="11" t="s">
        <v>71</v>
      </c>
      <c r="N217" s="11" t="s">
        <v>96</v>
      </c>
      <c r="O217" s="14"/>
      <c r="P217" s="14"/>
      <c r="Q217" s="14"/>
      <c r="R217" s="14"/>
      <c r="S217" s="14"/>
      <c r="T217" s="14"/>
      <c r="U217" s="14"/>
      <c r="V217" s="14"/>
      <c r="W217" s="14"/>
      <c r="X217" s="14"/>
      <c r="Y217" s="14"/>
      <c r="Z217" s="14"/>
      <c r="AA217" s="14"/>
      <c r="AB217" s="14"/>
      <c r="AC217" s="14"/>
      <c r="AD217" s="12"/>
      <c r="AE217" s="12"/>
      <c r="AF217" s="12"/>
      <c r="AG217" s="78">
        <v>45429.0</v>
      </c>
      <c r="AH217" s="12"/>
      <c r="AI217" s="12"/>
      <c r="AJ217" s="12"/>
      <c r="AK217" s="11" t="s">
        <v>45</v>
      </c>
      <c r="AL217" s="13" t="s">
        <v>44</v>
      </c>
      <c r="AM217" s="11" t="s">
        <v>96</v>
      </c>
      <c r="AN217" s="11"/>
      <c r="AO217" s="8"/>
      <c r="AP217" s="8"/>
    </row>
    <row r="218">
      <c r="A218" s="11" t="s">
        <v>36</v>
      </c>
      <c r="B218" s="9">
        <v>45429.611404745374</v>
      </c>
      <c r="C218" s="10" t="s">
        <v>604</v>
      </c>
      <c r="D218" s="11" t="s">
        <v>109</v>
      </c>
      <c r="E218" s="11" t="s">
        <v>52</v>
      </c>
      <c r="F218" s="11" t="s">
        <v>65</v>
      </c>
      <c r="G218" s="11" t="s">
        <v>131</v>
      </c>
      <c r="H218" s="11" t="s">
        <v>578</v>
      </c>
      <c r="I218" s="71">
        <v>605.0</v>
      </c>
      <c r="J218" s="11" t="s">
        <v>194</v>
      </c>
      <c r="K218" s="12"/>
      <c r="L218" s="11" t="s">
        <v>605</v>
      </c>
      <c r="M218" s="11" t="s">
        <v>71</v>
      </c>
      <c r="N218" s="11" t="s">
        <v>96</v>
      </c>
      <c r="O218" s="14"/>
      <c r="P218" s="14"/>
      <c r="Q218" s="14"/>
      <c r="R218" s="14"/>
      <c r="S218" s="14"/>
      <c r="T218" s="14"/>
      <c r="U218" s="14"/>
      <c r="V218" s="14"/>
      <c r="W218" s="14"/>
      <c r="X218" s="14"/>
      <c r="Y218" s="14"/>
      <c r="Z218" s="14"/>
      <c r="AA218" s="14"/>
      <c r="AB218" s="14"/>
      <c r="AC218" s="14"/>
      <c r="AD218" s="12"/>
      <c r="AE218" s="12"/>
      <c r="AF218" s="12"/>
      <c r="AG218" s="78">
        <v>45434.0</v>
      </c>
      <c r="AH218" s="12"/>
      <c r="AI218" s="12"/>
      <c r="AJ218" s="12"/>
      <c r="AK218" s="11" t="s">
        <v>45</v>
      </c>
      <c r="AL218" s="13" t="s">
        <v>44</v>
      </c>
      <c r="AM218" s="11" t="s">
        <v>96</v>
      </c>
      <c r="AN218" s="11"/>
      <c r="AO218" s="8"/>
      <c r="AP218" s="8"/>
    </row>
    <row r="219">
      <c r="A219" s="11" t="s">
        <v>36</v>
      </c>
      <c r="B219" s="9">
        <v>45432.588416493054</v>
      </c>
      <c r="C219" s="10" t="s">
        <v>606</v>
      </c>
      <c r="D219" s="11" t="s">
        <v>51</v>
      </c>
      <c r="E219" s="11" t="s">
        <v>138</v>
      </c>
      <c r="F219" s="11" t="s">
        <v>65</v>
      </c>
      <c r="G219" s="11" t="s">
        <v>54</v>
      </c>
      <c r="H219" s="11" t="s">
        <v>607</v>
      </c>
      <c r="I219" s="11">
        <v>286.0</v>
      </c>
      <c r="J219" s="11" t="s">
        <v>538</v>
      </c>
      <c r="K219" s="28" t="s">
        <v>608</v>
      </c>
      <c r="L219" s="11" t="s">
        <v>609</v>
      </c>
      <c r="M219" s="11" t="s">
        <v>71</v>
      </c>
      <c r="N219" s="11" t="s">
        <v>96</v>
      </c>
      <c r="O219" s="14"/>
      <c r="P219" s="14"/>
      <c r="Q219" s="14"/>
      <c r="R219" s="14"/>
      <c r="S219" s="14"/>
      <c r="T219" s="14"/>
      <c r="U219" s="14"/>
      <c r="V219" s="14"/>
      <c r="W219" s="14"/>
      <c r="X219" s="14"/>
      <c r="Y219" s="14"/>
      <c r="Z219" s="14"/>
      <c r="AA219" s="14"/>
      <c r="AB219" s="14"/>
      <c r="AC219" s="14"/>
      <c r="AD219" s="12"/>
      <c r="AE219" s="12"/>
      <c r="AF219" s="12"/>
      <c r="AG219" s="78">
        <v>45434.0</v>
      </c>
      <c r="AH219" s="12"/>
      <c r="AI219" s="12"/>
      <c r="AJ219" s="12"/>
      <c r="AK219" s="11" t="s">
        <v>45</v>
      </c>
      <c r="AL219" s="13" t="s">
        <v>44</v>
      </c>
      <c r="AM219" s="11" t="s">
        <v>96</v>
      </c>
      <c r="AN219" s="11"/>
      <c r="AO219" s="8"/>
      <c r="AP219" s="8"/>
    </row>
    <row r="220">
      <c r="A220" s="11" t="s">
        <v>36</v>
      </c>
      <c r="B220" s="9">
        <v>45433.534512314814</v>
      </c>
      <c r="C220" s="10" t="s">
        <v>366</v>
      </c>
      <c r="D220" s="11" t="s">
        <v>142</v>
      </c>
      <c r="E220" s="11" t="s">
        <v>52</v>
      </c>
      <c r="F220" s="11" t="s">
        <v>65</v>
      </c>
      <c r="G220" s="11" t="s">
        <v>54</v>
      </c>
      <c r="H220" s="11" t="s">
        <v>607</v>
      </c>
      <c r="I220" s="77">
        <v>116.0</v>
      </c>
      <c r="J220" s="11" t="s">
        <v>102</v>
      </c>
      <c r="K220" s="24" t="s">
        <v>610</v>
      </c>
      <c r="L220" s="11" t="s">
        <v>611</v>
      </c>
      <c r="M220" s="11" t="s">
        <v>71</v>
      </c>
      <c r="N220" s="11" t="s">
        <v>96</v>
      </c>
      <c r="O220" s="14"/>
      <c r="P220" s="14"/>
      <c r="Q220" s="14"/>
      <c r="R220" s="14"/>
      <c r="S220" s="14"/>
      <c r="T220" s="14"/>
      <c r="U220" s="14"/>
      <c r="V220" s="14"/>
      <c r="W220" s="14"/>
      <c r="X220" s="14"/>
      <c r="Y220" s="14"/>
      <c r="Z220" s="14"/>
      <c r="AA220" s="14"/>
      <c r="AB220" s="14"/>
      <c r="AC220" s="14"/>
      <c r="AD220" s="12"/>
      <c r="AE220" s="12"/>
      <c r="AF220" s="12"/>
      <c r="AG220" s="78">
        <v>45434.0</v>
      </c>
      <c r="AH220" s="12"/>
      <c r="AI220" s="12"/>
      <c r="AJ220" s="12"/>
      <c r="AK220" s="11" t="s">
        <v>45</v>
      </c>
      <c r="AL220" s="13" t="s">
        <v>44</v>
      </c>
      <c r="AM220" s="11" t="s">
        <v>96</v>
      </c>
      <c r="AN220" s="11"/>
      <c r="AO220" s="8"/>
      <c r="AP220" s="8"/>
    </row>
    <row r="221">
      <c r="A221" s="11" t="s">
        <v>36</v>
      </c>
      <c r="B221" s="9">
        <v>45433.622118645835</v>
      </c>
      <c r="C221" s="10" t="s">
        <v>37</v>
      </c>
      <c r="D221" s="11" t="s">
        <v>38</v>
      </c>
      <c r="E221" s="11" t="s">
        <v>52</v>
      </c>
      <c r="F221" s="11" t="s">
        <v>65</v>
      </c>
      <c r="G221" s="11" t="s">
        <v>41</v>
      </c>
      <c r="H221" s="11" t="s">
        <v>466</v>
      </c>
      <c r="I221" s="11" t="s">
        <v>612</v>
      </c>
      <c r="J221" s="11" t="s">
        <v>128</v>
      </c>
      <c r="K221" s="12"/>
      <c r="L221" s="12"/>
      <c r="M221" s="11" t="s">
        <v>71</v>
      </c>
      <c r="N221" s="13" t="s">
        <v>44</v>
      </c>
      <c r="O221" s="14"/>
      <c r="P221" s="14"/>
      <c r="Q221" s="14"/>
      <c r="R221" s="14"/>
      <c r="S221" s="14"/>
      <c r="T221" s="14"/>
      <c r="U221" s="14"/>
      <c r="V221" s="14"/>
      <c r="W221" s="14"/>
      <c r="X221" s="14"/>
      <c r="Y221" s="14"/>
      <c r="Z221" s="14"/>
      <c r="AA221" s="14"/>
      <c r="AB221" s="14"/>
      <c r="AC221" s="14"/>
      <c r="AD221" s="12"/>
      <c r="AE221" s="12"/>
      <c r="AF221" s="12"/>
      <c r="AG221" s="12"/>
      <c r="AH221" s="12"/>
      <c r="AI221" s="12"/>
      <c r="AJ221" s="12"/>
      <c r="AK221" s="11" t="s">
        <v>45</v>
      </c>
      <c r="AL221" s="13" t="s">
        <v>44</v>
      </c>
      <c r="AM221" s="13" t="s">
        <v>44</v>
      </c>
      <c r="AN221" s="11" t="s">
        <v>71</v>
      </c>
      <c r="AO221" s="15" t="b">
        <v>1</v>
      </c>
      <c r="AP221" s="15"/>
    </row>
    <row r="222">
      <c r="A222" s="11" t="s">
        <v>36</v>
      </c>
      <c r="B222" s="9">
        <v>45434.39237002315</v>
      </c>
      <c r="C222" s="10" t="s">
        <v>219</v>
      </c>
      <c r="D222" s="11" t="s">
        <v>38</v>
      </c>
      <c r="E222" s="11" t="s">
        <v>40</v>
      </c>
      <c r="F222" s="11" t="s">
        <v>40</v>
      </c>
      <c r="G222" s="11" t="s">
        <v>41</v>
      </c>
      <c r="H222" s="11" t="s">
        <v>607</v>
      </c>
      <c r="I222" s="11" t="s">
        <v>613</v>
      </c>
      <c r="J222" s="11" t="s">
        <v>184</v>
      </c>
      <c r="K222" s="28" t="s">
        <v>614</v>
      </c>
      <c r="L222" s="11" t="s">
        <v>615</v>
      </c>
      <c r="M222" s="11" t="s">
        <v>71</v>
      </c>
      <c r="N222" s="11" t="s">
        <v>96</v>
      </c>
      <c r="O222" s="14"/>
      <c r="P222" s="14"/>
      <c r="Q222" s="14"/>
      <c r="R222" s="14"/>
      <c r="S222" s="14"/>
      <c r="T222" s="14"/>
      <c r="U222" s="14"/>
      <c r="V222" s="14"/>
      <c r="W222" s="14"/>
      <c r="X222" s="14"/>
      <c r="Y222" s="14"/>
      <c r="Z222" s="14"/>
      <c r="AA222" s="14"/>
      <c r="AB222" s="14"/>
      <c r="AC222" s="14"/>
      <c r="AD222" s="12"/>
      <c r="AE222" s="12"/>
      <c r="AF222" s="12"/>
      <c r="AG222" s="78">
        <v>45434.0</v>
      </c>
      <c r="AH222" s="12"/>
      <c r="AI222" s="12"/>
      <c r="AJ222" s="12"/>
      <c r="AK222" s="11" t="s">
        <v>45</v>
      </c>
      <c r="AL222" s="13" t="s">
        <v>44</v>
      </c>
      <c r="AM222" s="11" t="s">
        <v>96</v>
      </c>
      <c r="AN222" s="11"/>
      <c r="AO222" s="8"/>
      <c r="AP222" s="8"/>
    </row>
    <row r="223">
      <c r="A223" s="11" t="s">
        <v>36</v>
      </c>
      <c r="B223" s="9">
        <v>45434.565791747686</v>
      </c>
      <c r="C223" s="10" t="s">
        <v>616</v>
      </c>
      <c r="D223" s="11" t="s">
        <v>51</v>
      </c>
      <c r="E223" s="11" t="s">
        <v>52</v>
      </c>
      <c r="F223" s="11" t="s">
        <v>65</v>
      </c>
      <c r="G223" s="11" t="s">
        <v>54</v>
      </c>
      <c r="H223" s="11" t="s">
        <v>578</v>
      </c>
      <c r="I223" s="11" t="s">
        <v>617</v>
      </c>
      <c r="J223" s="11" t="s">
        <v>538</v>
      </c>
      <c r="K223" s="28" t="s">
        <v>618</v>
      </c>
      <c r="L223" s="11" t="s">
        <v>619</v>
      </c>
      <c r="M223" s="11" t="s">
        <v>71</v>
      </c>
      <c r="N223" s="11" t="s">
        <v>96</v>
      </c>
      <c r="O223" s="14"/>
      <c r="P223" s="14"/>
      <c r="Q223" s="14"/>
      <c r="R223" s="14"/>
      <c r="S223" s="14"/>
      <c r="T223" s="14"/>
      <c r="U223" s="14"/>
      <c r="V223" s="14"/>
      <c r="W223" s="14"/>
      <c r="X223" s="14"/>
      <c r="Y223" s="14"/>
      <c r="Z223" s="14"/>
      <c r="AA223" s="14"/>
      <c r="AB223" s="14"/>
      <c r="AC223" s="14"/>
      <c r="AD223" s="12"/>
      <c r="AE223" s="12"/>
      <c r="AF223" s="12"/>
      <c r="AG223" s="78">
        <v>45440.0</v>
      </c>
      <c r="AH223" s="12"/>
      <c r="AI223" s="12"/>
      <c r="AJ223" s="12"/>
      <c r="AK223" s="11" t="s">
        <v>45</v>
      </c>
      <c r="AL223" s="13" t="s">
        <v>44</v>
      </c>
      <c r="AM223" s="11" t="s">
        <v>96</v>
      </c>
      <c r="AN223" s="11"/>
      <c r="AO223" s="8"/>
      <c r="AP223" s="8"/>
    </row>
    <row r="224">
      <c r="A224" s="11" t="s">
        <v>36</v>
      </c>
      <c r="B224" s="9">
        <v>45436.639851203705</v>
      </c>
      <c r="C224" s="10" t="s">
        <v>620</v>
      </c>
      <c r="D224" s="11" t="s">
        <v>109</v>
      </c>
      <c r="E224" s="11" t="s">
        <v>149</v>
      </c>
      <c r="F224" s="11" t="s">
        <v>80</v>
      </c>
      <c r="G224" s="11" t="s">
        <v>131</v>
      </c>
      <c r="H224" s="39" t="s">
        <v>127</v>
      </c>
      <c r="I224" s="11" t="s">
        <v>621</v>
      </c>
      <c r="J224" s="11" t="s">
        <v>189</v>
      </c>
      <c r="K224" s="12"/>
      <c r="L224" s="24" t="s">
        <v>622</v>
      </c>
      <c r="M224" s="11" t="s">
        <v>71</v>
      </c>
      <c r="N224" s="13" t="s">
        <v>44</v>
      </c>
      <c r="O224" s="14"/>
      <c r="P224" s="14"/>
      <c r="Q224" s="14"/>
      <c r="R224" s="14"/>
      <c r="S224" s="14"/>
      <c r="T224" s="14"/>
      <c r="U224" s="14"/>
      <c r="V224" s="14"/>
      <c r="W224" s="14"/>
      <c r="X224" s="14"/>
      <c r="Y224" s="14"/>
      <c r="Z224" s="14"/>
      <c r="AA224" s="14"/>
      <c r="AB224" s="14"/>
      <c r="AC224" s="14"/>
      <c r="AD224" s="12"/>
      <c r="AE224" s="12"/>
      <c r="AF224" s="12"/>
      <c r="AG224" s="12"/>
      <c r="AH224" s="12"/>
      <c r="AI224" s="12"/>
      <c r="AJ224" s="12"/>
      <c r="AK224" s="11" t="s">
        <v>45</v>
      </c>
      <c r="AL224" s="13" t="s">
        <v>44</v>
      </c>
      <c r="AM224" s="13" t="s">
        <v>44</v>
      </c>
      <c r="AN224" s="11"/>
      <c r="AO224" s="15"/>
      <c r="AP224" s="15"/>
    </row>
    <row r="225">
      <c r="A225" s="11" t="s">
        <v>36</v>
      </c>
      <c r="B225" s="9">
        <v>45436.80587780093</v>
      </c>
      <c r="C225" s="10" t="s">
        <v>272</v>
      </c>
      <c r="D225" s="11" t="s">
        <v>51</v>
      </c>
      <c r="E225" s="11" t="s">
        <v>52</v>
      </c>
      <c r="F225" s="11" t="s">
        <v>65</v>
      </c>
      <c r="G225" s="11" t="s">
        <v>131</v>
      </c>
      <c r="H225" s="11" t="s">
        <v>578</v>
      </c>
      <c r="I225" s="11">
        <v>4000.0</v>
      </c>
      <c r="J225" s="11" t="s">
        <v>189</v>
      </c>
      <c r="K225" s="12"/>
      <c r="L225" s="24" t="s">
        <v>623</v>
      </c>
      <c r="M225" s="11" t="s">
        <v>71</v>
      </c>
      <c r="N225" s="13" t="s">
        <v>44</v>
      </c>
      <c r="O225" s="14"/>
      <c r="P225" s="14"/>
      <c r="Q225" s="14"/>
      <c r="R225" s="14"/>
      <c r="S225" s="14"/>
      <c r="T225" s="14"/>
      <c r="U225" s="14"/>
      <c r="V225" s="14"/>
      <c r="W225" s="14"/>
      <c r="X225" s="14"/>
      <c r="Y225" s="14"/>
      <c r="Z225" s="14"/>
      <c r="AA225" s="14"/>
      <c r="AB225" s="14"/>
      <c r="AC225" s="14"/>
      <c r="AD225" s="12"/>
      <c r="AE225" s="12"/>
      <c r="AF225" s="12"/>
      <c r="AG225" s="12"/>
      <c r="AH225" s="12"/>
      <c r="AI225" s="12"/>
      <c r="AJ225" s="12"/>
      <c r="AK225" s="11" t="s">
        <v>45</v>
      </c>
      <c r="AL225" s="13" t="s">
        <v>44</v>
      </c>
      <c r="AM225" s="13" t="s">
        <v>44</v>
      </c>
      <c r="AN225" s="11"/>
      <c r="AO225" s="15"/>
      <c r="AP225" s="15"/>
    </row>
    <row r="226">
      <c r="A226" s="11" t="s">
        <v>36</v>
      </c>
      <c r="B226" s="9">
        <v>45440.49173334491</v>
      </c>
      <c r="C226" s="10" t="s">
        <v>624</v>
      </c>
      <c r="D226" s="11" t="s">
        <v>51</v>
      </c>
      <c r="E226" s="11" t="s">
        <v>52</v>
      </c>
      <c r="F226" s="11" t="s">
        <v>65</v>
      </c>
      <c r="G226" s="11" t="s">
        <v>54</v>
      </c>
      <c r="H226" s="8" t="s">
        <v>625</v>
      </c>
      <c r="I226" s="11">
        <v>115.0</v>
      </c>
      <c r="J226" s="11" t="s">
        <v>626</v>
      </c>
      <c r="K226" s="24" t="s">
        <v>627</v>
      </c>
      <c r="L226" s="11" t="s">
        <v>628</v>
      </c>
      <c r="M226" s="11" t="s">
        <v>71</v>
      </c>
      <c r="N226" s="11" t="s">
        <v>68</v>
      </c>
      <c r="O226" s="14"/>
      <c r="P226" s="14"/>
      <c r="Q226" s="14"/>
      <c r="R226" s="14"/>
      <c r="S226" s="14"/>
      <c r="T226" s="14"/>
      <c r="U226" s="14"/>
      <c r="V226" s="14"/>
      <c r="W226" s="14"/>
      <c r="X226" s="14"/>
      <c r="Y226" s="14"/>
      <c r="Z226" s="14"/>
      <c r="AA226" s="14"/>
      <c r="AB226" s="14"/>
      <c r="AC226" s="14"/>
      <c r="AD226" s="12"/>
      <c r="AE226" s="12"/>
      <c r="AF226" s="12"/>
      <c r="AG226" s="78">
        <v>45441.0</v>
      </c>
      <c r="AH226" s="12"/>
      <c r="AI226" s="12"/>
      <c r="AJ226" s="12"/>
      <c r="AK226" s="11" t="s">
        <v>45</v>
      </c>
      <c r="AL226" s="27" t="s">
        <v>70</v>
      </c>
      <c r="AM226" s="11" t="s">
        <v>68</v>
      </c>
      <c r="AN226" s="11"/>
      <c r="AO226" s="8"/>
      <c r="AP226" s="8"/>
    </row>
    <row r="227">
      <c r="A227" s="11" t="s">
        <v>36</v>
      </c>
      <c r="B227" s="9">
        <v>45440.706823622684</v>
      </c>
      <c r="C227" s="10" t="s">
        <v>247</v>
      </c>
      <c r="D227" s="11" t="s">
        <v>109</v>
      </c>
      <c r="E227" s="11" t="s">
        <v>138</v>
      </c>
      <c r="F227" s="11" t="s">
        <v>629</v>
      </c>
      <c r="G227" s="11" t="s">
        <v>131</v>
      </c>
      <c r="H227" s="83" t="s">
        <v>127</v>
      </c>
      <c r="I227" s="11">
        <v>2100.0</v>
      </c>
      <c r="J227" s="11" t="s">
        <v>262</v>
      </c>
      <c r="K227" s="24" t="s">
        <v>630</v>
      </c>
      <c r="L227" s="11" t="s">
        <v>631</v>
      </c>
      <c r="M227" s="11" t="s">
        <v>71</v>
      </c>
      <c r="N227" s="11" t="s">
        <v>96</v>
      </c>
      <c r="O227" s="14"/>
      <c r="P227" s="14"/>
      <c r="Q227" s="14"/>
      <c r="R227" s="14"/>
      <c r="S227" s="14"/>
      <c r="T227" s="14"/>
      <c r="U227" s="14"/>
      <c r="V227" s="14"/>
      <c r="W227" s="14"/>
      <c r="X227" s="14"/>
      <c r="Y227" s="14"/>
      <c r="Z227" s="14"/>
      <c r="AA227" s="14"/>
      <c r="AB227" s="14"/>
      <c r="AC227" s="14"/>
      <c r="AD227" s="12"/>
      <c r="AE227" s="12"/>
      <c r="AF227" s="12"/>
      <c r="AG227" s="78">
        <v>45441.0</v>
      </c>
      <c r="AH227" s="12"/>
      <c r="AI227" s="12"/>
      <c r="AJ227" s="12"/>
      <c r="AK227" s="11" t="s">
        <v>45</v>
      </c>
      <c r="AL227" s="13" t="s">
        <v>44</v>
      </c>
      <c r="AM227" s="11" t="s">
        <v>96</v>
      </c>
      <c r="AN227" s="11"/>
      <c r="AO227" s="8"/>
      <c r="AP227" s="8"/>
    </row>
    <row r="228">
      <c r="A228" s="11" t="s">
        <v>36</v>
      </c>
      <c r="B228" s="9">
        <v>45441.25692221065</v>
      </c>
      <c r="C228" s="10" t="s">
        <v>111</v>
      </c>
      <c r="D228" s="11" t="s">
        <v>51</v>
      </c>
      <c r="E228" s="11" t="s">
        <v>52</v>
      </c>
      <c r="F228" s="11" t="s">
        <v>65</v>
      </c>
      <c r="G228" s="11" t="s">
        <v>54</v>
      </c>
      <c r="H228" s="11" t="s">
        <v>625</v>
      </c>
      <c r="I228" s="71">
        <v>2905.0</v>
      </c>
      <c r="J228" s="11" t="s">
        <v>100</v>
      </c>
      <c r="K228" s="12"/>
      <c r="L228" s="11" t="s">
        <v>632</v>
      </c>
      <c r="M228" s="11" t="s">
        <v>71</v>
      </c>
      <c r="N228" s="11" t="s">
        <v>96</v>
      </c>
      <c r="O228" s="14"/>
      <c r="P228" s="14"/>
      <c r="Q228" s="14"/>
      <c r="R228" s="14"/>
      <c r="S228" s="14"/>
      <c r="T228" s="14"/>
      <c r="U228" s="14"/>
      <c r="V228" s="14"/>
      <c r="W228" s="14"/>
      <c r="X228" s="14"/>
      <c r="Y228" s="14"/>
      <c r="Z228" s="14"/>
      <c r="AA228" s="14"/>
      <c r="AB228" s="14"/>
      <c r="AC228" s="14"/>
      <c r="AD228" s="12"/>
      <c r="AE228" s="12"/>
      <c r="AF228" s="12"/>
      <c r="AG228" s="78">
        <v>45441.0</v>
      </c>
      <c r="AH228" s="12"/>
      <c r="AI228" s="12"/>
      <c r="AJ228" s="12"/>
      <c r="AK228" s="11" t="s">
        <v>45</v>
      </c>
      <c r="AL228" s="13" t="s">
        <v>44</v>
      </c>
      <c r="AM228" s="11" t="s">
        <v>96</v>
      </c>
      <c r="AN228" s="11"/>
      <c r="AO228" s="8"/>
      <c r="AP228" s="8"/>
    </row>
    <row r="229">
      <c r="A229" s="11" t="s">
        <v>36</v>
      </c>
      <c r="B229" s="9">
        <v>45441.42561122685</v>
      </c>
      <c r="C229" s="10" t="s">
        <v>155</v>
      </c>
      <c r="D229" s="11" t="s">
        <v>109</v>
      </c>
      <c r="E229" s="11" t="s">
        <v>52</v>
      </c>
      <c r="F229" s="11" t="s">
        <v>65</v>
      </c>
      <c r="G229" s="11" t="s">
        <v>54</v>
      </c>
      <c r="H229" s="11" t="s">
        <v>439</v>
      </c>
      <c r="I229" s="11" t="s">
        <v>633</v>
      </c>
      <c r="J229" s="11" t="s">
        <v>157</v>
      </c>
      <c r="K229" s="12"/>
      <c r="L229" s="11" t="s">
        <v>634</v>
      </c>
      <c r="M229" s="11" t="s">
        <v>71</v>
      </c>
      <c r="N229" s="11" t="s">
        <v>96</v>
      </c>
      <c r="O229" s="14"/>
      <c r="P229" s="14"/>
      <c r="Q229" s="14"/>
      <c r="R229" s="14"/>
      <c r="S229" s="14"/>
      <c r="T229" s="14"/>
      <c r="U229" s="14"/>
      <c r="V229" s="14"/>
      <c r="W229" s="14"/>
      <c r="X229" s="14"/>
      <c r="Y229" s="14"/>
      <c r="Z229" s="14"/>
      <c r="AA229" s="14"/>
      <c r="AB229" s="14"/>
      <c r="AC229" s="14"/>
      <c r="AD229" s="12"/>
      <c r="AE229" s="12"/>
      <c r="AF229" s="12"/>
      <c r="AG229" s="78">
        <v>45442.0</v>
      </c>
      <c r="AH229" s="12"/>
      <c r="AI229" s="12"/>
      <c r="AJ229" s="12"/>
      <c r="AK229" s="11" t="s">
        <v>45</v>
      </c>
      <c r="AL229" s="13" t="s">
        <v>44</v>
      </c>
      <c r="AM229" s="11" t="s">
        <v>96</v>
      </c>
      <c r="AN229" s="11"/>
      <c r="AO229" s="8"/>
      <c r="AP229" s="8"/>
    </row>
    <row r="230">
      <c r="A230" s="11" t="s">
        <v>36</v>
      </c>
      <c r="B230" s="9">
        <v>45441.53126236111</v>
      </c>
      <c r="C230" s="10" t="s">
        <v>586</v>
      </c>
      <c r="D230" s="11" t="s">
        <v>51</v>
      </c>
      <c r="E230" s="11" t="s">
        <v>52</v>
      </c>
      <c r="F230" s="11" t="s">
        <v>40</v>
      </c>
      <c r="G230" s="11" t="s">
        <v>131</v>
      </c>
      <c r="H230" s="11" t="s">
        <v>625</v>
      </c>
      <c r="I230" s="71">
        <v>500.0</v>
      </c>
      <c r="J230" s="11" t="s">
        <v>102</v>
      </c>
      <c r="K230" s="12"/>
      <c r="L230" s="24" t="s">
        <v>635</v>
      </c>
      <c r="M230" s="11" t="s">
        <v>71</v>
      </c>
      <c r="N230" s="11" t="s">
        <v>96</v>
      </c>
      <c r="O230" s="14"/>
      <c r="P230" s="14"/>
      <c r="Q230" s="14"/>
      <c r="R230" s="14"/>
      <c r="S230" s="14"/>
      <c r="T230" s="14"/>
      <c r="U230" s="14"/>
      <c r="V230" s="14"/>
      <c r="W230" s="14"/>
      <c r="X230" s="14"/>
      <c r="Y230" s="14"/>
      <c r="Z230" s="14"/>
      <c r="AA230" s="14"/>
      <c r="AB230" s="14"/>
      <c r="AC230" s="14"/>
      <c r="AD230" s="12"/>
      <c r="AE230" s="12"/>
      <c r="AF230" s="12"/>
      <c r="AG230" s="78">
        <v>45442.0</v>
      </c>
      <c r="AH230" s="12"/>
      <c r="AI230" s="12"/>
      <c r="AJ230" s="12"/>
      <c r="AK230" s="11" t="s">
        <v>45</v>
      </c>
      <c r="AL230" s="13" t="s">
        <v>44</v>
      </c>
      <c r="AM230" s="11" t="s">
        <v>96</v>
      </c>
      <c r="AN230" s="11"/>
      <c r="AO230" s="8"/>
      <c r="AP230" s="8"/>
    </row>
    <row r="231">
      <c r="A231" s="11" t="s">
        <v>36</v>
      </c>
      <c r="B231" s="9">
        <v>45441.55020863426</v>
      </c>
      <c r="C231" s="10" t="s">
        <v>636</v>
      </c>
      <c r="D231" s="11" t="s">
        <v>109</v>
      </c>
      <c r="E231" s="11" t="s">
        <v>52</v>
      </c>
      <c r="F231" s="11" t="s">
        <v>65</v>
      </c>
      <c r="G231" s="11" t="s">
        <v>54</v>
      </c>
      <c r="H231" s="11" t="s">
        <v>625</v>
      </c>
      <c r="I231" s="71">
        <v>1696.0</v>
      </c>
      <c r="J231" s="11" t="s">
        <v>226</v>
      </c>
      <c r="K231" s="24" t="s">
        <v>637</v>
      </c>
      <c r="L231" s="11" t="s">
        <v>638</v>
      </c>
      <c r="M231" s="11" t="s">
        <v>71</v>
      </c>
      <c r="N231" s="11" t="s">
        <v>96</v>
      </c>
      <c r="O231" s="14"/>
      <c r="P231" s="14"/>
      <c r="Q231" s="14"/>
      <c r="R231" s="14"/>
      <c r="S231" s="14"/>
      <c r="T231" s="14"/>
      <c r="U231" s="14"/>
      <c r="V231" s="14"/>
      <c r="W231" s="14"/>
      <c r="X231" s="14"/>
      <c r="Y231" s="14"/>
      <c r="Z231" s="14"/>
      <c r="AA231" s="14"/>
      <c r="AB231" s="14"/>
      <c r="AC231" s="14"/>
      <c r="AD231" s="12"/>
      <c r="AE231" s="12"/>
      <c r="AF231" s="12"/>
      <c r="AG231" s="78">
        <v>45442.0</v>
      </c>
      <c r="AH231" s="12"/>
      <c r="AI231" s="12"/>
      <c r="AJ231" s="12"/>
      <c r="AK231" s="11" t="s">
        <v>45</v>
      </c>
      <c r="AL231" s="13" t="s">
        <v>44</v>
      </c>
      <c r="AM231" s="11" t="s">
        <v>96</v>
      </c>
      <c r="AN231" s="11"/>
      <c r="AO231" s="8"/>
      <c r="AP231" s="8"/>
    </row>
    <row r="232">
      <c r="A232" s="11" t="s">
        <v>36</v>
      </c>
      <c r="B232" s="9">
        <v>45441.57049344908</v>
      </c>
      <c r="C232" s="10" t="s">
        <v>639</v>
      </c>
      <c r="D232" s="11" t="s">
        <v>109</v>
      </c>
      <c r="E232" s="11" t="s">
        <v>52</v>
      </c>
      <c r="F232" s="11" t="s">
        <v>65</v>
      </c>
      <c r="G232" s="11" t="s">
        <v>54</v>
      </c>
      <c r="H232" s="11" t="s">
        <v>625</v>
      </c>
      <c r="I232" s="11" t="s">
        <v>640</v>
      </c>
      <c r="J232" s="11" t="s">
        <v>226</v>
      </c>
      <c r="K232" s="12"/>
      <c r="L232" s="24" t="s">
        <v>641</v>
      </c>
      <c r="M232" s="11" t="s">
        <v>71</v>
      </c>
      <c r="N232" s="11" t="s">
        <v>68</v>
      </c>
      <c r="O232" s="14"/>
      <c r="P232" s="14"/>
      <c r="Q232" s="14"/>
      <c r="R232" s="14"/>
      <c r="S232" s="14"/>
      <c r="T232" s="14"/>
      <c r="U232" s="14"/>
      <c r="V232" s="14"/>
      <c r="W232" s="14"/>
      <c r="X232" s="14"/>
      <c r="Y232" s="14"/>
      <c r="Z232" s="14"/>
      <c r="AA232" s="14"/>
      <c r="AB232" s="14"/>
      <c r="AC232" s="14"/>
      <c r="AD232" s="12"/>
      <c r="AE232" s="12"/>
      <c r="AF232" s="12"/>
      <c r="AG232" s="78">
        <v>45442.0</v>
      </c>
      <c r="AH232" s="12"/>
      <c r="AI232" s="12"/>
      <c r="AJ232" s="12"/>
      <c r="AK232" s="11" t="s">
        <v>45</v>
      </c>
      <c r="AL232" s="27" t="s">
        <v>70</v>
      </c>
      <c r="AM232" s="11" t="s">
        <v>68</v>
      </c>
      <c r="AN232" s="11"/>
      <c r="AO232" s="8"/>
      <c r="AP232" s="8"/>
    </row>
    <row r="233">
      <c r="A233" s="11" t="s">
        <v>36</v>
      </c>
      <c r="B233" s="9">
        <v>45442.36708967593</v>
      </c>
      <c r="C233" s="10" t="s">
        <v>148</v>
      </c>
      <c r="D233" s="11" t="s">
        <v>51</v>
      </c>
      <c r="E233" s="11" t="s">
        <v>149</v>
      </c>
      <c r="F233" s="11" t="s">
        <v>80</v>
      </c>
      <c r="G233" s="11" t="s">
        <v>41</v>
      </c>
      <c r="H233" s="11" t="s">
        <v>625</v>
      </c>
      <c r="I233" s="11" t="s">
        <v>642</v>
      </c>
      <c r="J233" s="11" t="s">
        <v>100</v>
      </c>
      <c r="K233" s="11"/>
      <c r="L233" s="11" t="s">
        <v>643</v>
      </c>
      <c r="M233" s="11" t="s">
        <v>71</v>
      </c>
      <c r="N233" s="11" t="s">
        <v>96</v>
      </c>
      <c r="O233" s="14"/>
      <c r="P233" s="14"/>
      <c r="Q233" s="14"/>
      <c r="R233" s="14"/>
      <c r="S233" s="14"/>
      <c r="T233" s="14"/>
      <c r="U233" s="14"/>
      <c r="V233" s="14"/>
      <c r="W233" s="14"/>
      <c r="X233" s="14"/>
      <c r="Y233" s="14"/>
      <c r="Z233" s="14"/>
      <c r="AA233" s="14"/>
      <c r="AB233" s="14"/>
      <c r="AC233" s="14"/>
      <c r="AD233" s="12"/>
      <c r="AE233" s="12"/>
      <c r="AF233" s="12"/>
      <c r="AG233" s="78">
        <v>45442.0</v>
      </c>
      <c r="AH233" s="12"/>
      <c r="AI233" s="12"/>
      <c r="AJ233" s="12"/>
      <c r="AK233" s="11" t="s">
        <v>644</v>
      </c>
      <c r="AL233" s="13" t="s">
        <v>44</v>
      </c>
      <c r="AM233" s="11" t="s">
        <v>96</v>
      </c>
      <c r="AN233" s="11"/>
      <c r="AO233" s="8"/>
      <c r="AP233" s="8"/>
    </row>
    <row r="234">
      <c r="A234" s="11" t="s">
        <v>36</v>
      </c>
      <c r="B234" s="9">
        <v>45442.53124459491</v>
      </c>
      <c r="C234" s="10" t="s">
        <v>516</v>
      </c>
      <c r="D234" s="11" t="s">
        <v>109</v>
      </c>
      <c r="E234" s="11" t="s">
        <v>149</v>
      </c>
      <c r="F234" s="11" t="s">
        <v>40</v>
      </c>
      <c r="G234" s="11" t="s">
        <v>41</v>
      </c>
      <c r="H234" s="8" t="s">
        <v>89</v>
      </c>
      <c r="I234" s="11" t="s">
        <v>645</v>
      </c>
      <c r="J234" s="11" t="s">
        <v>383</v>
      </c>
      <c r="K234" s="12"/>
      <c r="L234" s="12"/>
      <c r="M234" s="11" t="s">
        <v>71</v>
      </c>
      <c r="N234" s="11" t="s">
        <v>96</v>
      </c>
      <c r="O234" s="14"/>
      <c r="P234" s="14"/>
      <c r="Q234" s="14"/>
      <c r="R234" s="14"/>
      <c r="S234" s="14"/>
      <c r="T234" s="14"/>
      <c r="U234" s="14"/>
      <c r="V234" s="14"/>
      <c r="W234" s="14"/>
      <c r="X234" s="14"/>
      <c r="Y234" s="14"/>
      <c r="Z234" s="14"/>
      <c r="AA234" s="14"/>
      <c r="AB234" s="14"/>
      <c r="AC234" s="14"/>
      <c r="AD234" s="12"/>
      <c r="AE234" s="12"/>
      <c r="AF234" s="12"/>
      <c r="AG234" s="78">
        <v>45446.0</v>
      </c>
      <c r="AH234" s="12"/>
      <c r="AI234" s="12"/>
      <c r="AJ234" s="12"/>
      <c r="AK234" s="11" t="s">
        <v>435</v>
      </c>
      <c r="AL234" s="13" t="s">
        <v>44</v>
      </c>
      <c r="AM234" s="11" t="s">
        <v>96</v>
      </c>
      <c r="AN234" s="11"/>
      <c r="AO234" s="8"/>
      <c r="AP234" s="8"/>
    </row>
    <row r="235">
      <c r="A235" s="11" t="s">
        <v>36</v>
      </c>
      <c r="B235" s="9">
        <v>45442.575408599536</v>
      </c>
      <c r="C235" s="10" t="s">
        <v>595</v>
      </c>
      <c r="D235" s="11" t="s">
        <v>109</v>
      </c>
      <c r="E235" s="11" t="s">
        <v>138</v>
      </c>
      <c r="F235" s="11" t="s">
        <v>65</v>
      </c>
      <c r="G235" s="11" t="s">
        <v>54</v>
      </c>
      <c r="H235" s="11" t="s">
        <v>625</v>
      </c>
      <c r="I235" s="11" t="s">
        <v>646</v>
      </c>
      <c r="J235" s="11" t="s">
        <v>418</v>
      </c>
      <c r="K235" s="12"/>
      <c r="L235" s="11" t="s">
        <v>463</v>
      </c>
      <c r="M235" s="11" t="s">
        <v>71</v>
      </c>
      <c r="N235" s="11" t="s">
        <v>68</v>
      </c>
      <c r="O235" s="14"/>
      <c r="P235" s="14"/>
      <c r="Q235" s="14"/>
      <c r="R235" s="14"/>
      <c r="S235" s="14"/>
      <c r="T235" s="14"/>
      <c r="U235" s="14"/>
      <c r="V235" s="14"/>
      <c r="W235" s="14"/>
      <c r="X235" s="14"/>
      <c r="Y235" s="14"/>
      <c r="Z235" s="14"/>
      <c r="AA235" s="14"/>
      <c r="AB235" s="14"/>
      <c r="AC235" s="14"/>
      <c r="AD235" s="12"/>
      <c r="AE235" s="12"/>
      <c r="AF235" s="12"/>
      <c r="AG235" s="78">
        <v>45446.0</v>
      </c>
      <c r="AH235" s="12"/>
      <c r="AI235" s="12"/>
      <c r="AJ235" s="12"/>
      <c r="AK235" s="11" t="s">
        <v>435</v>
      </c>
      <c r="AL235" s="27" t="s">
        <v>70</v>
      </c>
      <c r="AM235" s="11" t="s">
        <v>68</v>
      </c>
      <c r="AN235" s="11"/>
      <c r="AO235" s="8"/>
      <c r="AP235" s="8"/>
    </row>
    <row r="236">
      <c r="A236" s="11" t="s">
        <v>36</v>
      </c>
      <c r="B236" s="9">
        <v>45442.61321283565</v>
      </c>
      <c r="C236" s="10" t="s">
        <v>407</v>
      </c>
      <c r="D236" s="11" t="s">
        <v>202</v>
      </c>
      <c r="E236" s="11" t="s">
        <v>138</v>
      </c>
      <c r="F236" s="11" t="s">
        <v>139</v>
      </c>
      <c r="G236" s="11" t="s">
        <v>54</v>
      </c>
      <c r="H236" s="11" t="s">
        <v>625</v>
      </c>
      <c r="I236" s="11" t="s">
        <v>647</v>
      </c>
      <c r="J236" s="11" t="s">
        <v>383</v>
      </c>
      <c r="K236" s="28" t="s">
        <v>648</v>
      </c>
      <c r="L236" s="11" t="s">
        <v>649</v>
      </c>
      <c r="M236" s="11" t="s">
        <v>71</v>
      </c>
      <c r="N236" s="13" t="s">
        <v>44</v>
      </c>
      <c r="O236" s="14"/>
      <c r="P236" s="14"/>
      <c r="Q236" s="14"/>
      <c r="R236" s="14"/>
      <c r="S236" s="14"/>
      <c r="T236" s="14"/>
      <c r="U236" s="14"/>
      <c r="V236" s="14"/>
      <c r="W236" s="14"/>
      <c r="X236" s="14"/>
      <c r="Y236" s="14"/>
      <c r="Z236" s="14"/>
      <c r="AA236" s="14"/>
      <c r="AB236" s="14"/>
      <c r="AC236" s="14"/>
      <c r="AD236" s="12"/>
      <c r="AE236" s="12"/>
      <c r="AF236" s="12"/>
      <c r="AG236" s="12"/>
      <c r="AH236" s="12"/>
      <c r="AI236" s="12"/>
      <c r="AJ236" s="12"/>
      <c r="AK236" s="11" t="s">
        <v>45</v>
      </c>
      <c r="AL236" s="13" t="s">
        <v>44</v>
      </c>
      <c r="AM236" s="13" t="s">
        <v>44</v>
      </c>
      <c r="AN236" s="11"/>
      <c r="AO236" s="15"/>
      <c r="AP236" s="15"/>
    </row>
    <row r="237">
      <c r="A237" s="11" t="s">
        <v>36</v>
      </c>
      <c r="B237" s="9">
        <v>45443.37593447916</v>
      </c>
      <c r="C237" s="10" t="s">
        <v>650</v>
      </c>
      <c r="D237" s="11" t="s">
        <v>202</v>
      </c>
      <c r="E237" s="11" t="s">
        <v>138</v>
      </c>
      <c r="F237" s="11" t="s">
        <v>65</v>
      </c>
      <c r="G237" s="11" t="s">
        <v>60</v>
      </c>
      <c r="H237" s="11" t="s">
        <v>625</v>
      </c>
      <c r="I237" s="11" t="s">
        <v>651</v>
      </c>
      <c r="J237" s="11" t="s">
        <v>262</v>
      </c>
      <c r="K237" s="12"/>
      <c r="L237" s="11" t="s">
        <v>652</v>
      </c>
      <c r="M237" s="11" t="s">
        <v>71</v>
      </c>
      <c r="N237" s="11" t="s">
        <v>96</v>
      </c>
      <c r="O237" s="14"/>
      <c r="P237" s="14"/>
      <c r="Q237" s="14"/>
      <c r="R237" s="14"/>
      <c r="S237" s="14"/>
      <c r="T237" s="14"/>
      <c r="U237" s="14"/>
      <c r="V237" s="14"/>
      <c r="W237" s="14"/>
      <c r="X237" s="14"/>
      <c r="Y237" s="14"/>
      <c r="Z237" s="14"/>
      <c r="AA237" s="14"/>
      <c r="AB237" s="14"/>
      <c r="AC237" s="14"/>
      <c r="AD237" s="12"/>
      <c r="AE237" s="12"/>
      <c r="AF237" s="12"/>
      <c r="AG237" s="78">
        <v>45446.0</v>
      </c>
      <c r="AH237" s="12"/>
      <c r="AI237" s="12"/>
      <c r="AJ237" s="12"/>
      <c r="AK237" s="11" t="s">
        <v>435</v>
      </c>
      <c r="AL237" s="13" t="s">
        <v>44</v>
      </c>
      <c r="AM237" s="11" t="s">
        <v>96</v>
      </c>
      <c r="AN237" s="11"/>
      <c r="AO237" s="8"/>
      <c r="AP237" s="8"/>
    </row>
    <row r="238">
      <c r="A238" s="11" t="s">
        <v>36</v>
      </c>
      <c r="B238" s="9">
        <v>45443.62618835648</v>
      </c>
      <c r="C238" s="10" t="s">
        <v>653</v>
      </c>
      <c r="D238" s="11" t="s">
        <v>51</v>
      </c>
      <c r="E238" s="11" t="s">
        <v>52</v>
      </c>
      <c r="F238" s="11" t="s">
        <v>210</v>
      </c>
      <c r="G238" s="11" t="s">
        <v>131</v>
      </c>
      <c r="H238" s="11" t="s">
        <v>625</v>
      </c>
      <c r="I238" s="71">
        <v>200.0</v>
      </c>
      <c r="J238" s="11" t="s">
        <v>100</v>
      </c>
      <c r="K238" s="12"/>
      <c r="L238" s="11" t="s">
        <v>654</v>
      </c>
      <c r="M238" s="11" t="s">
        <v>71</v>
      </c>
      <c r="N238" s="11" t="s">
        <v>96</v>
      </c>
      <c r="O238" s="14"/>
      <c r="P238" s="14"/>
      <c r="Q238" s="14"/>
      <c r="R238" s="14"/>
      <c r="S238" s="14"/>
      <c r="T238" s="14"/>
      <c r="U238" s="14"/>
      <c r="V238" s="14"/>
      <c r="W238" s="14"/>
      <c r="X238" s="14"/>
      <c r="Y238" s="14"/>
      <c r="Z238" s="14"/>
      <c r="AA238" s="14"/>
      <c r="AB238" s="14"/>
      <c r="AC238" s="14"/>
      <c r="AD238" s="12"/>
      <c r="AE238" s="12"/>
      <c r="AF238" s="12"/>
      <c r="AG238" s="78">
        <v>45446.0</v>
      </c>
      <c r="AH238" s="12"/>
      <c r="AI238" s="12"/>
      <c r="AJ238" s="12"/>
      <c r="AK238" s="11" t="s">
        <v>435</v>
      </c>
      <c r="AL238" s="13" t="s">
        <v>44</v>
      </c>
      <c r="AM238" s="11" t="s">
        <v>96</v>
      </c>
      <c r="AN238" s="11"/>
      <c r="AO238" s="8"/>
      <c r="AP238" s="8"/>
    </row>
    <row r="239">
      <c r="A239" s="11" t="s">
        <v>36</v>
      </c>
      <c r="B239" s="9">
        <v>45447.27567693287</v>
      </c>
      <c r="C239" s="10" t="s">
        <v>541</v>
      </c>
      <c r="D239" s="11" t="s">
        <v>51</v>
      </c>
      <c r="E239" s="11" t="s">
        <v>52</v>
      </c>
      <c r="F239" s="11" t="s">
        <v>65</v>
      </c>
      <c r="G239" s="11" t="s">
        <v>54</v>
      </c>
      <c r="H239" s="11" t="s">
        <v>625</v>
      </c>
      <c r="I239" s="71">
        <v>124.0</v>
      </c>
      <c r="J239" s="11" t="s">
        <v>538</v>
      </c>
      <c r="K239" s="12"/>
      <c r="L239" s="24" t="s">
        <v>655</v>
      </c>
      <c r="M239" s="11" t="s">
        <v>71</v>
      </c>
      <c r="N239" s="11" t="s">
        <v>68</v>
      </c>
      <c r="O239" s="14"/>
      <c r="P239" s="14"/>
      <c r="Q239" s="14"/>
      <c r="R239" s="14"/>
      <c r="S239" s="14"/>
      <c r="T239" s="14"/>
      <c r="U239" s="14"/>
      <c r="V239" s="14"/>
      <c r="W239" s="14"/>
      <c r="X239" s="14"/>
      <c r="Y239" s="14"/>
      <c r="Z239" s="14"/>
      <c r="AA239" s="14"/>
      <c r="AB239" s="14"/>
      <c r="AC239" s="14"/>
      <c r="AD239" s="12"/>
      <c r="AE239" s="12"/>
      <c r="AF239" s="12"/>
      <c r="AG239" s="78">
        <v>45448.0</v>
      </c>
      <c r="AH239" s="12"/>
      <c r="AI239" s="12"/>
      <c r="AJ239" s="12"/>
      <c r="AK239" s="11" t="s">
        <v>45</v>
      </c>
      <c r="AL239" s="27" t="s">
        <v>70</v>
      </c>
      <c r="AM239" s="11" t="s">
        <v>68</v>
      </c>
      <c r="AN239" s="11"/>
      <c r="AO239" s="8"/>
      <c r="AP239" s="8"/>
    </row>
    <row r="240">
      <c r="A240" s="11" t="s">
        <v>36</v>
      </c>
      <c r="B240" s="9">
        <v>45447.50048077546</v>
      </c>
      <c r="C240" s="10" t="s">
        <v>141</v>
      </c>
      <c r="D240" s="11" t="s">
        <v>38</v>
      </c>
      <c r="E240" s="11" t="s">
        <v>656</v>
      </c>
      <c r="F240" s="11" t="s">
        <v>40</v>
      </c>
      <c r="G240" s="11" t="s">
        <v>41</v>
      </c>
      <c r="H240" s="11" t="s">
        <v>42</v>
      </c>
      <c r="I240" s="11" t="s">
        <v>657</v>
      </c>
      <c r="J240" s="11" t="s">
        <v>100</v>
      </c>
      <c r="K240" s="12"/>
      <c r="L240" s="12"/>
      <c r="M240" s="11" t="s">
        <v>71</v>
      </c>
      <c r="N240" s="11" t="s">
        <v>96</v>
      </c>
      <c r="O240" s="14"/>
      <c r="P240" s="14"/>
      <c r="Q240" s="14"/>
      <c r="R240" s="14"/>
      <c r="S240" s="14"/>
      <c r="T240" s="14"/>
      <c r="U240" s="14"/>
      <c r="V240" s="14"/>
      <c r="W240" s="14"/>
      <c r="X240" s="14"/>
      <c r="Y240" s="14"/>
      <c r="Z240" s="14"/>
      <c r="AA240" s="14"/>
      <c r="AB240" s="14"/>
      <c r="AC240" s="14"/>
      <c r="AD240" s="12"/>
      <c r="AE240" s="12"/>
      <c r="AF240" s="12"/>
      <c r="AG240" s="78">
        <v>45448.0</v>
      </c>
      <c r="AH240" s="12"/>
      <c r="AI240" s="12"/>
      <c r="AJ240" s="12"/>
      <c r="AK240" s="11" t="s">
        <v>45</v>
      </c>
      <c r="AL240" s="13" t="s">
        <v>44</v>
      </c>
      <c r="AM240" s="11" t="s">
        <v>96</v>
      </c>
      <c r="AN240" s="11"/>
      <c r="AO240" s="8"/>
      <c r="AP240" s="8"/>
    </row>
    <row r="241">
      <c r="A241" s="11" t="s">
        <v>36</v>
      </c>
      <c r="B241" s="9">
        <v>45447.62999560185</v>
      </c>
      <c r="C241" s="10" t="s">
        <v>247</v>
      </c>
      <c r="D241" s="11" t="s">
        <v>109</v>
      </c>
      <c r="E241" s="11" t="s">
        <v>138</v>
      </c>
      <c r="F241" s="11" t="s">
        <v>80</v>
      </c>
      <c r="G241" s="11" t="s">
        <v>131</v>
      </c>
      <c r="H241" s="8" t="s">
        <v>625</v>
      </c>
      <c r="I241" s="11">
        <v>975.0</v>
      </c>
      <c r="J241" s="11" t="s">
        <v>262</v>
      </c>
      <c r="K241" s="12"/>
      <c r="L241" s="24" t="s">
        <v>658</v>
      </c>
      <c r="M241" s="11" t="s">
        <v>71</v>
      </c>
      <c r="N241" s="11" t="s">
        <v>96</v>
      </c>
      <c r="O241" s="14"/>
      <c r="P241" s="14"/>
      <c r="Q241" s="14"/>
      <c r="R241" s="14"/>
      <c r="S241" s="14"/>
      <c r="T241" s="14"/>
      <c r="U241" s="14"/>
      <c r="V241" s="14"/>
      <c r="W241" s="14"/>
      <c r="X241" s="14"/>
      <c r="Y241" s="14"/>
      <c r="Z241" s="14"/>
      <c r="AA241" s="14"/>
      <c r="AB241" s="14"/>
      <c r="AC241" s="14"/>
      <c r="AD241" s="12"/>
      <c r="AE241" s="12"/>
      <c r="AF241" s="12"/>
      <c r="AG241" s="78">
        <v>45448.0</v>
      </c>
      <c r="AH241" s="12"/>
      <c r="AI241" s="12"/>
      <c r="AJ241" s="12"/>
      <c r="AK241" s="11" t="s">
        <v>45</v>
      </c>
      <c r="AL241" s="13" t="s">
        <v>44</v>
      </c>
      <c r="AM241" s="11" t="s">
        <v>96</v>
      </c>
      <c r="AN241" s="11"/>
      <c r="AO241" s="8"/>
      <c r="AP241" s="8"/>
    </row>
    <row r="242">
      <c r="A242" s="11" t="s">
        <v>36</v>
      </c>
      <c r="B242" s="9">
        <v>45447.64407657407</v>
      </c>
      <c r="C242" s="10" t="s">
        <v>240</v>
      </c>
      <c r="D242" s="11" t="s">
        <v>142</v>
      </c>
      <c r="E242" s="11" t="s">
        <v>241</v>
      </c>
      <c r="F242" s="11" t="s">
        <v>139</v>
      </c>
      <c r="G242" s="11" t="s">
        <v>54</v>
      </c>
      <c r="H242" s="8" t="s">
        <v>625</v>
      </c>
      <c r="I242" s="77">
        <v>764.31</v>
      </c>
      <c r="J242" s="11" t="s">
        <v>102</v>
      </c>
      <c r="K242" s="12"/>
      <c r="L242" s="24" t="s">
        <v>659</v>
      </c>
      <c r="M242" s="11" t="s">
        <v>71</v>
      </c>
      <c r="N242" s="11" t="s">
        <v>96</v>
      </c>
      <c r="O242" s="14"/>
      <c r="P242" s="14"/>
      <c r="Q242" s="14"/>
      <c r="R242" s="14"/>
      <c r="S242" s="14"/>
      <c r="T242" s="14"/>
      <c r="U242" s="14"/>
      <c r="V242" s="14"/>
      <c r="W242" s="14"/>
      <c r="X242" s="14"/>
      <c r="Y242" s="14"/>
      <c r="Z242" s="14"/>
      <c r="AA242" s="14"/>
      <c r="AB242" s="14"/>
      <c r="AC242" s="14"/>
      <c r="AD242" s="12"/>
      <c r="AE242" s="12"/>
      <c r="AF242" s="12"/>
      <c r="AG242" s="78">
        <v>45448.0</v>
      </c>
      <c r="AH242" s="12"/>
      <c r="AI242" s="12"/>
      <c r="AJ242" s="12"/>
      <c r="AK242" s="11" t="s">
        <v>45</v>
      </c>
      <c r="AL242" s="13" t="s">
        <v>44</v>
      </c>
      <c r="AM242" s="11" t="s">
        <v>96</v>
      </c>
      <c r="AN242" s="11"/>
      <c r="AO242" s="8"/>
      <c r="AP242" s="8"/>
    </row>
    <row r="243">
      <c r="A243" s="75" t="s">
        <v>177</v>
      </c>
      <c r="B243" s="73">
        <v>45448.46457809028</v>
      </c>
      <c r="C243" s="74" t="s">
        <v>586</v>
      </c>
      <c r="D243" s="75" t="s">
        <v>51</v>
      </c>
      <c r="E243" s="75" t="s">
        <v>52</v>
      </c>
      <c r="F243" s="75" t="s">
        <v>40</v>
      </c>
      <c r="G243" s="75" t="s">
        <v>131</v>
      </c>
      <c r="H243" s="75" t="s">
        <v>625</v>
      </c>
      <c r="I243" s="75" t="s">
        <v>660</v>
      </c>
      <c r="J243" s="75" t="s">
        <v>102</v>
      </c>
      <c r="K243" s="114"/>
      <c r="L243" s="75" t="s">
        <v>661</v>
      </c>
      <c r="M243" s="75" t="s">
        <v>71</v>
      </c>
      <c r="N243" s="75" t="s">
        <v>96</v>
      </c>
      <c r="O243" s="129"/>
      <c r="P243" s="129"/>
      <c r="Q243" s="129"/>
      <c r="R243" s="129"/>
      <c r="S243" s="129"/>
      <c r="T243" s="129"/>
      <c r="U243" s="129"/>
      <c r="V243" s="129"/>
      <c r="W243" s="129"/>
      <c r="X243" s="129"/>
      <c r="Y243" s="129"/>
      <c r="Z243" s="129"/>
      <c r="AA243" s="129"/>
      <c r="AB243" s="129"/>
      <c r="AC243" s="129"/>
      <c r="AD243" s="114"/>
      <c r="AE243" s="114"/>
      <c r="AF243" s="114"/>
      <c r="AG243" s="130">
        <v>45448.0</v>
      </c>
      <c r="AH243" s="114"/>
      <c r="AI243" s="114"/>
      <c r="AJ243" s="114"/>
      <c r="AK243" s="75" t="s">
        <v>662</v>
      </c>
      <c r="AL243" s="131" t="s">
        <v>44</v>
      </c>
      <c r="AM243" s="75" t="s">
        <v>96</v>
      </c>
      <c r="AN243" s="75"/>
      <c r="AO243" s="72"/>
      <c r="AP243" s="72"/>
    </row>
    <row r="244">
      <c r="A244" s="11" t="s">
        <v>36</v>
      </c>
      <c r="B244" s="9">
        <v>45448.57617576389</v>
      </c>
      <c r="C244" s="10" t="s">
        <v>577</v>
      </c>
      <c r="D244" s="11" t="s">
        <v>51</v>
      </c>
      <c r="E244" s="11" t="s">
        <v>52</v>
      </c>
      <c r="F244" s="11" t="s">
        <v>80</v>
      </c>
      <c r="G244" s="11" t="s">
        <v>131</v>
      </c>
      <c r="H244" s="8" t="s">
        <v>625</v>
      </c>
      <c r="I244" s="11">
        <v>3680.0</v>
      </c>
      <c r="J244" s="11" t="s">
        <v>128</v>
      </c>
      <c r="K244" s="28" t="s">
        <v>663</v>
      </c>
      <c r="L244" s="11" t="s">
        <v>664</v>
      </c>
      <c r="M244" s="11" t="s">
        <v>71</v>
      </c>
      <c r="N244" s="11" t="s">
        <v>96</v>
      </c>
      <c r="O244" s="14"/>
      <c r="P244" s="14"/>
      <c r="Q244" s="14"/>
      <c r="R244" s="14"/>
      <c r="S244" s="14"/>
      <c r="T244" s="14"/>
      <c r="U244" s="14"/>
      <c r="V244" s="14"/>
      <c r="W244" s="14"/>
      <c r="X244" s="14"/>
      <c r="Y244" s="14"/>
      <c r="Z244" s="14"/>
      <c r="AA244" s="14"/>
      <c r="AB244" s="14"/>
      <c r="AC244" s="14"/>
      <c r="AD244" s="12"/>
      <c r="AE244" s="12"/>
      <c r="AF244" s="12"/>
      <c r="AG244" s="78">
        <v>45455.0</v>
      </c>
      <c r="AH244" s="12"/>
      <c r="AI244" s="12"/>
      <c r="AJ244" s="12"/>
      <c r="AK244" s="11" t="s">
        <v>45</v>
      </c>
      <c r="AL244" s="13" t="s">
        <v>44</v>
      </c>
      <c r="AM244" s="11" t="s">
        <v>96</v>
      </c>
      <c r="AN244" s="11"/>
      <c r="AO244" s="8" t="b">
        <v>1</v>
      </c>
      <c r="AP244" s="8"/>
    </row>
    <row r="245">
      <c r="A245" s="11" t="s">
        <v>36</v>
      </c>
      <c r="B245" s="9">
        <v>45449.59412476852</v>
      </c>
      <c r="C245" s="10" t="s">
        <v>148</v>
      </c>
      <c r="D245" s="11" t="s">
        <v>51</v>
      </c>
      <c r="E245" s="11" t="s">
        <v>149</v>
      </c>
      <c r="F245" s="11" t="s">
        <v>80</v>
      </c>
      <c r="G245" s="11" t="s">
        <v>41</v>
      </c>
      <c r="H245" s="11" t="s">
        <v>625</v>
      </c>
      <c r="I245" s="11">
        <v>190.0</v>
      </c>
      <c r="J245" s="11" t="s">
        <v>100</v>
      </c>
      <c r="K245" s="12"/>
      <c r="L245" s="11" t="s">
        <v>665</v>
      </c>
      <c r="M245" s="11" t="s">
        <v>71</v>
      </c>
      <c r="N245" s="11" t="s">
        <v>96</v>
      </c>
      <c r="O245" s="14"/>
      <c r="P245" s="14"/>
      <c r="Q245" s="14"/>
      <c r="R245" s="14"/>
      <c r="S245" s="14"/>
      <c r="T245" s="14"/>
      <c r="U245" s="14"/>
      <c r="V245" s="14"/>
      <c r="W245" s="14"/>
      <c r="X245" s="14"/>
      <c r="Y245" s="14"/>
      <c r="Z245" s="14"/>
      <c r="AA245" s="14"/>
      <c r="AB245" s="14"/>
      <c r="AC245" s="14"/>
      <c r="AD245" s="12"/>
      <c r="AE245" s="12"/>
      <c r="AF245" s="12"/>
      <c r="AG245" s="78">
        <v>45455.0</v>
      </c>
      <c r="AH245" s="12"/>
      <c r="AI245" s="12"/>
      <c r="AJ245" s="12"/>
      <c r="AK245" s="11" t="s">
        <v>45</v>
      </c>
      <c r="AL245" s="13" t="s">
        <v>44</v>
      </c>
      <c r="AM245" s="11" t="s">
        <v>96</v>
      </c>
      <c r="AN245" s="11"/>
      <c r="AO245" s="8"/>
      <c r="AP245" s="8"/>
    </row>
    <row r="246">
      <c r="A246" s="11" t="s">
        <v>36</v>
      </c>
      <c r="B246" s="9">
        <v>45450.379716435185</v>
      </c>
      <c r="C246" s="10" t="s">
        <v>666</v>
      </c>
      <c r="D246" s="11" t="s">
        <v>51</v>
      </c>
      <c r="E246" s="11" t="s">
        <v>138</v>
      </c>
      <c r="F246" s="11" t="s">
        <v>65</v>
      </c>
      <c r="G246" s="11" t="s">
        <v>54</v>
      </c>
      <c r="H246" s="8" t="s">
        <v>625</v>
      </c>
      <c r="I246" s="11">
        <v>95.0</v>
      </c>
      <c r="J246" s="11" t="s">
        <v>90</v>
      </c>
      <c r="K246" s="24" t="s">
        <v>667</v>
      </c>
      <c r="L246" s="11" t="s">
        <v>668</v>
      </c>
      <c r="M246" s="11" t="s">
        <v>71</v>
      </c>
      <c r="N246" s="11" t="s">
        <v>96</v>
      </c>
      <c r="O246" s="14"/>
      <c r="P246" s="14"/>
      <c r="Q246" s="14"/>
      <c r="R246" s="14"/>
      <c r="S246" s="14"/>
      <c r="T246" s="14"/>
      <c r="U246" s="14"/>
      <c r="V246" s="14"/>
      <c r="W246" s="14"/>
      <c r="X246" s="14"/>
      <c r="Y246" s="14"/>
      <c r="Z246" s="14"/>
      <c r="AA246" s="14"/>
      <c r="AB246" s="14"/>
      <c r="AC246" s="14"/>
      <c r="AD246" s="12"/>
      <c r="AE246" s="12"/>
      <c r="AF246" s="12"/>
      <c r="AG246" s="78">
        <v>45455.0</v>
      </c>
      <c r="AH246" s="12"/>
      <c r="AI246" s="12"/>
      <c r="AJ246" s="12"/>
      <c r="AK246" s="11" t="s">
        <v>669</v>
      </c>
      <c r="AL246" s="13" t="s">
        <v>44</v>
      </c>
      <c r="AM246" s="11" t="s">
        <v>96</v>
      </c>
      <c r="AN246" s="11"/>
      <c r="AO246" s="8"/>
      <c r="AP246" s="8"/>
    </row>
    <row r="247">
      <c r="A247" s="11" t="s">
        <v>36</v>
      </c>
      <c r="B247" s="9">
        <v>45453.62783603009</v>
      </c>
      <c r="C247" s="10" t="s">
        <v>586</v>
      </c>
      <c r="D247" s="11" t="s">
        <v>51</v>
      </c>
      <c r="E247" s="11" t="s">
        <v>52</v>
      </c>
      <c r="F247" s="11" t="s">
        <v>40</v>
      </c>
      <c r="G247" s="11" t="s">
        <v>131</v>
      </c>
      <c r="H247" s="11" t="s">
        <v>625</v>
      </c>
      <c r="I247" s="71">
        <v>600.0</v>
      </c>
      <c r="J247" s="11" t="s">
        <v>102</v>
      </c>
      <c r="K247" s="12"/>
      <c r="L247" s="11" t="s">
        <v>670</v>
      </c>
      <c r="M247" s="11" t="s">
        <v>71</v>
      </c>
      <c r="N247" s="11" t="s">
        <v>96</v>
      </c>
      <c r="O247" s="14"/>
      <c r="P247" s="14"/>
      <c r="Q247" s="14"/>
      <c r="R247" s="14"/>
      <c r="S247" s="14"/>
      <c r="T247" s="14"/>
      <c r="U247" s="14"/>
      <c r="V247" s="14"/>
      <c r="W247" s="14"/>
      <c r="X247" s="14"/>
      <c r="Y247" s="14"/>
      <c r="Z247" s="14"/>
      <c r="AA247" s="14"/>
      <c r="AB247" s="14"/>
      <c r="AC247" s="14"/>
      <c r="AD247" s="12"/>
      <c r="AE247" s="12"/>
      <c r="AF247" s="12"/>
      <c r="AG247" s="78">
        <v>45455.0</v>
      </c>
      <c r="AH247" s="12"/>
      <c r="AI247" s="12"/>
      <c r="AJ247" s="12"/>
      <c r="AK247" s="11" t="s">
        <v>45</v>
      </c>
      <c r="AL247" s="13" t="s">
        <v>44</v>
      </c>
      <c r="AM247" s="11" t="s">
        <v>96</v>
      </c>
      <c r="AN247" s="11"/>
      <c r="AO247" s="8"/>
      <c r="AP247" s="8"/>
    </row>
    <row r="248">
      <c r="A248" s="11" t="s">
        <v>36</v>
      </c>
      <c r="B248" s="9">
        <v>45454.4988693287</v>
      </c>
      <c r="C248" s="10" t="s">
        <v>183</v>
      </c>
      <c r="D248" s="11" t="s">
        <v>38</v>
      </c>
      <c r="E248" s="11" t="s">
        <v>261</v>
      </c>
      <c r="F248" s="11" t="s">
        <v>261</v>
      </c>
      <c r="G248" s="11" t="s">
        <v>41</v>
      </c>
      <c r="H248" s="83" t="s">
        <v>127</v>
      </c>
      <c r="I248" s="71">
        <v>170.0</v>
      </c>
      <c r="J248" s="11" t="s">
        <v>189</v>
      </c>
      <c r="K248" s="12"/>
      <c r="L248" s="11" t="s">
        <v>671</v>
      </c>
      <c r="M248" s="11" t="s">
        <v>71</v>
      </c>
      <c r="N248" s="11" t="s">
        <v>96</v>
      </c>
      <c r="O248" s="14"/>
      <c r="P248" s="14"/>
      <c r="Q248" s="14"/>
      <c r="R248" s="14"/>
      <c r="S248" s="14"/>
      <c r="T248" s="14"/>
      <c r="U248" s="14"/>
      <c r="V248" s="14"/>
      <c r="W248" s="14"/>
      <c r="X248" s="14"/>
      <c r="Y248" s="14"/>
      <c r="Z248" s="14"/>
      <c r="AA248" s="14"/>
      <c r="AB248" s="14"/>
      <c r="AC248" s="14"/>
      <c r="AD248" s="12"/>
      <c r="AE248" s="12"/>
      <c r="AF248" s="12"/>
      <c r="AG248" s="78">
        <v>45455.0</v>
      </c>
      <c r="AH248" s="12"/>
      <c r="AI248" s="12"/>
      <c r="AJ248" s="12"/>
      <c r="AK248" s="11" t="s">
        <v>672</v>
      </c>
      <c r="AL248" s="13" t="s">
        <v>44</v>
      </c>
      <c r="AM248" s="11" t="s">
        <v>96</v>
      </c>
      <c r="AN248" s="11"/>
      <c r="AO248" s="8"/>
      <c r="AP248" s="8"/>
    </row>
    <row r="249">
      <c r="A249" s="11" t="s">
        <v>36</v>
      </c>
      <c r="B249" s="9">
        <v>45454.525303125</v>
      </c>
      <c r="C249" s="10" t="s">
        <v>673</v>
      </c>
      <c r="D249" s="11" t="s">
        <v>142</v>
      </c>
      <c r="E249" s="11" t="s">
        <v>138</v>
      </c>
      <c r="F249" s="11" t="s">
        <v>65</v>
      </c>
      <c r="G249" s="11" t="s">
        <v>41</v>
      </c>
      <c r="H249" s="11" t="s">
        <v>625</v>
      </c>
      <c r="I249" s="122">
        <v>1696.0</v>
      </c>
      <c r="J249" s="11" t="s">
        <v>226</v>
      </c>
      <c r="K249" s="12"/>
      <c r="L249" s="24" t="s">
        <v>674</v>
      </c>
      <c r="M249" s="11" t="s">
        <v>71</v>
      </c>
      <c r="N249" s="11" t="s">
        <v>96</v>
      </c>
      <c r="O249" s="14"/>
      <c r="P249" s="14"/>
      <c r="Q249" s="14"/>
      <c r="R249" s="14"/>
      <c r="S249" s="14"/>
      <c r="T249" s="14"/>
      <c r="U249" s="14"/>
      <c r="V249" s="14"/>
      <c r="W249" s="14"/>
      <c r="X249" s="14"/>
      <c r="Y249" s="14"/>
      <c r="Z249" s="14"/>
      <c r="AA249" s="14"/>
      <c r="AB249" s="14"/>
      <c r="AC249" s="14"/>
      <c r="AD249" s="12"/>
      <c r="AE249" s="12"/>
      <c r="AF249" s="12"/>
      <c r="AG249" s="78">
        <v>45455.0</v>
      </c>
      <c r="AH249" s="12"/>
      <c r="AI249" s="12"/>
      <c r="AJ249" s="12"/>
      <c r="AK249" s="11" t="s">
        <v>45</v>
      </c>
      <c r="AL249" s="13" t="s">
        <v>44</v>
      </c>
      <c r="AM249" s="11" t="s">
        <v>96</v>
      </c>
      <c r="AN249" s="11"/>
      <c r="AO249" s="8"/>
      <c r="AP249" s="8"/>
    </row>
    <row r="250">
      <c r="A250" s="11" t="s">
        <v>36</v>
      </c>
      <c r="B250" s="9">
        <v>45454.59484052083</v>
      </c>
      <c r="C250" s="10" t="s">
        <v>675</v>
      </c>
      <c r="D250" s="11" t="s">
        <v>389</v>
      </c>
      <c r="E250" s="11" t="s">
        <v>52</v>
      </c>
      <c r="F250" s="11" t="s">
        <v>65</v>
      </c>
      <c r="G250" s="11" t="s">
        <v>54</v>
      </c>
      <c r="H250" s="11" t="s">
        <v>625</v>
      </c>
      <c r="I250" s="77">
        <v>1696.0</v>
      </c>
      <c r="J250" s="11" t="s">
        <v>226</v>
      </c>
      <c r="K250" s="11" t="s">
        <v>676</v>
      </c>
      <c r="L250" s="11" t="s">
        <v>677</v>
      </c>
      <c r="M250" s="11" t="s">
        <v>71</v>
      </c>
      <c r="N250" s="11" t="s">
        <v>96</v>
      </c>
      <c r="O250" s="14"/>
      <c r="P250" s="14"/>
      <c r="Q250" s="14"/>
      <c r="R250" s="14"/>
      <c r="S250" s="14"/>
      <c r="T250" s="14"/>
      <c r="U250" s="14"/>
      <c r="V250" s="14"/>
      <c r="W250" s="14"/>
      <c r="X250" s="14"/>
      <c r="Y250" s="14"/>
      <c r="Z250" s="14"/>
      <c r="AA250" s="14"/>
      <c r="AB250" s="14"/>
      <c r="AC250" s="14"/>
      <c r="AD250" s="12"/>
      <c r="AE250" s="12"/>
      <c r="AF250" s="12"/>
      <c r="AG250" s="78">
        <v>45455.0</v>
      </c>
      <c r="AH250" s="12"/>
      <c r="AI250" s="12"/>
      <c r="AJ250" s="12"/>
      <c r="AK250" s="11" t="s">
        <v>45</v>
      </c>
      <c r="AL250" s="13" t="s">
        <v>44</v>
      </c>
      <c r="AM250" s="11" t="s">
        <v>96</v>
      </c>
      <c r="AN250" s="11"/>
      <c r="AO250" s="8"/>
      <c r="AP250" s="8"/>
    </row>
    <row r="251">
      <c r="A251" s="124" t="s">
        <v>535</v>
      </c>
      <c r="B251" s="125">
        <v>45454.67053050926</v>
      </c>
      <c r="C251" s="126" t="s">
        <v>678</v>
      </c>
      <c r="D251" s="124" t="s">
        <v>109</v>
      </c>
      <c r="E251" s="124" t="s">
        <v>52</v>
      </c>
      <c r="F251" s="124" t="s">
        <v>65</v>
      </c>
      <c r="G251" s="124" t="s">
        <v>131</v>
      </c>
      <c r="H251" s="124" t="s">
        <v>679</v>
      </c>
      <c r="I251" s="124" t="s">
        <v>680</v>
      </c>
      <c r="J251" s="124" t="s">
        <v>90</v>
      </c>
      <c r="K251" s="132"/>
      <c r="L251" s="132"/>
      <c r="M251" s="124" t="s">
        <v>71</v>
      </c>
      <c r="N251" s="124" t="s">
        <v>96</v>
      </c>
      <c r="O251" s="133"/>
      <c r="P251" s="133"/>
      <c r="Q251" s="133"/>
      <c r="R251" s="133"/>
      <c r="S251" s="133"/>
      <c r="T251" s="133"/>
      <c r="U251" s="133"/>
      <c r="V251" s="133"/>
      <c r="W251" s="133"/>
      <c r="X251" s="133"/>
      <c r="Y251" s="133"/>
      <c r="Z251" s="133"/>
      <c r="AA251" s="133"/>
      <c r="AB251" s="133"/>
      <c r="AC251" s="133"/>
      <c r="AD251" s="132"/>
      <c r="AE251" s="132"/>
      <c r="AF251" s="132"/>
      <c r="AG251" s="132"/>
      <c r="AH251" s="132"/>
      <c r="AI251" s="132"/>
      <c r="AJ251" s="132"/>
      <c r="AK251" s="124" t="s">
        <v>681</v>
      </c>
      <c r="AL251" s="13" t="s">
        <v>44</v>
      </c>
      <c r="AM251" s="124" t="s">
        <v>96</v>
      </c>
      <c r="AN251" s="124"/>
      <c r="AO251" s="127"/>
      <c r="AP251" s="15"/>
    </row>
    <row r="252">
      <c r="A252" s="124" t="s">
        <v>177</v>
      </c>
      <c r="B252" s="125">
        <v>45455.51745101852</v>
      </c>
      <c r="C252" s="126" t="s">
        <v>219</v>
      </c>
      <c r="D252" s="124" t="s">
        <v>51</v>
      </c>
      <c r="E252" s="124" t="s">
        <v>52</v>
      </c>
      <c r="F252" s="124" t="s">
        <v>65</v>
      </c>
      <c r="G252" s="124" t="s">
        <v>54</v>
      </c>
      <c r="H252" s="124" t="s">
        <v>625</v>
      </c>
      <c r="I252" s="124" t="s">
        <v>682</v>
      </c>
      <c r="J252" s="124" t="s">
        <v>184</v>
      </c>
      <c r="K252" s="132"/>
      <c r="L252" s="124" t="s">
        <v>683</v>
      </c>
      <c r="M252" s="124" t="s">
        <v>71</v>
      </c>
      <c r="N252" s="134" t="s">
        <v>44</v>
      </c>
      <c r="O252" s="133"/>
      <c r="P252" s="133"/>
      <c r="Q252" s="133"/>
      <c r="R252" s="133"/>
      <c r="S252" s="133"/>
      <c r="T252" s="133"/>
      <c r="U252" s="133"/>
      <c r="V252" s="133"/>
      <c r="W252" s="133"/>
      <c r="X252" s="133"/>
      <c r="Y252" s="133"/>
      <c r="Z252" s="133"/>
      <c r="AA252" s="133"/>
      <c r="AB252" s="133"/>
      <c r="AC252" s="133"/>
      <c r="AD252" s="132"/>
      <c r="AE252" s="132"/>
      <c r="AF252" s="132"/>
      <c r="AG252" s="132"/>
      <c r="AH252" s="132"/>
      <c r="AI252" s="132"/>
      <c r="AJ252" s="132"/>
      <c r="AK252" s="124" t="s">
        <v>684</v>
      </c>
      <c r="AL252" s="134" t="s">
        <v>44</v>
      </c>
      <c r="AM252" s="134" t="s">
        <v>44</v>
      </c>
      <c r="AN252" s="124"/>
      <c r="AO252" s="135"/>
      <c r="AP252" s="135"/>
    </row>
    <row r="253">
      <c r="A253" s="11" t="s">
        <v>36</v>
      </c>
      <c r="B253" s="9">
        <v>45456.67383866898</v>
      </c>
      <c r="C253" s="10" t="s">
        <v>685</v>
      </c>
      <c r="D253" s="11" t="s">
        <v>686</v>
      </c>
      <c r="E253" s="11" t="s">
        <v>265</v>
      </c>
      <c r="F253" s="11" t="s">
        <v>80</v>
      </c>
      <c r="G253" s="11" t="s">
        <v>131</v>
      </c>
      <c r="H253" s="39" t="s">
        <v>127</v>
      </c>
      <c r="I253" s="71">
        <v>675.0</v>
      </c>
      <c r="J253" s="11" t="s">
        <v>86</v>
      </c>
      <c r="K253" s="12"/>
      <c r="L253" s="11" t="s">
        <v>687</v>
      </c>
      <c r="M253" s="11" t="s">
        <v>71</v>
      </c>
      <c r="N253" s="11" t="s">
        <v>96</v>
      </c>
      <c r="O253" s="14"/>
      <c r="P253" s="14"/>
      <c r="Q253" s="14"/>
      <c r="R253" s="14"/>
      <c r="S253" s="14"/>
      <c r="T253" s="14"/>
      <c r="U253" s="14"/>
      <c r="V253" s="14"/>
      <c r="W253" s="14"/>
      <c r="X253" s="14"/>
      <c r="Y253" s="14"/>
      <c r="Z253" s="14"/>
      <c r="AA253" s="14"/>
      <c r="AB253" s="14"/>
      <c r="AC253" s="14"/>
      <c r="AD253" s="12"/>
      <c r="AE253" s="12"/>
      <c r="AF253" s="12"/>
      <c r="AG253" s="78">
        <v>45461.0</v>
      </c>
      <c r="AH253" s="12"/>
      <c r="AI253" s="12"/>
      <c r="AJ253" s="12"/>
      <c r="AK253" s="11" t="s">
        <v>688</v>
      </c>
      <c r="AL253" s="13" t="s">
        <v>44</v>
      </c>
      <c r="AM253" s="11" t="s">
        <v>96</v>
      </c>
      <c r="AN253" s="11"/>
      <c r="AO253" s="8"/>
      <c r="AP253" s="8"/>
    </row>
    <row r="254">
      <c r="A254" s="75" t="s">
        <v>177</v>
      </c>
      <c r="B254" s="73">
        <v>45456.67499175926</v>
      </c>
      <c r="C254" s="74" t="s">
        <v>685</v>
      </c>
      <c r="D254" s="75" t="s">
        <v>686</v>
      </c>
      <c r="E254" s="75" t="s">
        <v>265</v>
      </c>
      <c r="F254" s="75" t="s">
        <v>80</v>
      </c>
      <c r="G254" s="75" t="s">
        <v>131</v>
      </c>
      <c r="H254" s="75" t="s">
        <v>625</v>
      </c>
      <c r="I254" s="121">
        <v>159.0</v>
      </c>
      <c r="J254" s="75" t="s">
        <v>86</v>
      </c>
      <c r="K254" s="114"/>
      <c r="L254" s="75" t="s">
        <v>689</v>
      </c>
      <c r="M254" s="75" t="s">
        <v>71</v>
      </c>
      <c r="N254" s="75" t="s">
        <v>96</v>
      </c>
      <c r="O254" s="129"/>
      <c r="P254" s="129"/>
      <c r="Q254" s="129"/>
      <c r="R254" s="129"/>
      <c r="S254" s="129"/>
      <c r="T254" s="129"/>
      <c r="U254" s="129"/>
      <c r="V254" s="129"/>
      <c r="W254" s="129"/>
      <c r="X254" s="129"/>
      <c r="Y254" s="129"/>
      <c r="Z254" s="129"/>
      <c r="AA254" s="129"/>
      <c r="AB254" s="129"/>
      <c r="AC254" s="129"/>
      <c r="AD254" s="114"/>
      <c r="AE254" s="114"/>
      <c r="AF254" s="114"/>
      <c r="AG254" s="130">
        <v>45461.0</v>
      </c>
      <c r="AH254" s="114"/>
      <c r="AI254" s="114"/>
      <c r="AJ254" s="114"/>
      <c r="AK254" s="75" t="s">
        <v>690</v>
      </c>
      <c r="AL254" s="131" t="s">
        <v>44</v>
      </c>
      <c r="AM254" s="75" t="s">
        <v>96</v>
      </c>
      <c r="AN254" s="75"/>
      <c r="AO254" s="72"/>
      <c r="AP254" s="72"/>
    </row>
    <row r="255">
      <c r="A255" s="11" t="s">
        <v>36</v>
      </c>
      <c r="B255" s="9">
        <v>45460.34260192129</v>
      </c>
      <c r="C255" s="10" t="s">
        <v>624</v>
      </c>
      <c r="D255" s="11" t="s">
        <v>51</v>
      </c>
      <c r="E255" s="11" t="s">
        <v>52</v>
      </c>
      <c r="F255" s="11" t="s">
        <v>65</v>
      </c>
      <c r="G255" s="11" t="s">
        <v>54</v>
      </c>
      <c r="H255" s="11" t="s">
        <v>607</v>
      </c>
      <c r="I255" s="77">
        <v>295.0</v>
      </c>
      <c r="J255" s="11" t="s">
        <v>626</v>
      </c>
      <c r="K255" s="12"/>
      <c r="L255" s="11" t="s">
        <v>691</v>
      </c>
      <c r="M255" s="11" t="s">
        <v>71</v>
      </c>
      <c r="N255" s="11" t="s">
        <v>68</v>
      </c>
      <c r="O255" s="14"/>
      <c r="P255" s="14"/>
      <c r="Q255" s="14"/>
      <c r="R255" s="14"/>
      <c r="S255" s="14"/>
      <c r="T255" s="14"/>
      <c r="U255" s="14"/>
      <c r="V255" s="14"/>
      <c r="W255" s="14"/>
      <c r="X255" s="14"/>
      <c r="Y255" s="14"/>
      <c r="Z255" s="14"/>
      <c r="AA255" s="14"/>
      <c r="AB255" s="14"/>
      <c r="AC255" s="14"/>
      <c r="AD255" s="12"/>
      <c r="AE255" s="12"/>
      <c r="AF255" s="12"/>
      <c r="AG255" s="78">
        <v>45461.0</v>
      </c>
      <c r="AH255" s="12"/>
      <c r="AI255" s="12"/>
      <c r="AJ255" s="12"/>
      <c r="AK255" s="11" t="s">
        <v>688</v>
      </c>
      <c r="AL255" s="27" t="s">
        <v>70</v>
      </c>
      <c r="AM255" s="11" t="s">
        <v>68</v>
      </c>
      <c r="AN255" s="11"/>
      <c r="AO255" s="8"/>
      <c r="AP255" s="8"/>
    </row>
    <row r="256">
      <c r="A256" s="11" t="s">
        <v>36</v>
      </c>
      <c r="B256" s="9">
        <v>45460.41523777778</v>
      </c>
      <c r="C256" s="10" t="s">
        <v>123</v>
      </c>
      <c r="D256" s="11" t="s">
        <v>124</v>
      </c>
      <c r="E256" s="11" t="s">
        <v>52</v>
      </c>
      <c r="F256" s="11" t="s">
        <v>65</v>
      </c>
      <c r="G256" s="11" t="s">
        <v>54</v>
      </c>
      <c r="H256" s="11" t="s">
        <v>625</v>
      </c>
      <c r="I256" s="71">
        <v>2970.0</v>
      </c>
      <c r="J256" s="11" t="s">
        <v>194</v>
      </c>
      <c r="K256" s="28" t="s">
        <v>692</v>
      </c>
      <c r="L256" s="11" t="s">
        <v>693</v>
      </c>
      <c r="M256" s="11" t="s">
        <v>71</v>
      </c>
      <c r="N256" s="11" t="s">
        <v>68</v>
      </c>
      <c r="O256" s="14"/>
      <c r="P256" s="14"/>
      <c r="Q256" s="14"/>
      <c r="R256" s="14"/>
      <c r="S256" s="14"/>
      <c r="T256" s="14"/>
      <c r="U256" s="14"/>
      <c r="V256" s="14"/>
      <c r="W256" s="14"/>
      <c r="X256" s="14"/>
      <c r="Y256" s="14"/>
      <c r="Z256" s="14"/>
      <c r="AA256" s="14"/>
      <c r="AB256" s="14"/>
      <c r="AC256" s="14"/>
      <c r="AD256" s="12"/>
      <c r="AE256" s="12"/>
      <c r="AF256" s="12"/>
      <c r="AG256" s="78">
        <v>45461.0</v>
      </c>
      <c r="AH256" s="12"/>
      <c r="AI256" s="12"/>
      <c r="AJ256" s="12"/>
      <c r="AK256" s="11" t="s">
        <v>688</v>
      </c>
      <c r="AL256" s="27" t="s">
        <v>70</v>
      </c>
      <c r="AM256" s="11" t="s">
        <v>68</v>
      </c>
      <c r="AN256" s="11"/>
      <c r="AO256" s="8"/>
      <c r="AP256" s="8"/>
    </row>
    <row r="257">
      <c r="A257" s="136" t="s">
        <v>36</v>
      </c>
      <c r="B257" s="9">
        <v>45460.5789299537</v>
      </c>
      <c r="C257" s="10" t="s">
        <v>694</v>
      </c>
      <c r="D257" s="11" t="s">
        <v>51</v>
      </c>
      <c r="E257" s="11" t="s">
        <v>52</v>
      </c>
      <c r="F257" s="11" t="s">
        <v>65</v>
      </c>
      <c r="G257" s="11" t="s">
        <v>54</v>
      </c>
      <c r="H257" s="11" t="s">
        <v>625</v>
      </c>
      <c r="I257" s="24" t="s">
        <v>695</v>
      </c>
      <c r="J257" s="11" t="s">
        <v>48</v>
      </c>
      <c r="K257" s="12"/>
      <c r="L257" s="24" t="s">
        <v>696</v>
      </c>
      <c r="M257" s="11" t="s">
        <v>71</v>
      </c>
      <c r="N257" s="11" t="s">
        <v>96</v>
      </c>
      <c r="O257" s="14"/>
      <c r="P257" s="14"/>
      <c r="Q257" s="14"/>
      <c r="R257" s="14"/>
      <c r="S257" s="14"/>
      <c r="T257" s="14"/>
      <c r="U257" s="14"/>
      <c r="V257" s="14"/>
      <c r="W257" s="14"/>
      <c r="X257" s="14"/>
      <c r="Y257" s="14"/>
      <c r="Z257" s="14"/>
      <c r="AA257" s="14"/>
      <c r="AB257" s="14"/>
      <c r="AC257" s="14"/>
      <c r="AD257" s="12"/>
      <c r="AE257" s="12"/>
      <c r="AF257" s="12"/>
      <c r="AG257" s="78">
        <v>45461.0</v>
      </c>
      <c r="AH257" s="12"/>
      <c r="AI257" s="12"/>
      <c r="AJ257" s="12"/>
      <c r="AK257" s="11" t="s">
        <v>688</v>
      </c>
      <c r="AL257" s="13" t="s">
        <v>44</v>
      </c>
      <c r="AM257" s="11" t="s">
        <v>96</v>
      </c>
      <c r="AN257" s="11"/>
      <c r="AO257" s="8"/>
      <c r="AP257" s="8"/>
    </row>
    <row r="258">
      <c r="A258" s="11" t="s">
        <v>36</v>
      </c>
      <c r="B258" s="9">
        <v>45467.470151180554</v>
      </c>
      <c r="C258" s="10" t="s">
        <v>697</v>
      </c>
      <c r="D258" s="11" t="s">
        <v>334</v>
      </c>
      <c r="E258" s="11" t="s">
        <v>138</v>
      </c>
      <c r="F258" s="11" t="s">
        <v>65</v>
      </c>
      <c r="G258" s="11" t="s">
        <v>54</v>
      </c>
      <c r="H258" s="11" t="s">
        <v>625</v>
      </c>
      <c r="I258" s="71">
        <v>779.0</v>
      </c>
      <c r="J258" s="11" t="s">
        <v>418</v>
      </c>
      <c r="K258" s="12"/>
      <c r="L258" s="24" t="s">
        <v>698</v>
      </c>
      <c r="M258" s="11" t="s">
        <v>71</v>
      </c>
      <c r="N258" s="11" t="s">
        <v>96</v>
      </c>
      <c r="O258" s="14"/>
      <c r="P258" s="14"/>
      <c r="Q258" s="14"/>
      <c r="R258" s="14"/>
      <c r="S258" s="14"/>
      <c r="T258" s="14"/>
      <c r="U258" s="14"/>
      <c r="V258" s="14"/>
      <c r="W258" s="14"/>
      <c r="X258" s="14"/>
      <c r="Y258" s="14"/>
      <c r="Z258" s="14"/>
      <c r="AA258" s="14"/>
      <c r="AB258" s="14"/>
      <c r="AC258" s="14"/>
      <c r="AD258" s="12"/>
      <c r="AE258" s="12"/>
      <c r="AF258" s="12"/>
      <c r="AG258" s="78">
        <v>45468.0</v>
      </c>
      <c r="AH258" s="12"/>
      <c r="AI258" s="12"/>
      <c r="AJ258" s="12"/>
      <c r="AK258" s="11" t="s">
        <v>688</v>
      </c>
      <c r="AL258" s="13" t="s">
        <v>44</v>
      </c>
      <c r="AM258" s="11" t="s">
        <v>96</v>
      </c>
      <c r="AN258" s="11"/>
      <c r="AO258" s="8"/>
      <c r="AP258" s="8"/>
    </row>
    <row r="259">
      <c r="A259" s="11" t="s">
        <v>36</v>
      </c>
      <c r="B259" s="9">
        <v>45467.73717284722</v>
      </c>
      <c r="C259" s="10" t="s">
        <v>699</v>
      </c>
      <c r="D259" s="11" t="s">
        <v>109</v>
      </c>
      <c r="E259" s="11" t="s">
        <v>138</v>
      </c>
      <c r="F259" s="11" t="s">
        <v>65</v>
      </c>
      <c r="G259" s="11" t="s">
        <v>131</v>
      </c>
      <c r="H259" s="11" t="s">
        <v>625</v>
      </c>
      <c r="I259" s="71">
        <v>779.0</v>
      </c>
      <c r="J259" s="11" t="s">
        <v>700</v>
      </c>
      <c r="K259" s="28" t="s">
        <v>701</v>
      </c>
      <c r="L259" s="11" t="s">
        <v>702</v>
      </c>
      <c r="M259" s="11" t="s">
        <v>71</v>
      </c>
      <c r="N259" s="11" t="s">
        <v>96</v>
      </c>
      <c r="O259" s="14"/>
      <c r="P259" s="14"/>
      <c r="Q259" s="14"/>
      <c r="R259" s="14"/>
      <c r="S259" s="14"/>
      <c r="T259" s="14"/>
      <c r="U259" s="14"/>
      <c r="V259" s="14"/>
      <c r="W259" s="14"/>
      <c r="X259" s="14"/>
      <c r="Y259" s="14"/>
      <c r="Z259" s="14"/>
      <c r="AA259" s="14"/>
      <c r="AB259" s="14"/>
      <c r="AC259" s="14"/>
      <c r="AD259" s="12"/>
      <c r="AE259" s="12"/>
      <c r="AF259" s="12"/>
      <c r="AG259" s="78">
        <v>45468.0</v>
      </c>
      <c r="AH259" s="12"/>
      <c r="AI259" s="12"/>
      <c r="AJ259" s="12"/>
      <c r="AK259" s="11" t="s">
        <v>688</v>
      </c>
      <c r="AL259" s="13" t="s">
        <v>44</v>
      </c>
      <c r="AM259" s="11" t="s">
        <v>96</v>
      </c>
      <c r="AN259" s="11"/>
      <c r="AO259" s="8"/>
      <c r="AP259" s="8"/>
    </row>
    <row r="260">
      <c r="A260" s="11" t="s">
        <v>36</v>
      </c>
      <c r="B260" s="9">
        <v>45468.40930796297</v>
      </c>
      <c r="C260" s="10" t="s">
        <v>703</v>
      </c>
      <c r="D260" s="11" t="s">
        <v>704</v>
      </c>
      <c r="E260" s="11" t="s">
        <v>138</v>
      </c>
      <c r="F260" s="11" t="s">
        <v>65</v>
      </c>
      <c r="G260" s="11" t="s">
        <v>54</v>
      </c>
      <c r="H260" s="11" t="s">
        <v>625</v>
      </c>
      <c r="I260" s="77">
        <v>779.0</v>
      </c>
      <c r="J260" s="11" t="s">
        <v>418</v>
      </c>
      <c r="K260" s="12"/>
      <c r="L260" s="11" t="s">
        <v>705</v>
      </c>
      <c r="M260" s="11" t="s">
        <v>71</v>
      </c>
      <c r="N260" s="11" t="s">
        <v>96</v>
      </c>
      <c r="O260" s="14"/>
      <c r="P260" s="14"/>
      <c r="Q260" s="14"/>
      <c r="R260" s="14"/>
      <c r="S260" s="14"/>
      <c r="T260" s="14"/>
      <c r="U260" s="14"/>
      <c r="V260" s="14"/>
      <c r="W260" s="14"/>
      <c r="X260" s="14"/>
      <c r="Y260" s="14"/>
      <c r="Z260" s="14"/>
      <c r="AA260" s="14"/>
      <c r="AB260" s="14"/>
      <c r="AC260" s="14"/>
      <c r="AD260" s="12"/>
      <c r="AE260" s="12"/>
      <c r="AF260" s="12"/>
      <c r="AG260" s="78">
        <v>45469.0</v>
      </c>
      <c r="AH260" s="12"/>
      <c r="AI260" s="12"/>
      <c r="AJ260" s="12"/>
      <c r="AK260" s="11" t="s">
        <v>45</v>
      </c>
      <c r="AL260" s="13" t="s">
        <v>44</v>
      </c>
      <c r="AM260" s="11" t="s">
        <v>96</v>
      </c>
      <c r="AN260" s="11"/>
      <c r="AO260" s="8"/>
      <c r="AP260" s="8"/>
    </row>
    <row r="261">
      <c r="A261" s="11" t="s">
        <v>36</v>
      </c>
      <c r="B261" s="9">
        <v>45468.44583557871</v>
      </c>
      <c r="C261" s="10" t="s">
        <v>706</v>
      </c>
      <c r="D261" s="11" t="s">
        <v>109</v>
      </c>
      <c r="E261" s="11" t="s">
        <v>52</v>
      </c>
      <c r="F261" s="11" t="s">
        <v>65</v>
      </c>
      <c r="G261" s="11" t="s">
        <v>41</v>
      </c>
      <c r="H261" s="11" t="s">
        <v>625</v>
      </c>
      <c r="I261" s="11">
        <v>779.0</v>
      </c>
      <c r="J261" s="11" t="s">
        <v>86</v>
      </c>
      <c r="K261" s="12"/>
      <c r="L261" s="24" t="s">
        <v>698</v>
      </c>
      <c r="M261" s="11" t="s">
        <v>71</v>
      </c>
      <c r="N261" s="11" t="s">
        <v>96</v>
      </c>
      <c r="O261" s="14"/>
      <c r="P261" s="14"/>
      <c r="Q261" s="14"/>
      <c r="R261" s="14"/>
      <c r="S261" s="14"/>
      <c r="T261" s="14"/>
      <c r="U261" s="14"/>
      <c r="V261" s="14"/>
      <c r="W261" s="14"/>
      <c r="X261" s="14"/>
      <c r="Y261" s="14"/>
      <c r="Z261" s="14"/>
      <c r="AA261" s="14"/>
      <c r="AB261" s="14"/>
      <c r="AC261" s="14"/>
      <c r="AD261" s="12"/>
      <c r="AE261" s="12"/>
      <c r="AF261" s="12"/>
      <c r="AG261" s="78">
        <v>45469.0</v>
      </c>
      <c r="AH261" s="12"/>
      <c r="AI261" s="12"/>
      <c r="AJ261" s="12"/>
      <c r="AK261" s="11" t="s">
        <v>45</v>
      </c>
      <c r="AL261" s="13" t="s">
        <v>44</v>
      </c>
      <c r="AM261" s="11" t="s">
        <v>96</v>
      </c>
      <c r="AN261" s="11"/>
      <c r="AO261" s="8"/>
      <c r="AP261" s="8"/>
    </row>
    <row r="262">
      <c r="A262" s="11" t="s">
        <v>36</v>
      </c>
      <c r="B262" s="9">
        <v>45469.32474761574</v>
      </c>
      <c r="C262" s="10" t="s">
        <v>707</v>
      </c>
      <c r="D262" s="11" t="s">
        <v>51</v>
      </c>
      <c r="E262" s="11" t="s">
        <v>52</v>
      </c>
      <c r="F262" s="11" t="s">
        <v>65</v>
      </c>
      <c r="G262" s="11" t="s">
        <v>54</v>
      </c>
      <c r="H262" s="11" t="s">
        <v>625</v>
      </c>
      <c r="I262" s="11">
        <v>820.0</v>
      </c>
      <c r="J262" s="11" t="s">
        <v>538</v>
      </c>
      <c r="K262" s="28" t="s">
        <v>708</v>
      </c>
      <c r="L262" s="24" t="s">
        <v>709</v>
      </c>
      <c r="M262" s="11" t="s">
        <v>71</v>
      </c>
      <c r="N262" s="11" t="s">
        <v>96</v>
      </c>
      <c r="O262" s="14"/>
      <c r="P262" s="14"/>
      <c r="Q262" s="14"/>
      <c r="R262" s="14"/>
      <c r="S262" s="14"/>
      <c r="T262" s="14"/>
      <c r="U262" s="14"/>
      <c r="V262" s="14"/>
      <c r="W262" s="14"/>
      <c r="X262" s="14"/>
      <c r="Y262" s="14"/>
      <c r="Z262" s="14"/>
      <c r="AA262" s="14"/>
      <c r="AB262" s="14"/>
      <c r="AC262" s="14"/>
      <c r="AD262" s="12"/>
      <c r="AE262" s="12"/>
      <c r="AF262" s="12"/>
      <c r="AG262" s="78">
        <v>45469.0</v>
      </c>
      <c r="AH262" s="12"/>
      <c r="AI262" s="12"/>
      <c r="AJ262" s="12"/>
      <c r="AK262" s="11" t="s">
        <v>45</v>
      </c>
      <c r="AL262" s="13" t="s">
        <v>44</v>
      </c>
      <c r="AM262" s="11" t="s">
        <v>96</v>
      </c>
      <c r="AN262" s="11"/>
      <c r="AO262" s="8"/>
      <c r="AP262" s="8"/>
    </row>
    <row r="263">
      <c r="A263" s="75" t="s">
        <v>177</v>
      </c>
      <c r="B263" s="73">
        <v>45469.48188572917</v>
      </c>
      <c r="C263" s="74" t="s">
        <v>710</v>
      </c>
      <c r="D263" s="75" t="s">
        <v>51</v>
      </c>
      <c r="E263" s="75" t="s">
        <v>52</v>
      </c>
      <c r="F263" s="75" t="s">
        <v>65</v>
      </c>
      <c r="G263" s="75" t="s">
        <v>54</v>
      </c>
      <c r="H263" s="75" t="s">
        <v>625</v>
      </c>
      <c r="I263" s="137">
        <v>779.0</v>
      </c>
      <c r="J263" s="75" t="s">
        <v>86</v>
      </c>
      <c r="K263" s="114"/>
      <c r="L263" s="75" t="s">
        <v>711</v>
      </c>
      <c r="M263" s="75" t="s">
        <v>71</v>
      </c>
      <c r="N263" s="13" t="s">
        <v>44</v>
      </c>
      <c r="O263" s="14"/>
      <c r="P263" s="14"/>
      <c r="Q263" s="14"/>
      <c r="R263" s="14"/>
      <c r="S263" s="14"/>
      <c r="T263" s="14"/>
      <c r="U263" s="14"/>
      <c r="V263" s="14"/>
      <c r="W263" s="14"/>
      <c r="X263" s="14"/>
      <c r="Y263" s="14"/>
      <c r="Z263" s="14"/>
      <c r="AA263" s="14"/>
      <c r="AB263" s="14"/>
      <c r="AC263" s="14"/>
      <c r="AD263" s="12"/>
      <c r="AE263" s="12"/>
      <c r="AF263" s="12"/>
      <c r="AG263" s="12"/>
      <c r="AH263" s="12"/>
      <c r="AI263" s="12"/>
      <c r="AJ263" s="12"/>
      <c r="AK263" s="11" t="s">
        <v>45</v>
      </c>
      <c r="AL263" s="13" t="s">
        <v>44</v>
      </c>
      <c r="AM263" s="13" t="s">
        <v>44</v>
      </c>
      <c r="AN263" s="75"/>
      <c r="AO263" s="15"/>
      <c r="AP263" s="15"/>
    </row>
    <row r="264">
      <c r="A264" s="11" t="s">
        <v>36</v>
      </c>
      <c r="B264" s="9">
        <v>45469.493761018515</v>
      </c>
      <c r="C264" s="10" t="s">
        <v>710</v>
      </c>
      <c r="D264" s="11" t="s">
        <v>51</v>
      </c>
      <c r="E264" s="11" t="s">
        <v>52</v>
      </c>
      <c r="F264" s="11" t="s">
        <v>65</v>
      </c>
      <c r="G264" s="11" t="s">
        <v>54</v>
      </c>
      <c r="H264" s="8" t="s">
        <v>625</v>
      </c>
      <c r="I264" s="71">
        <v>779.0</v>
      </c>
      <c r="J264" s="11" t="s">
        <v>86</v>
      </c>
      <c r="K264" s="12"/>
      <c r="L264" s="24" t="s">
        <v>712</v>
      </c>
      <c r="M264" s="11" t="s">
        <v>71</v>
      </c>
      <c r="N264" s="11" t="s">
        <v>96</v>
      </c>
      <c r="O264" s="14"/>
      <c r="P264" s="14"/>
      <c r="Q264" s="14"/>
      <c r="R264" s="14"/>
      <c r="S264" s="14"/>
      <c r="T264" s="14"/>
      <c r="U264" s="14"/>
      <c r="V264" s="14"/>
      <c r="W264" s="14"/>
      <c r="X264" s="14"/>
      <c r="Y264" s="14"/>
      <c r="Z264" s="14"/>
      <c r="AA264" s="14"/>
      <c r="AB264" s="14"/>
      <c r="AC264" s="14"/>
      <c r="AD264" s="12"/>
      <c r="AE264" s="12"/>
      <c r="AF264" s="12"/>
      <c r="AG264" s="78">
        <v>45470.0</v>
      </c>
      <c r="AH264" s="12"/>
      <c r="AI264" s="12"/>
      <c r="AJ264" s="12"/>
      <c r="AK264" s="11" t="s">
        <v>45</v>
      </c>
      <c r="AL264" s="13" t="s">
        <v>44</v>
      </c>
      <c r="AM264" s="11" t="s">
        <v>96</v>
      </c>
      <c r="AN264" s="11"/>
      <c r="AO264" s="8"/>
      <c r="AP264" s="8"/>
    </row>
    <row r="265">
      <c r="A265" s="11" t="s">
        <v>36</v>
      </c>
      <c r="B265" s="9">
        <v>45469.68187591435</v>
      </c>
      <c r="C265" s="10" t="s">
        <v>272</v>
      </c>
      <c r="D265" s="11" t="s">
        <v>51</v>
      </c>
      <c r="E265" s="11" t="s">
        <v>52</v>
      </c>
      <c r="F265" s="11" t="s">
        <v>65</v>
      </c>
      <c r="G265" s="11" t="s">
        <v>131</v>
      </c>
      <c r="H265" s="11" t="s">
        <v>61</v>
      </c>
      <c r="I265" s="71">
        <v>135.0</v>
      </c>
      <c r="J265" s="11" t="s">
        <v>189</v>
      </c>
      <c r="K265" s="24" t="s">
        <v>713</v>
      </c>
      <c r="L265" s="11" t="s">
        <v>714</v>
      </c>
      <c r="M265" s="11" t="s">
        <v>71</v>
      </c>
      <c r="N265" s="11" t="s">
        <v>68</v>
      </c>
      <c r="O265" s="14"/>
      <c r="P265" s="14"/>
      <c r="Q265" s="14"/>
      <c r="R265" s="14"/>
      <c r="S265" s="14"/>
      <c r="T265" s="14"/>
      <c r="U265" s="14"/>
      <c r="V265" s="14"/>
      <c r="W265" s="14"/>
      <c r="X265" s="14"/>
      <c r="Y265" s="14"/>
      <c r="Z265" s="14"/>
      <c r="AA265" s="14"/>
      <c r="AB265" s="14"/>
      <c r="AC265" s="14"/>
      <c r="AD265" s="12"/>
      <c r="AE265" s="12"/>
      <c r="AF265" s="12"/>
      <c r="AG265" s="78">
        <v>45470.0</v>
      </c>
      <c r="AH265" s="12"/>
      <c r="AI265" s="12"/>
      <c r="AJ265" s="12"/>
      <c r="AK265" s="11" t="s">
        <v>45</v>
      </c>
      <c r="AL265" s="27" t="s">
        <v>70</v>
      </c>
      <c r="AM265" s="11" t="s">
        <v>68</v>
      </c>
      <c r="AN265" s="11"/>
      <c r="AO265" s="8"/>
      <c r="AP265" s="8"/>
    </row>
    <row r="266">
      <c r="A266" s="11" t="s">
        <v>36</v>
      </c>
      <c r="B266" s="9">
        <v>45469.91695944444</v>
      </c>
      <c r="C266" s="10" t="s">
        <v>715</v>
      </c>
      <c r="D266" s="11" t="s">
        <v>51</v>
      </c>
      <c r="E266" s="11" t="s">
        <v>52</v>
      </c>
      <c r="F266" s="11" t="s">
        <v>40</v>
      </c>
      <c r="G266" s="11" t="s">
        <v>54</v>
      </c>
      <c r="H266" s="11" t="s">
        <v>607</v>
      </c>
      <c r="I266" s="77">
        <v>221.25</v>
      </c>
      <c r="J266" s="11" t="s">
        <v>100</v>
      </c>
      <c r="K266" s="24" t="s">
        <v>716</v>
      </c>
      <c r="L266" s="11" t="s">
        <v>717</v>
      </c>
      <c r="M266" s="11" t="s">
        <v>71</v>
      </c>
      <c r="N266" s="11" t="s">
        <v>96</v>
      </c>
      <c r="O266" s="14"/>
      <c r="P266" s="14"/>
      <c r="Q266" s="14"/>
      <c r="R266" s="14"/>
      <c r="S266" s="14"/>
      <c r="T266" s="14"/>
      <c r="U266" s="14"/>
      <c r="V266" s="14"/>
      <c r="W266" s="14"/>
      <c r="X266" s="14"/>
      <c r="Y266" s="14"/>
      <c r="Z266" s="14"/>
      <c r="AA266" s="14"/>
      <c r="AB266" s="14"/>
      <c r="AC266" s="14"/>
      <c r="AD266" s="12"/>
      <c r="AE266" s="12"/>
      <c r="AF266" s="12"/>
      <c r="AG266" s="78">
        <v>45470.0</v>
      </c>
      <c r="AH266" s="12"/>
      <c r="AI266" s="12"/>
      <c r="AJ266" s="12"/>
      <c r="AK266" s="11" t="s">
        <v>45</v>
      </c>
      <c r="AL266" s="13" t="s">
        <v>44</v>
      </c>
      <c r="AM266" s="11" t="s">
        <v>96</v>
      </c>
      <c r="AN266" s="11"/>
      <c r="AO266" s="8"/>
      <c r="AP266" s="8"/>
    </row>
    <row r="267">
      <c r="A267" s="11" t="s">
        <v>36</v>
      </c>
      <c r="B267" s="9">
        <v>45470.36032765046</v>
      </c>
      <c r="C267" s="10" t="s">
        <v>183</v>
      </c>
      <c r="D267" s="11" t="s">
        <v>38</v>
      </c>
      <c r="E267" s="11" t="s">
        <v>40</v>
      </c>
      <c r="F267" s="11" t="s">
        <v>40</v>
      </c>
      <c r="G267" s="11" t="s">
        <v>41</v>
      </c>
      <c r="H267" s="11" t="s">
        <v>625</v>
      </c>
      <c r="I267" s="71">
        <v>300.0</v>
      </c>
      <c r="J267" s="11" t="s">
        <v>189</v>
      </c>
      <c r="K267" s="24" t="s">
        <v>718</v>
      </c>
      <c r="L267" s="11" t="s">
        <v>719</v>
      </c>
      <c r="M267" s="11" t="s">
        <v>71</v>
      </c>
      <c r="N267" s="11" t="s">
        <v>96</v>
      </c>
      <c r="O267" s="14"/>
      <c r="P267" s="14"/>
      <c r="Q267" s="14"/>
      <c r="R267" s="14"/>
      <c r="S267" s="14"/>
      <c r="T267" s="14"/>
      <c r="U267" s="14"/>
      <c r="V267" s="14"/>
      <c r="W267" s="14"/>
      <c r="X267" s="14"/>
      <c r="Y267" s="14"/>
      <c r="Z267" s="14"/>
      <c r="AA267" s="14"/>
      <c r="AB267" s="14"/>
      <c r="AC267" s="14"/>
      <c r="AD267" s="12"/>
      <c r="AE267" s="12"/>
      <c r="AF267" s="12"/>
      <c r="AG267" s="78">
        <v>45470.0</v>
      </c>
      <c r="AH267" s="12"/>
      <c r="AI267" s="12"/>
      <c r="AJ267" s="12"/>
      <c r="AK267" s="11" t="s">
        <v>45</v>
      </c>
      <c r="AL267" s="13" t="s">
        <v>44</v>
      </c>
      <c r="AM267" s="11" t="s">
        <v>96</v>
      </c>
      <c r="AN267" s="11"/>
      <c r="AO267" s="8"/>
      <c r="AP267" s="8"/>
    </row>
    <row r="268">
      <c r="A268" s="11" t="s">
        <v>36</v>
      </c>
      <c r="B268" s="9">
        <v>45470.388130266205</v>
      </c>
      <c r="C268" s="10" t="s">
        <v>720</v>
      </c>
      <c r="D268" s="11" t="s">
        <v>51</v>
      </c>
      <c r="E268" s="11" t="s">
        <v>52</v>
      </c>
      <c r="F268" s="11" t="s">
        <v>261</v>
      </c>
      <c r="G268" s="11" t="s">
        <v>131</v>
      </c>
      <c r="H268" s="11" t="s">
        <v>607</v>
      </c>
      <c r="I268" s="71">
        <v>155.0</v>
      </c>
      <c r="J268" s="11" t="s">
        <v>514</v>
      </c>
      <c r="K268" s="12"/>
      <c r="L268" s="11" t="s">
        <v>721</v>
      </c>
      <c r="M268" s="11" t="s">
        <v>71</v>
      </c>
      <c r="N268" s="11" t="s">
        <v>96</v>
      </c>
      <c r="O268" s="14"/>
      <c r="P268" s="14"/>
      <c r="Q268" s="14"/>
      <c r="R268" s="14"/>
      <c r="S268" s="14"/>
      <c r="T268" s="14"/>
      <c r="U268" s="14"/>
      <c r="V268" s="14"/>
      <c r="W268" s="14"/>
      <c r="X268" s="14"/>
      <c r="Y268" s="14"/>
      <c r="Z268" s="14"/>
      <c r="AA268" s="14"/>
      <c r="AB268" s="14"/>
      <c r="AC268" s="14"/>
      <c r="AD268" s="12"/>
      <c r="AE268" s="12"/>
      <c r="AF268" s="12"/>
      <c r="AG268" s="78">
        <v>45470.0</v>
      </c>
      <c r="AH268" s="12"/>
      <c r="AI268" s="12"/>
      <c r="AJ268" s="12"/>
      <c r="AK268" s="11" t="s">
        <v>45</v>
      </c>
      <c r="AL268" s="13" t="s">
        <v>44</v>
      </c>
      <c r="AM268" s="11" t="s">
        <v>96</v>
      </c>
      <c r="AN268" s="11"/>
      <c r="AO268" s="8"/>
      <c r="AP268" s="8"/>
    </row>
    <row r="269">
      <c r="A269" s="11" t="s">
        <v>36</v>
      </c>
      <c r="B269" s="9">
        <v>45470.69474760417</v>
      </c>
      <c r="C269" s="10" t="s">
        <v>427</v>
      </c>
      <c r="D269" s="11" t="s">
        <v>51</v>
      </c>
      <c r="E269" s="11" t="s">
        <v>52</v>
      </c>
      <c r="F269" s="11" t="s">
        <v>65</v>
      </c>
      <c r="G269" s="11" t="s">
        <v>131</v>
      </c>
      <c r="H269" s="11" t="s">
        <v>607</v>
      </c>
      <c r="I269" s="11">
        <v>240.0</v>
      </c>
      <c r="J269" s="11" t="s">
        <v>184</v>
      </c>
      <c r="K269" s="24" t="s">
        <v>722</v>
      </c>
      <c r="L269" s="11" t="s">
        <v>723</v>
      </c>
      <c r="M269" s="11" t="s">
        <v>71</v>
      </c>
      <c r="N269" s="11" t="s">
        <v>96</v>
      </c>
      <c r="O269" s="14"/>
      <c r="P269" s="14"/>
      <c r="Q269" s="14"/>
      <c r="R269" s="14"/>
      <c r="S269" s="14"/>
      <c r="T269" s="14"/>
      <c r="U269" s="14"/>
      <c r="V269" s="14"/>
      <c r="W269" s="14"/>
      <c r="X269" s="14"/>
      <c r="Y269" s="14"/>
      <c r="Z269" s="14"/>
      <c r="AA269" s="14"/>
      <c r="AB269" s="14"/>
      <c r="AC269" s="14"/>
      <c r="AD269" s="12"/>
      <c r="AE269" s="12"/>
      <c r="AF269" s="12"/>
      <c r="AG269" s="78">
        <v>45474.0</v>
      </c>
      <c r="AH269" s="12"/>
      <c r="AI269" s="12"/>
      <c r="AJ269" s="12"/>
      <c r="AK269" s="11" t="s">
        <v>724</v>
      </c>
      <c r="AL269" s="13" t="s">
        <v>44</v>
      </c>
      <c r="AM269" s="11" t="s">
        <v>96</v>
      </c>
      <c r="AN269" s="11"/>
      <c r="AO269" s="8"/>
      <c r="AP269" s="8"/>
    </row>
    <row r="270">
      <c r="A270" s="11" t="s">
        <v>36</v>
      </c>
      <c r="B270" s="9">
        <v>45470.80593003472</v>
      </c>
      <c r="C270" s="10" t="s">
        <v>725</v>
      </c>
      <c r="D270" s="11" t="s">
        <v>109</v>
      </c>
      <c r="E270" s="11" t="s">
        <v>52</v>
      </c>
      <c r="F270" s="11" t="s">
        <v>65</v>
      </c>
      <c r="G270" s="11" t="s">
        <v>54</v>
      </c>
      <c r="H270" s="11" t="s">
        <v>625</v>
      </c>
      <c r="I270" s="113">
        <v>5000.0</v>
      </c>
      <c r="J270" s="11" t="s">
        <v>229</v>
      </c>
      <c r="K270" s="24" t="s">
        <v>726</v>
      </c>
      <c r="L270" s="11" t="s">
        <v>727</v>
      </c>
      <c r="M270" s="11" t="s">
        <v>71</v>
      </c>
      <c r="N270" s="11" t="s">
        <v>96</v>
      </c>
      <c r="O270" s="14"/>
      <c r="P270" s="14"/>
      <c r="Q270" s="14"/>
      <c r="R270" s="14"/>
      <c r="S270" s="14"/>
      <c r="T270" s="14"/>
      <c r="U270" s="14"/>
      <c r="V270" s="14"/>
      <c r="W270" s="14"/>
      <c r="X270" s="14"/>
      <c r="Y270" s="14"/>
      <c r="Z270" s="14"/>
      <c r="AA270" s="14"/>
      <c r="AB270" s="14"/>
      <c r="AC270" s="14"/>
      <c r="AD270" s="12"/>
      <c r="AE270" s="12"/>
      <c r="AF270" s="12"/>
      <c r="AG270" s="78">
        <v>45474.0</v>
      </c>
      <c r="AH270" s="12"/>
      <c r="AI270" s="12"/>
      <c r="AJ270" s="12"/>
      <c r="AK270" s="11" t="s">
        <v>724</v>
      </c>
      <c r="AL270" s="13" t="s">
        <v>44</v>
      </c>
      <c r="AM270" s="11" t="s">
        <v>96</v>
      </c>
      <c r="AN270" s="11"/>
      <c r="AO270" s="8"/>
      <c r="AP270" s="8"/>
    </row>
    <row r="271">
      <c r="A271" s="136" t="s">
        <v>36</v>
      </c>
      <c r="B271" s="9">
        <v>45471.632656041664</v>
      </c>
      <c r="C271" s="10" t="s">
        <v>728</v>
      </c>
      <c r="D271" s="11" t="s">
        <v>51</v>
      </c>
      <c r="E271" s="11" t="s">
        <v>52</v>
      </c>
      <c r="F271" s="11" t="s">
        <v>210</v>
      </c>
      <c r="G271" s="11" t="s">
        <v>54</v>
      </c>
      <c r="H271" s="11" t="s">
        <v>625</v>
      </c>
      <c r="I271" s="11" t="s">
        <v>729</v>
      </c>
      <c r="J271" s="11" t="s">
        <v>48</v>
      </c>
      <c r="K271" s="12"/>
      <c r="L271" s="24" t="s">
        <v>730</v>
      </c>
      <c r="M271" s="11" t="s">
        <v>71</v>
      </c>
      <c r="N271" s="11" t="s">
        <v>96</v>
      </c>
      <c r="O271" s="14"/>
      <c r="P271" s="14"/>
      <c r="Q271" s="14"/>
      <c r="R271" s="14"/>
      <c r="S271" s="14"/>
      <c r="T271" s="14"/>
      <c r="U271" s="14"/>
      <c r="V271" s="14"/>
      <c r="W271" s="14"/>
      <c r="X271" s="14"/>
      <c r="Y271" s="14"/>
      <c r="Z271" s="14"/>
      <c r="AA271" s="14"/>
      <c r="AB271" s="14"/>
      <c r="AC271" s="14"/>
      <c r="AD271" s="12"/>
      <c r="AE271" s="12"/>
      <c r="AF271" s="12"/>
      <c r="AG271" s="78">
        <v>45474.0</v>
      </c>
      <c r="AH271" s="12"/>
      <c r="AI271" s="12"/>
      <c r="AJ271" s="12"/>
      <c r="AK271" s="11" t="s">
        <v>724</v>
      </c>
      <c r="AL271" s="13" t="s">
        <v>44</v>
      </c>
      <c r="AM271" s="11" t="s">
        <v>96</v>
      </c>
      <c r="AN271" s="11"/>
      <c r="AO271" s="8"/>
      <c r="AP271" s="8"/>
    </row>
    <row r="272">
      <c r="A272" s="11" t="s">
        <v>36</v>
      </c>
      <c r="B272" s="9">
        <v>45474.448399444445</v>
      </c>
      <c r="C272" s="138" t="s">
        <v>183</v>
      </c>
      <c r="D272" s="11" t="s">
        <v>38</v>
      </c>
      <c r="E272" s="11" t="s">
        <v>40</v>
      </c>
      <c r="F272" s="11" t="s">
        <v>40</v>
      </c>
      <c r="G272" s="11" t="s">
        <v>41</v>
      </c>
      <c r="H272" s="39" t="s">
        <v>127</v>
      </c>
      <c r="I272" s="71">
        <v>5000.0</v>
      </c>
      <c r="J272" s="11" t="s">
        <v>189</v>
      </c>
      <c r="K272" s="24" t="s">
        <v>731</v>
      </c>
      <c r="L272" s="11" t="s">
        <v>732</v>
      </c>
      <c r="M272" s="11" t="s">
        <v>71</v>
      </c>
      <c r="N272" s="11" t="s">
        <v>96</v>
      </c>
      <c r="O272" s="14"/>
      <c r="P272" s="14"/>
      <c r="Q272" s="14"/>
      <c r="R272" s="14"/>
      <c r="S272" s="14"/>
      <c r="T272" s="14"/>
      <c r="U272" s="14"/>
      <c r="V272" s="14"/>
      <c r="W272" s="14"/>
      <c r="X272" s="14"/>
      <c r="Y272" s="14"/>
      <c r="Z272" s="14"/>
      <c r="AA272" s="14"/>
      <c r="AB272" s="14"/>
      <c r="AC272" s="14"/>
      <c r="AD272" s="12"/>
      <c r="AE272" s="12"/>
      <c r="AF272" s="12"/>
      <c r="AG272" s="78">
        <v>45474.0</v>
      </c>
      <c r="AH272" s="12"/>
      <c r="AI272" s="12"/>
      <c r="AJ272" s="12"/>
      <c r="AK272" s="11" t="s">
        <v>724</v>
      </c>
      <c r="AL272" s="13" t="s">
        <v>44</v>
      </c>
      <c r="AM272" s="11" t="s">
        <v>96</v>
      </c>
      <c r="AN272" s="11"/>
      <c r="AO272" s="8"/>
      <c r="AP272" s="8"/>
    </row>
    <row r="273">
      <c r="A273" s="11" t="s">
        <v>36</v>
      </c>
      <c r="B273" s="9">
        <v>45475.42752208334</v>
      </c>
      <c r="C273" s="10" t="s">
        <v>733</v>
      </c>
      <c r="D273" s="11" t="s">
        <v>734</v>
      </c>
      <c r="E273" s="11" t="s">
        <v>735</v>
      </c>
      <c r="F273" s="11" t="s">
        <v>735</v>
      </c>
      <c r="G273" s="11" t="s">
        <v>735</v>
      </c>
      <c r="H273" s="11" t="s">
        <v>625</v>
      </c>
      <c r="I273" s="77">
        <v>74.81</v>
      </c>
      <c r="J273" s="11" t="s">
        <v>383</v>
      </c>
      <c r="K273" s="12"/>
      <c r="L273" s="11" t="s">
        <v>736</v>
      </c>
      <c r="M273" s="11" t="s">
        <v>71</v>
      </c>
      <c r="N273" s="70" t="s">
        <v>44</v>
      </c>
      <c r="O273" s="14"/>
      <c r="P273" s="14"/>
      <c r="Q273" s="14"/>
      <c r="R273" s="14"/>
      <c r="S273" s="14"/>
      <c r="T273" s="14"/>
      <c r="U273" s="14"/>
      <c r="V273" s="14"/>
      <c r="W273" s="14"/>
      <c r="X273" s="14"/>
      <c r="Y273" s="14"/>
      <c r="Z273" s="14"/>
      <c r="AA273" s="14"/>
      <c r="AB273" s="14"/>
      <c r="AC273" s="14"/>
      <c r="AD273" s="12"/>
      <c r="AE273" s="12"/>
      <c r="AF273" s="12"/>
      <c r="AG273" s="78">
        <v>45488.0</v>
      </c>
      <c r="AH273" s="12"/>
      <c r="AI273" s="12"/>
      <c r="AJ273" s="12"/>
      <c r="AK273" s="11" t="s">
        <v>688</v>
      </c>
      <c r="AL273" s="70" t="s">
        <v>44</v>
      </c>
      <c r="AM273" s="70" t="s">
        <v>44</v>
      </c>
      <c r="AN273" s="11"/>
      <c r="AO273" s="139"/>
      <c r="AP273" s="139"/>
    </row>
    <row r="274">
      <c r="A274" s="11" t="s">
        <v>36</v>
      </c>
      <c r="B274" s="9">
        <v>45481.44919141204</v>
      </c>
      <c r="C274" s="10" t="s">
        <v>737</v>
      </c>
      <c r="D274" s="11" t="s">
        <v>389</v>
      </c>
      <c r="E274" s="11" t="s">
        <v>52</v>
      </c>
      <c r="F274" s="11" t="s">
        <v>65</v>
      </c>
      <c r="G274" s="11" t="s">
        <v>131</v>
      </c>
      <c r="H274" s="11" t="s">
        <v>625</v>
      </c>
      <c r="I274" s="11" t="s">
        <v>738</v>
      </c>
      <c r="J274" s="11" t="s">
        <v>86</v>
      </c>
      <c r="K274" s="12"/>
      <c r="L274" s="24" t="s">
        <v>739</v>
      </c>
      <c r="M274" s="11" t="s">
        <v>71</v>
      </c>
      <c r="N274" s="11" t="s">
        <v>96</v>
      </c>
      <c r="O274" s="11" t="s">
        <v>740</v>
      </c>
      <c r="P274" s="14"/>
      <c r="Q274" s="14"/>
      <c r="R274" s="14"/>
      <c r="S274" s="14"/>
      <c r="T274" s="14"/>
      <c r="U274" s="14"/>
      <c r="V274" s="14"/>
      <c r="W274" s="14"/>
      <c r="X274" s="14"/>
      <c r="Y274" s="14"/>
      <c r="Z274" s="14"/>
      <c r="AA274" s="14"/>
      <c r="AB274" s="14"/>
      <c r="AC274" s="14"/>
      <c r="AD274" s="12"/>
      <c r="AE274" s="12"/>
      <c r="AF274" s="12"/>
      <c r="AG274" s="78">
        <v>45488.0</v>
      </c>
      <c r="AH274" s="12"/>
      <c r="AI274" s="12"/>
      <c r="AJ274" s="12"/>
      <c r="AK274" s="11" t="s">
        <v>688</v>
      </c>
      <c r="AL274" s="12"/>
      <c r="AM274" s="12"/>
      <c r="AN274" s="11"/>
      <c r="AO274" s="140"/>
      <c r="AP274" s="140"/>
    </row>
    <row r="275">
      <c r="A275" s="11" t="s">
        <v>36</v>
      </c>
      <c r="B275" s="9">
        <v>45488.44054979167</v>
      </c>
      <c r="C275" s="10" t="s">
        <v>741</v>
      </c>
      <c r="D275" s="11" t="s">
        <v>51</v>
      </c>
      <c r="E275" s="11" t="s">
        <v>138</v>
      </c>
      <c r="F275" s="11" t="s">
        <v>40</v>
      </c>
      <c r="G275" s="11" t="s">
        <v>54</v>
      </c>
      <c r="H275" s="11" t="s">
        <v>607</v>
      </c>
      <c r="I275" s="11">
        <v>286.0</v>
      </c>
      <c r="J275" s="11" t="s">
        <v>433</v>
      </c>
      <c r="K275" s="12"/>
      <c r="L275" s="28" t="s">
        <v>742</v>
      </c>
      <c r="M275" s="11" t="s">
        <v>71</v>
      </c>
      <c r="N275" s="11" t="s">
        <v>96</v>
      </c>
      <c r="O275" s="11" t="s">
        <v>743</v>
      </c>
      <c r="P275" s="14"/>
      <c r="Q275" s="14"/>
      <c r="R275" s="14"/>
      <c r="S275" s="14"/>
      <c r="T275" s="14"/>
      <c r="U275" s="14"/>
      <c r="V275" s="14"/>
      <c r="W275" s="14"/>
      <c r="X275" s="14"/>
      <c r="Y275" s="14"/>
      <c r="Z275" s="14"/>
      <c r="AA275" s="14"/>
      <c r="AB275" s="14"/>
      <c r="AC275" s="14"/>
      <c r="AD275" s="12"/>
      <c r="AE275" s="12"/>
      <c r="AF275" s="12"/>
      <c r="AG275" s="78">
        <v>45491.0</v>
      </c>
      <c r="AH275" s="12"/>
      <c r="AI275" s="12"/>
      <c r="AJ275" s="12"/>
      <c r="AK275" s="11" t="s">
        <v>744</v>
      </c>
      <c r="AL275" s="12"/>
      <c r="AM275" s="12"/>
      <c r="AN275" s="11"/>
      <c r="AO275" s="140"/>
      <c r="AP275" s="140"/>
    </row>
    <row r="276">
      <c r="A276" s="11" t="s">
        <v>36</v>
      </c>
      <c r="B276" s="9">
        <v>45488.578389270835</v>
      </c>
      <c r="C276" s="10" t="s">
        <v>123</v>
      </c>
      <c r="D276" s="11" t="s">
        <v>124</v>
      </c>
      <c r="E276" s="11" t="s">
        <v>52</v>
      </c>
      <c r="F276" s="11" t="s">
        <v>40</v>
      </c>
      <c r="G276" s="11" t="s">
        <v>54</v>
      </c>
      <c r="H276" s="11" t="s">
        <v>625</v>
      </c>
      <c r="I276" s="11">
        <v>174.93</v>
      </c>
      <c r="J276" s="11" t="s">
        <v>82</v>
      </c>
      <c r="K276" s="12"/>
      <c r="L276" s="24" t="s">
        <v>745</v>
      </c>
      <c r="M276" s="11" t="s">
        <v>71</v>
      </c>
      <c r="N276" s="11" t="s">
        <v>68</v>
      </c>
      <c r="O276" s="11" t="s">
        <v>746</v>
      </c>
      <c r="P276" s="14"/>
      <c r="Q276" s="14"/>
      <c r="R276" s="14"/>
      <c r="S276" s="14"/>
      <c r="T276" s="14"/>
      <c r="U276" s="14"/>
      <c r="V276" s="14"/>
      <c r="W276" s="14"/>
      <c r="X276" s="14"/>
      <c r="Y276" s="14"/>
      <c r="Z276" s="14"/>
      <c r="AA276" s="14"/>
      <c r="AB276" s="14"/>
      <c r="AC276" s="14"/>
      <c r="AD276" s="12"/>
      <c r="AE276" s="12"/>
      <c r="AF276" s="12"/>
      <c r="AG276" s="78">
        <v>45491.0</v>
      </c>
      <c r="AH276" s="12"/>
      <c r="AI276" s="12"/>
      <c r="AJ276" s="12"/>
      <c r="AK276" s="11" t="s">
        <v>45</v>
      </c>
      <c r="AL276" s="12"/>
      <c r="AM276" s="12"/>
      <c r="AN276" s="11"/>
      <c r="AO276" s="140"/>
      <c r="AP276" s="140"/>
    </row>
    <row r="277">
      <c r="A277" s="11" t="s">
        <v>36</v>
      </c>
      <c r="B277" s="9">
        <v>45488.670269270835</v>
      </c>
      <c r="C277" s="10" t="s">
        <v>747</v>
      </c>
      <c r="D277" s="11" t="s">
        <v>51</v>
      </c>
      <c r="E277" s="11" t="s">
        <v>52</v>
      </c>
      <c r="F277" s="11" t="s">
        <v>65</v>
      </c>
      <c r="G277" s="11" t="s">
        <v>54</v>
      </c>
      <c r="H277" s="11" t="s">
        <v>625</v>
      </c>
      <c r="I277" s="77">
        <v>99.95</v>
      </c>
      <c r="J277" s="11" t="s">
        <v>336</v>
      </c>
      <c r="K277" s="12"/>
      <c r="L277" s="11" t="s">
        <v>748</v>
      </c>
      <c r="M277" s="11" t="s">
        <v>71</v>
      </c>
      <c r="N277" s="11" t="s">
        <v>96</v>
      </c>
      <c r="O277" s="11" t="s">
        <v>749</v>
      </c>
      <c r="P277" s="14"/>
      <c r="Q277" s="14"/>
      <c r="R277" s="14"/>
      <c r="S277" s="14"/>
      <c r="T277" s="14"/>
      <c r="U277" s="14"/>
      <c r="V277" s="14"/>
      <c r="W277" s="14"/>
      <c r="X277" s="14"/>
      <c r="Y277" s="14"/>
      <c r="Z277" s="14"/>
      <c r="AA277" s="14"/>
      <c r="AB277" s="14"/>
      <c r="AC277" s="14"/>
      <c r="AD277" s="12"/>
      <c r="AE277" s="12"/>
      <c r="AF277" s="12"/>
      <c r="AG277" s="78">
        <v>45491.0</v>
      </c>
      <c r="AH277" s="12"/>
      <c r="AI277" s="12"/>
      <c r="AJ277" s="12"/>
      <c r="AK277" s="11" t="s">
        <v>45</v>
      </c>
      <c r="AL277" s="12"/>
      <c r="AM277" s="12"/>
      <c r="AN277" s="11"/>
      <c r="AO277" s="8" t="b">
        <v>1</v>
      </c>
      <c r="AP277" s="8"/>
    </row>
    <row r="278">
      <c r="A278" s="11" t="s">
        <v>36</v>
      </c>
      <c r="B278" s="9">
        <v>45488.67122278935</v>
      </c>
      <c r="C278" s="10" t="s">
        <v>747</v>
      </c>
      <c r="D278" s="11" t="s">
        <v>51</v>
      </c>
      <c r="E278" s="11" t="s">
        <v>52</v>
      </c>
      <c r="F278" s="11" t="s">
        <v>65</v>
      </c>
      <c r="G278" s="11" t="s">
        <v>54</v>
      </c>
      <c r="H278" s="11" t="s">
        <v>625</v>
      </c>
      <c r="I278" s="77">
        <v>89.95</v>
      </c>
      <c r="J278" s="11" t="s">
        <v>336</v>
      </c>
      <c r="K278" s="12"/>
      <c r="L278" s="11" t="s">
        <v>750</v>
      </c>
      <c r="M278" s="11" t="s">
        <v>71</v>
      </c>
      <c r="N278" s="11" t="s">
        <v>96</v>
      </c>
      <c r="O278" s="11" t="s">
        <v>749</v>
      </c>
      <c r="P278" s="14"/>
      <c r="Q278" s="14"/>
      <c r="R278" s="14"/>
      <c r="S278" s="14"/>
      <c r="T278" s="14"/>
      <c r="U278" s="14"/>
      <c r="V278" s="14"/>
      <c r="W278" s="14"/>
      <c r="X278" s="14"/>
      <c r="Y278" s="14"/>
      <c r="Z278" s="14"/>
      <c r="AA278" s="14"/>
      <c r="AB278" s="14"/>
      <c r="AC278" s="14"/>
      <c r="AD278" s="12"/>
      <c r="AE278" s="12"/>
      <c r="AF278" s="12"/>
      <c r="AG278" s="78">
        <v>45491.0</v>
      </c>
      <c r="AH278" s="12"/>
      <c r="AI278" s="12"/>
      <c r="AJ278" s="12"/>
      <c r="AK278" s="11" t="s">
        <v>45</v>
      </c>
      <c r="AL278" s="12"/>
      <c r="AM278" s="12"/>
      <c r="AN278" s="11"/>
      <c r="AO278" s="8" t="b">
        <v>1</v>
      </c>
      <c r="AP278" s="8"/>
    </row>
    <row r="279">
      <c r="A279" s="11" t="s">
        <v>36</v>
      </c>
      <c r="B279" s="9">
        <v>45488.672380613425</v>
      </c>
      <c r="C279" s="10" t="s">
        <v>747</v>
      </c>
      <c r="D279" s="11" t="s">
        <v>51</v>
      </c>
      <c r="E279" s="11" t="s">
        <v>52</v>
      </c>
      <c r="F279" s="11" t="s">
        <v>65</v>
      </c>
      <c r="G279" s="11" t="s">
        <v>54</v>
      </c>
      <c r="H279" s="11" t="s">
        <v>625</v>
      </c>
      <c r="I279" s="77">
        <v>74.95</v>
      </c>
      <c r="J279" s="11" t="s">
        <v>336</v>
      </c>
      <c r="K279" s="12"/>
      <c r="L279" s="11" t="s">
        <v>751</v>
      </c>
      <c r="M279" s="11" t="s">
        <v>71</v>
      </c>
      <c r="N279" s="11" t="s">
        <v>96</v>
      </c>
      <c r="O279" s="11" t="s">
        <v>749</v>
      </c>
      <c r="P279" s="14"/>
      <c r="Q279" s="14"/>
      <c r="R279" s="14"/>
      <c r="S279" s="14"/>
      <c r="T279" s="14"/>
      <c r="U279" s="14"/>
      <c r="V279" s="14"/>
      <c r="W279" s="14"/>
      <c r="X279" s="14"/>
      <c r="Y279" s="14"/>
      <c r="Z279" s="14"/>
      <c r="AA279" s="14"/>
      <c r="AB279" s="14"/>
      <c r="AC279" s="14"/>
      <c r="AD279" s="12"/>
      <c r="AE279" s="12"/>
      <c r="AF279" s="12"/>
      <c r="AG279" s="78">
        <v>45491.0</v>
      </c>
      <c r="AH279" s="12"/>
      <c r="AI279" s="12"/>
      <c r="AJ279" s="12"/>
      <c r="AK279" s="11" t="s">
        <v>45</v>
      </c>
      <c r="AL279" s="12"/>
      <c r="AM279" s="12"/>
      <c r="AN279" s="11"/>
      <c r="AO279" s="8" t="b">
        <v>1</v>
      </c>
      <c r="AP279" s="8"/>
    </row>
    <row r="280">
      <c r="A280" s="11" t="s">
        <v>36</v>
      </c>
      <c r="B280" s="9">
        <v>45489.68590431713</v>
      </c>
      <c r="C280" s="10" t="s">
        <v>752</v>
      </c>
      <c r="D280" s="11" t="s">
        <v>51</v>
      </c>
      <c r="E280" s="11" t="s">
        <v>52</v>
      </c>
      <c r="F280" s="11" t="s">
        <v>40</v>
      </c>
      <c r="G280" s="11" t="s">
        <v>54</v>
      </c>
      <c r="H280" s="11" t="s">
        <v>625</v>
      </c>
      <c r="I280" s="11" t="s">
        <v>753</v>
      </c>
      <c r="J280" s="11" t="s">
        <v>754</v>
      </c>
      <c r="K280" s="12"/>
      <c r="L280" s="24" t="s">
        <v>755</v>
      </c>
      <c r="M280" s="11" t="s">
        <v>71</v>
      </c>
      <c r="N280" s="11" t="s">
        <v>96</v>
      </c>
      <c r="O280" s="11" t="s">
        <v>756</v>
      </c>
      <c r="P280" s="14"/>
      <c r="Q280" s="14"/>
      <c r="R280" s="14"/>
      <c r="S280" s="14"/>
      <c r="T280" s="14"/>
      <c r="U280" s="14"/>
      <c r="V280" s="14"/>
      <c r="W280" s="14"/>
      <c r="X280" s="14"/>
      <c r="Y280" s="14"/>
      <c r="Z280" s="14"/>
      <c r="AA280" s="14"/>
      <c r="AB280" s="14"/>
      <c r="AC280" s="14"/>
      <c r="AD280" s="12"/>
      <c r="AE280" s="12"/>
      <c r="AF280" s="12"/>
      <c r="AG280" s="78">
        <v>45491.0</v>
      </c>
      <c r="AH280" s="12"/>
      <c r="AI280" s="12"/>
      <c r="AJ280" s="12"/>
      <c r="AK280" s="11" t="s">
        <v>45</v>
      </c>
      <c r="AL280" s="12"/>
      <c r="AM280" s="12"/>
      <c r="AN280" s="11"/>
      <c r="AO280" s="8" t="b">
        <v>1</v>
      </c>
      <c r="AP280" s="8"/>
    </row>
    <row r="281">
      <c r="A281" s="11" t="s">
        <v>36</v>
      </c>
      <c r="B281" s="9">
        <v>45490.58406861111</v>
      </c>
      <c r="C281" s="10" t="s">
        <v>757</v>
      </c>
      <c r="D281" s="11" t="s">
        <v>51</v>
      </c>
      <c r="E281" s="11" t="s">
        <v>52</v>
      </c>
      <c r="F281" s="11" t="s">
        <v>65</v>
      </c>
      <c r="G281" s="11" t="s">
        <v>54</v>
      </c>
      <c r="H281" s="11" t="s">
        <v>625</v>
      </c>
      <c r="I281" s="77">
        <v>2500.0</v>
      </c>
      <c r="J281" s="11" t="s">
        <v>121</v>
      </c>
      <c r="K281" s="12"/>
      <c r="L281" s="24" t="s">
        <v>758</v>
      </c>
      <c r="M281" s="11" t="s">
        <v>71</v>
      </c>
      <c r="N281" s="11" t="s">
        <v>96</v>
      </c>
      <c r="O281" s="11" t="s">
        <v>759</v>
      </c>
      <c r="P281" s="14"/>
      <c r="Q281" s="14"/>
      <c r="R281" s="14"/>
      <c r="S281" s="14"/>
      <c r="T281" s="14"/>
      <c r="U281" s="14"/>
      <c r="V281" s="14"/>
      <c r="W281" s="14"/>
      <c r="X281" s="14"/>
      <c r="Y281" s="14"/>
      <c r="Z281" s="14"/>
      <c r="AA281" s="14"/>
      <c r="AB281" s="14"/>
      <c r="AC281" s="14"/>
      <c r="AD281" s="12"/>
      <c r="AE281" s="12"/>
      <c r="AF281" s="12"/>
      <c r="AG281" s="78">
        <v>45492.0</v>
      </c>
      <c r="AH281" s="12"/>
      <c r="AI281" s="12"/>
      <c r="AJ281" s="12"/>
      <c r="AK281" s="11" t="s">
        <v>45</v>
      </c>
      <c r="AL281" s="12"/>
      <c r="AM281" s="12"/>
      <c r="AN281" s="11"/>
      <c r="AO281" s="8" t="b">
        <v>1</v>
      </c>
      <c r="AP281" s="8"/>
    </row>
    <row r="282">
      <c r="A282" s="11" t="s">
        <v>36</v>
      </c>
      <c r="B282" s="9">
        <v>45491.54793930556</v>
      </c>
      <c r="C282" s="10" t="s">
        <v>760</v>
      </c>
      <c r="D282" s="11" t="s">
        <v>51</v>
      </c>
      <c r="E282" s="11" t="s">
        <v>52</v>
      </c>
      <c r="F282" s="11" t="s">
        <v>80</v>
      </c>
      <c r="G282" s="11" t="s">
        <v>131</v>
      </c>
      <c r="H282" s="11" t="s">
        <v>625</v>
      </c>
      <c r="I282" s="11" t="s">
        <v>761</v>
      </c>
      <c r="J282" s="11" t="s">
        <v>762</v>
      </c>
      <c r="K282" s="12"/>
      <c r="L282" s="11" t="s">
        <v>763</v>
      </c>
      <c r="M282" s="11" t="s">
        <v>71</v>
      </c>
      <c r="N282" s="11" t="s">
        <v>96</v>
      </c>
      <c r="O282" s="11" t="s">
        <v>764</v>
      </c>
      <c r="P282" s="14"/>
      <c r="Q282" s="14"/>
      <c r="R282" s="14"/>
      <c r="S282" s="14"/>
      <c r="T282" s="14"/>
      <c r="U282" s="14"/>
      <c r="V282" s="14"/>
      <c r="W282" s="14"/>
      <c r="X282" s="14"/>
      <c r="Y282" s="14"/>
      <c r="Z282" s="14"/>
      <c r="AA282" s="14"/>
      <c r="AB282" s="14"/>
      <c r="AC282" s="14"/>
      <c r="AD282" s="12"/>
      <c r="AE282" s="12"/>
      <c r="AF282" s="12"/>
      <c r="AG282" s="78">
        <v>45492.0</v>
      </c>
      <c r="AH282" s="12"/>
      <c r="AI282" s="12"/>
      <c r="AJ282" s="12"/>
      <c r="AK282" s="11" t="s">
        <v>45</v>
      </c>
      <c r="AL282" s="12"/>
      <c r="AM282" s="12"/>
      <c r="AN282" s="11"/>
      <c r="AO282" s="140"/>
      <c r="AP282" s="140"/>
    </row>
    <row r="283">
      <c r="A283" s="75" t="s">
        <v>177</v>
      </c>
      <c r="B283" s="73">
        <v>45492.73763393519</v>
      </c>
      <c r="C283" s="74" t="s">
        <v>765</v>
      </c>
      <c r="D283" s="75" t="s">
        <v>51</v>
      </c>
      <c r="E283" s="75" t="s">
        <v>52</v>
      </c>
      <c r="F283" s="75" t="s">
        <v>65</v>
      </c>
      <c r="G283" s="75" t="s">
        <v>54</v>
      </c>
      <c r="H283" s="75" t="s">
        <v>625</v>
      </c>
      <c r="I283" s="75" t="s">
        <v>766</v>
      </c>
      <c r="J283" s="75" t="s">
        <v>767</v>
      </c>
      <c r="K283" s="114"/>
      <c r="L283" s="115" t="s">
        <v>768</v>
      </c>
      <c r="M283" s="75" t="s">
        <v>71</v>
      </c>
      <c r="N283" s="75" t="s">
        <v>68</v>
      </c>
      <c r="O283" s="75" t="s">
        <v>769</v>
      </c>
      <c r="P283" s="129"/>
      <c r="Q283" s="129"/>
      <c r="R283" s="129"/>
      <c r="S283" s="129"/>
      <c r="T283" s="129"/>
      <c r="U283" s="129"/>
      <c r="V283" s="129"/>
      <c r="W283" s="129"/>
      <c r="X283" s="129"/>
      <c r="Y283" s="129"/>
      <c r="Z283" s="129"/>
      <c r="AA283" s="129"/>
      <c r="AB283" s="129"/>
      <c r="AC283" s="129"/>
      <c r="AD283" s="114"/>
      <c r="AE283" s="114"/>
      <c r="AF283" s="114"/>
      <c r="AG283" s="130">
        <v>45496.0</v>
      </c>
      <c r="AH283" s="114"/>
      <c r="AI283" s="114"/>
      <c r="AJ283" s="114"/>
      <c r="AK283" s="75" t="s">
        <v>770</v>
      </c>
      <c r="AL283" s="114"/>
      <c r="AM283" s="114"/>
      <c r="AN283" s="75"/>
      <c r="AO283" s="141"/>
      <c r="AP283" s="141"/>
    </row>
    <row r="284">
      <c r="A284" s="11" t="s">
        <v>36</v>
      </c>
      <c r="B284" s="9">
        <v>45494.56412712963</v>
      </c>
      <c r="C284" s="10" t="s">
        <v>771</v>
      </c>
      <c r="D284" s="11" t="s">
        <v>51</v>
      </c>
      <c r="E284" s="11" t="s">
        <v>52</v>
      </c>
      <c r="F284" s="11" t="s">
        <v>40</v>
      </c>
      <c r="G284" s="11" t="s">
        <v>54</v>
      </c>
      <c r="H284" s="11" t="s">
        <v>625</v>
      </c>
      <c r="I284" s="77">
        <v>275.0</v>
      </c>
      <c r="J284" s="11" t="s">
        <v>100</v>
      </c>
      <c r="K284" s="11" t="s">
        <v>772</v>
      </c>
      <c r="L284" s="11" t="s">
        <v>773</v>
      </c>
      <c r="M284" s="11" t="s">
        <v>71</v>
      </c>
      <c r="N284" s="11" t="s">
        <v>96</v>
      </c>
      <c r="O284" s="11" t="s">
        <v>774</v>
      </c>
      <c r="P284" s="14"/>
      <c r="Q284" s="14"/>
      <c r="R284" s="14"/>
      <c r="S284" s="14"/>
      <c r="T284" s="14"/>
      <c r="U284" s="14"/>
      <c r="V284" s="14"/>
      <c r="W284" s="14"/>
      <c r="X284" s="14"/>
      <c r="Y284" s="14"/>
      <c r="Z284" s="14"/>
      <c r="AA284" s="14"/>
      <c r="AB284" s="14"/>
      <c r="AC284" s="14"/>
      <c r="AD284" s="12"/>
      <c r="AE284" s="12"/>
      <c r="AF284" s="12"/>
      <c r="AG284" s="78">
        <v>45496.0</v>
      </c>
      <c r="AH284" s="12"/>
      <c r="AI284" s="12"/>
      <c r="AJ284" s="12"/>
      <c r="AK284" s="11" t="s">
        <v>45</v>
      </c>
      <c r="AL284" s="12"/>
      <c r="AM284" s="12"/>
      <c r="AN284" s="11"/>
      <c r="AO284" s="140"/>
      <c r="AP284" s="140"/>
    </row>
    <row r="285">
      <c r="A285" s="11" t="s">
        <v>36</v>
      </c>
      <c r="B285" s="9">
        <v>45495.40602165509</v>
      </c>
      <c r="C285" s="10" t="s">
        <v>775</v>
      </c>
      <c r="D285" s="11" t="s">
        <v>51</v>
      </c>
      <c r="E285" s="11" t="s">
        <v>52</v>
      </c>
      <c r="F285" s="11" t="s">
        <v>65</v>
      </c>
      <c r="G285" s="11" t="s">
        <v>131</v>
      </c>
      <c r="H285" s="11" t="s">
        <v>625</v>
      </c>
      <c r="I285" s="11" t="s">
        <v>776</v>
      </c>
      <c r="J285" s="11" t="s">
        <v>262</v>
      </c>
      <c r="K285" s="12"/>
      <c r="L285" s="24" t="s">
        <v>777</v>
      </c>
      <c r="M285" s="11" t="s">
        <v>71</v>
      </c>
      <c r="N285" s="11" t="s">
        <v>96</v>
      </c>
      <c r="O285" s="11" t="s">
        <v>778</v>
      </c>
      <c r="P285" s="14"/>
      <c r="Q285" s="14"/>
      <c r="R285" s="14"/>
      <c r="S285" s="14"/>
      <c r="T285" s="14"/>
      <c r="U285" s="14"/>
      <c r="V285" s="14"/>
      <c r="W285" s="14"/>
      <c r="X285" s="14"/>
      <c r="Y285" s="14"/>
      <c r="Z285" s="14"/>
      <c r="AA285" s="14"/>
      <c r="AB285" s="14"/>
      <c r="AC285" s="14"/>
      <c r="AD285" s="12"/>
      <c r="AE285" s="12"/>
      <c r="AF285" s="12"/>
      <c r="AG285" s="78">
        <v>45496.0</v>
      </c>
      <c r="AH285" s="12"/>
      <c r="AI285" s="12"/>
      <c r="AJ285" s="12"/>
      <c r="AK285" s="11" t="s">
        <v>779</v>
      </c>
      <c r="AL285" s="12"/>
      <c r="AM285" s="12"/>
      <c r="AN285" s="11"/>
      <c r="AO285" s="140"/>
      <c r="AP285" s="140"/>
    </row>
    <row r="286">
      <c r="A286" s="124" t="s">
        <v>177</v>
      </c>
      <c r="B286" s="125">
        <v>45495.564792951394</v>
      </c>
      <c r="C286" s="126" t="s">
        <v>780</v>
      </c>
      <c r="D286" s="124" t="s">
        <v>202</v>
      </c>
      <c r="E286" s="124" t="s">
        <v>52</v>
      </c>
      <c r="F286" s="124" t="s">
        <v>65</v>
      </c>
      <c r="G286" s="124" t="s">
        <v>54</v>
      </c>
      <c r="H286" s="124" t="s">
        <v>625</v>
      </c>
      <c r="I286" s="124" t="s">
        <v>781</v>
      </c>
      <c r="J286" s="124" t="s">
        <v>82</v>
      </c>
      <c r="K286" s="132"/>
      <c r="L286" s="128" t="s">
        <v>782</v>
      </c>
      <c r="M286" s="124" t="s">
        <v>71</v>
      </c>
      <c r="N286" s="124" t="s">
        <v>96</v>
      </c>
      <c r="O286" s="124" t="s">
        <v>783</v>
      </c>
      <c r="P286" s="133"/>
      <c r="Q286" s="133"/>
      <c r="R286" s="133"/>
      <c r="S286" s="133"/>
      <c r="T286" s="133"/>
      <c r="U286" s="133"/>
      <c r="V286" s="133"/>
      <c r="W286" s="133"/>
      <c r="X286" s="133"/>
      <c r="Y286" s="133"/>
      <c r="Z286" s="133"/>
      <c r="AA286" s="133"/>
      <c r="AB286" s="133"/>
      <c r="AC286" s="133"/>
      <c r="AD286" s="132"/>
      <c r="AE286" s="132"/>
      <c r="AF286" s="132"/>
      <c r="AG286" s="132"/>
      <c r="AH286" s="132"/>
      <c r="AI286" s="132"/>
      <c r="AJ286" s="132"/>
      <c r="AK286" s="124" t="s">
        <v>784</v>
      </c>
      <c r="AL286" s="132"/>
      <c r="AM286" s="132"/>
      <c r="AN286" s="124"/>
      <c r="AO286" s="142"/>
      <c r="AP286" s="142"/>
    </row>
    <row r="287">
      <c r="A287" s="11" t="s">
        <v>36</v>
      </c>
      <c r="B287" s="9">
        <v>45495.86751788194</v>
      </c>
      <c r="C287" s="10" t="s">
        <v>785</v>
      </c>
      <c r="D287" s="11" t="s">
        <v>51</v>
      </c>
      <c r="E287" s="11" t="s">
        <v>52</v>
      </c>
      <c r="F287" s="11" t="s">
        <v>210</v>
      </c>
      <c r="G287" s="11" t="s">
        <v>131</v>
      </c>
      <c r="H287" s="11" t="s">
        <v>625</v>
      </c>
      <c r="I287" s="71">
        <v>49.0</v>
      </c>
      <c r="J287" s="11" t="s">
        <v>100</v>
      </c>
      <c r="K287" s="28" t="s">
        <v>786</v>
      </c>
      <c r="L287" s="11" t="s">
        <v>787</v>
      </c>
      <c r="M287" s="11" t="s">
        <v>71</v>
      </c>
      <c r="N287" s="11" t="s">
        <v>96</v>
      </c>
      <c r="O287" s="11" t="s">
        <v>788</v>
      </c>
      <c r="P287" s="14"/>
      <c r="Q287" s="14"/>
      <c r="R287" s="14"/>
      <c r="S287" s="14"/>
      <c r="T287" s="14"/>
      <c r="U287" s="14"/>
      <c r="V287" s="14"/>
      <c r="W287" s="14"/>
      <c r="X287" s="14"/>
      <c r="Y287" s="14"/>
      <c r="Z287" s="14"/>
      <c r="AA287" s="14"/>
      <c r="AB287" s="14"/>
      <c r="AC287" s="14"/>
      <c r="AD287" s="12"/>
      <c r="AE287" s="12"/>
      <c r="AF287" s="12"/>
      <c r="AG287" s="78">
        <v>45496.0</v>
      </c>
      <c r="AH287" s="12"/>
      <c r="AI287" s="12"/>
      <c r="AJ287" s="12"/>
      <c r="AK287" s="11" t="s">
        <v>45</v>
      </c>
      <c r="AL287" s="12"/>
      <c r="AM287" s="12"/>
      <c r="AN287" s="11"/>
      <c r="AO287" s="140"/>
      <c r="AP287" s="140"/>
    </row>
    <row r="288">
      <c r="A288" s="11" t="s">
        <v>36</v>
      </c>
      <c r="B288" s="9">
        <v>45496.6738268287</v>
      </c>
      <c r="C288" s="10" t="s">
        <v>789</v>
      </c>
      <c r="D288" s="11" t="s">
        <v>51</v>
      </c>
      <c r="E288" s="11" t="s">
        <v>52</v>
      </c>
      <c r="F288" s="11" t="s">
        <v>40</v>
      </c>
      <c r="G288" s="11" t="s">
        <v>41</v>
      </c>
      <c r="H288" s="11" t="s">
        <v>625</v>
      </c>
      <c r="I288" s="11" t="s">
        <v>790</v>
      </c>
      <c r="J288" s="11" t="s">
        <v>100</v>
      </c>
      <c r="K288" s="28" t="s">
        <v>791</v>
      </c>
      <c r="L288" s="24" t="s">
        <v>792</v>
      </c>
      <c r="M288" s="11" t="s">
        <v>71</v>
      </c>
      <c r="N288" s="11" t="s">
        <v>68</v>
      </c>
      <c r="O288" s="11" t="s">
        <v>793</v>
      </c>
      <c r="P288" s="14"/>
      <c r="Q288" s="14"/>
      <c r="R288" s="14"/>
      <c r="S288" s="14"/>
      <c r="T288" s="14"/>
      <c r="U288" s="14"/>
      <c r="V288" s="14"/>
      <c r="W288" s="14"/>
      <c r="X288" s="14"/>
      <c r="Y288" s="14"/>
      <c r="Z288" s="14"/>
      <c r="AA288" s="14"/>
      <c r="AB288" s="14"/>
      <c r="AC288" s="14"/>
      <c r="AD288" s="12"/>
      <c r="AE288" s="12"/>
      <c r="AF288" s="12"/>
      <c r="AG288" s="78">
        <v>45498.0</v>
      </c>
      <c r="AH288" s="12"/>
      <c r="AI288" s="12"/>
      <c r="AJ288" s="12"/>
      <c r="AK288" s="11" t="s">
        <v>45</v>
      </c>
      <c r="AL288" s="12"/>
      <c r="AM288" s="12"/>
      <c r="AN288" s="11"/>
      <c r="AO288" s="140"/>
      <c r="AP288" s="140"/>
    </row>
    <row r="289">
      <c r="A289" s="11" t="s">
        <v>36</v>
      </c>
      <c r="B289" s="9">
        <v>45496.712776053246</v>
      </c>
      <c r="C289" s="10" t="s">
        <v>794</v>
      </c>
      <c r="D289" s="11" t="s">
        <v>105</v>
      </c>
      <c r="E289" s="11" t="s">
        <v>795</v>
      </c>
      <c r="F289" s="11" t="s">
        <v>65</v>
      </c>
      <c r="G289" s="11" t="s">
        <v>54</v>
      </c>
      <c r="H289" s="11" t="s">
        <v>625</v>
      </c>
      <c r="I289" s="71">
        <v>93.0</v>
      </c>
      <c r="J289" s="11" t="s">
        <v>184</v>
      </c>
      <c r="K289" s="24" t="s">
        <v>796</v>
      </c>
      <c r="L289" s="11" t="s">
        <v>797</v>
      </c>
      <c r="M289" s="11" t="s">
        <v>71</v>
      </c>
      <c r="N289" s="11" t="s">
        <v>96</v>
      </c>
      <c r="O289" s="11" t="s">
        <v>798</v>
      </c>
      <c r="P289" s="14"/>
      <c r="Q289" s="14"/>
      <c r="R289" s="14"/>
      <c r="S289" s="14"/>
      <c r="T289" s="14"/>
      <c r="U289" s="14"/>
      <c r="V289" s="14"/>
      <c r="W289" s="14"/>
      <c r="X289" s="14"/>
      <c r="Y289" s="14"/>
      <c r="Z289" s="14"/>
      <c r="AA289" s="14"/>
      <c r="AB289" s="14"/>
      <c r="AC289" s="14"/>
      <c r="AD289" s="12"/>
      <c r="AE289" s="12"/>
      <c r="AF289" s="12"/>
      <c r="AG289" s="78">
        <v>45498.0</v>
      </c>
      <c r="AH289" s="12"/>
      <c r="AI289" s="12"/>
      <c r="AJ289" s="12"/>
      <c r="AK289" s="11" t="s">
        <v>799</v>
      </c>
      <c r="AL289" s="12"/>
      <c r="AM289" s="12"/>
      <c r="AN289" s="11"/>
      <c r="AO289" s="140"/>
      <c r="AP289" s="140"/>
    </row>
    <row r="290">
      <c r="A290" s="11" t="s">
        <v>36</v>
      </c>
      <c r="B290" s="9">
        <v>45497.38946795139</v>
      </c>
      <c r="C290" s="10" t="s">
        <v>760</v>
      </c>
      <c r="D290" s="11" t="s">
        <v>800</v>
      </c>
      <c r="E290" s="11" t="s">
        <v>800</v>
      </c>
      <c r="F290" s="11" t="s">
        <v>800</v>
      </c>
      <c r="G290" s="11" t="s">
        <v>800</v>
      </c>
      <c r="H290" s="11" t="s">
        <v>625</v>
      </c>
      <c r="I290" s="71">
        <v>21625.0</v>
      </c>
      <c r="J290" s="11" t="s">
        <v>762</v>
      </c>
      <c r="K290" s="28" t="s">
        <v>801</v>
      </c>
      <c r="L290" s="24" t="s">
        <v>802</v>
      </c>
      <c r="M290" s="11" t="s">
        <v>71</v>
      </c>
      <c r="N290" s="11" t="s">
        <v>96</v>
      </c>
      <c r="O290" s="11" t="s">
        <v>803</v>
      </c>
      <c r="P290" s="14"/>
      <c r="Q290" s="14"/>
      <c r="R290" s="14"/>
      <c r="S290" s="14"/>
      <c r="T290" s="14"/>
      <c r="U290" s="14"/>
      <c r="V290" s="14"/>
      <c r="W290" s="14"/>
      <c r="X290" s="14"/>
      <c r="Y290" s="14"/>
      <c r="Z290" s="14"/>
      <c r="AA290" s="14"/>
      <c r="AB290" s="14"/>
      <c r="AC290" s="14"/>
      <c r="AD290" s="12"/>
      <c r="AE290" s="12"/>
      <c r="AF290" s="12"/>
      <c r="AG290" s="78">
        <v>45498.0</v>
      </c>
      <c r="AH290" s="12"/>
      <c r="AI290" s="12"/>
      <c r="AJ290" s="12"/>
      <c r="AK290" s="11" t="s">
        <v>45</v>
      </c>
      <c r="AL290" s="12"/>
      <c r="AM290" s="12"/>
      <c r="AN290" s="11"/>
      <c r="AO290" s="140"/>
      <c r="AP290" s="140"/>
    </row>
    <row r="291">
      <c r="A291" s="11" t="s">
        <v>36</v>
      </c>
      <c r="B291" s="9">
        <v>45497.46338707176</v>
      </c>
      <c r="C291" s="10" t="s">
        <v>123</v>
      </c>
      <c r="D291" s="11" t="s">
        <v>315</v>
      </c>
      <c r="E291" s="11" t="s">
        <v>52</v>
      </c>
      <c r="F291" s="11" t="s">
        <v>40</v>
      </c>
      <c r="G291" s="11" t="s">
        <v>54</v>
      </c>
      <c r="H291" s="11" t="s">
        <v>625</v>
      </c>
      <c r="I291" s="11">
        <v>24.99</v>
      </c>
      <c r="J291" s="11" t="s">
        <v>118</v>
      </c>
      <c r="K291" s="12"/>
      <c r="L291" s="24" t="s">
        <v>804</v>
      </c>
      <c r="M291" s="11" t="s">
        <v>71</v>
      </c>
      <c r="N291" s="11" t="s">
        <v>68</v>
      </c>
      <c r="O291" s="11" t="s">
        <v>805</v>
      </c>
      <c r="P291" s="14"/>
      <c r="Q291" s="14"/>
      <c r="R291" s="14"/>
      <c r="S291" s="14"/>
      <c r="T291" s="14"/>
      <c r="U291" s="14"/>
      <c r="V291" s="14"/>
      <c r="W291" s="14"/>
      <c r="X291" s="14"/>
      <c r="Y291" s="14"/>
      <c r="Z291" s="14"/>
      <c r="AA291" s="14"/>
      <c r="AB291" s="14"/>
      <c r="AC291" s="14"/>
      <c r="AD291" s="12"/>
      <c r="AE291" s="12"/>
      <c r="AF291" s="12"/>
      <c r="AG291" s="78">
        <v>45498.0</v>
      </c>
      <c r="AH291" s="12"/>
      <c r="AI291" s="12"/>
      <c r="AJ291" s="12"/>
      <c r="AK291" s="11" t="s">
        <v>45</v>
      </c>
      <c r="AL291" s="12"/>
      <c r="AM291" s="12"/>
      <c r="AN291" s="11"/>
      <c r="AO291" s="140"/>
      <c r="AP291" s="140"/>
    </row>
    <row r="292">
      <c r="A292" s="11" t="s">
        <v>36</v>
      </c>
      <c r="B292" s="9">
        <v>45497.6870475926</v>
      </c>
      <c r="C292" s="10" t="s">
        <v>636</v>
      </c>
      <c r="D292" s="11" t="s">
        <v>109</v>
      </c>
      <c r="E292" s="11" t="s">
        <v>52</v>
      </c>
      <c r="F292" s="11" t="s">
        <v>65</v>
      </c>
      <c r="G292" s="11" t="s">
        <v>54</v>
      </c>
      <c r="H292" s="11" t="s">
        <v>625</v>
      </c>
      <c r="I292" s="11" t="s">
        <v>806</v>
      </c>
      <c r="J292" s="11" t="s">
        <v>226</v>
      </c>
      <c r="K292" s="12"/>
      <c r="L292" s="24" t="s">
        <v>807</v>
      </c>
      <c r="M292" s="11" t="s">
        <v>71</v>
      </c>
      <c r="N292" s="11" t="s">
        <v>96</v>
      </c>
      <c r="O292" s="11" t="s">
        <v>808</v>
      </c>
      <c r="P292" s="14"/>
      <c r="Q292" s="14"/>
      <c r="R292" s="14"/>
      <c r="S292" s="14"/>
      <c r="T292" s="14"/>
      <c r="U292" s="14"/>
      <c r="V292" s="14"/>
      <c r="W292" s="14"/>
      <c r="X292" s="14"/>
      <c r="Y292" s="14"/>
      <c r="Z292" s="14"/>
      <c r="AA292" s="14"/>
      <c r="AB292" s="14"/>
      <c r="AC292" s="14"/>
      <c r="AD292" s="12"/>
      <c r="AE292" s="12"/>
      <c r="AF292" s="12"/>
      <c r="AG292" s="78">
        <v>45498.0</v>
      </c>
      <c r="AH292" s="12"/>
      <c r="AI292" s="12"/>
      <c r="AJ292" s="12"/>
      <c r="AK292" s="11" t="s">
        <v>45</v>
      </c>
      <c r="AL292" s="12"/>
      <c r="AM292" s="12"/>
      <c r="AN292" s="11"/>
      <c r="AO292" s="140"/>
      <c r="AP292" s="140"/>
    </row>
    <row r="293">
      <c r="A293" s="11" t="s">
        <v>36</v>
      </c>
      <c r="B293" s="9">
        <v>45498.415648333335</v>
      </c>
      <c r="C293" s="10" t="s">
        <v>193</v>
      </c>
      <c r="D293" s="11" t="s">
        <v>800</v>
      </c>
      <c r="E293" s="11" t="s">
        <v>800</v>
      </c>
      <c r="F293" s="11" t="s">
        <v>800</v>
      </c>
      <c r="G293" s="11" t="s">
        <v>800</v>
      </c>
      <c r="H293" s="11" t="s">
        <v>625</v>
      </c>
      <c r="I293" s="11" t="s">
        <v>809</v>
      </c>
      <c r="J293" s="11" t="s">
        <v>810</v>
      </c>
      <c r="K293" s="28" t="s">
        <v>811</v>
      </c>
      <c r="L293" s="24" t="s">
        <v>812</v>
      </c>
      <c r="M293" s="11" t="s">
        <v>71</v>
      </c>
      <c r="N293" s="11" t="s">
        <v>68</v>
      </c>
      <c r="O293" s="11" t="s">
        <v>813</v>
      </c>
      <c r="P293" s="14"/>
      <c r="Q293" s="14"/>
      <c r="R293" s="14"/>
      <c r="S293" s="14"/>
      <c r="T293" s="14"/>
      <c r="U293" s="14"/>
      <c r="V293" s="14"/>
      <c r="W293" s="14"/>
      <c r="X293" s="14"/>
      <c r="Y293" s="14"/>
      <c r="Z293" s="14"/>
      <c r="AA293" s="14"/>
      <c r="AB293" s="14"/>
      <c r="AC293" s="14"/>
      <c r="AD293" s="12"/>
      <c r="AE293" s="12"/>
      <c r="AF293" s="12"/>
      <c r="AG293" s="78">
        <v>45498.0</v>
      </c>
      <c r="AH293" s="12"/>
      <c r="AI293" s="12"/>
      <c r="AJ293" s="12"/>
      <c r="AK293" s="11" t="s">
        <v>45</v>
      </c>
      <c r="AL293" s="12"/>
      <c r="AM293" s="12"/>
      <c r="AN293" s="11"/>
      <c r="AO293" s="140"/>
      <c r="AP293" s="140"/>
    </row>
    <row r="294">
      <c r="A294" s="11" t="s">
        <v>36</v>
      </c>
      <c r="B294" s="9">
        <v>45498.51351924769</v>
      </c>
      <c r="C294" s="10" t="s">
        <v>794</v>
      </c>
      <c r="D294" s="11" t="s">
        <v>317</v>
      </c>
      <c r="E294" s="11" t="s">
        <v>795</v>
      </c>
      <c r="F294" s="11" t="s">
        <v>65</v>
      </c>
      <c r="G294" s="11" t="s">
        <v>54</v>
      </c>
      <c r="H294" s="11" t="s">
        <v>625</v>
      </c>
      <c r="I294" s="71">
        <v>299.0</v>
      </c>
      <c r="J294" s="11" t="s">
        <v>184</v>
      </c>
      <c r="K294" s="24" t="s">
        <v>814</v>
      </c>
      <c r="L294" s="11" t="s">
        <v>815</v>
      </c>
      <c r="M294" s="11" t="s">
        <v>71</v>
      </c>
      <c r="N294" s="11" t="s">
        <v>96</v>
      </c>
      <c r="O294" s="11" t="s">
        <v>816</v>
      </c>
      <c r="P294" s="14"/>
      <c r="Q294" s="14"/>
      <c r="R294" s="14"/>
      <c r="S294" s="14"/>
      <c r="T294" s="14"/>
      <c r="U294" s="14"/>
      <c r="V294" s="14"/>
      <c r="W294" s="14"/>
      <c r="X294" s="14"/>
      <c r="Y294" s="14"/>
      <c r="Z294" s="14"/>
      <c r="AA294" s="14"/>
      <c r="AB294" s="14"/>
      <c r="AC294" s="14"/>
      <c r="AD294" s="12"/>
      <c r="AE294" s="12"/>
      <c r="AF294" s="12"/>
      <c r="AG294" s="78">
        <v>45499.0</v>
      </c>
      <c r="AH294" s="12"/>
      <c r="AI294" s="12"/>
      <c r="AJ294" s="12"/>
      <c r="AK294" s="11" t="s">
        <v>817</v>
      </c>
      <c r="AL294" s="12"/>
      <c r="AM294" s="12"/>
      <c r="AN294" s="11"/>
      <c r="AO294" s="140"/>
      <c r="AP294" s="140"/>
    </row>
    <row r="295">
      <c r="A295" s="11" t="s">
        <v>36</v>
      </c>
      <c r="B295" s="9">
        <v>45498.56013921296</v>
      </c>
      <c r="C295" s="10" t="s">
        <v>305</v>
      </c>
      <c r="D295" s="11" t="s">
        <v>51</v>
      </c>
      <c r="E295" s="11" t="s">
        <v>52</v>
      </c>
      <c r="F295" s="11" t="s">
        <v>65</v>
      </c>
      <c r="G295" s="11" t="s">
        <v>131</v>
      </c>
      <c r="H295" s="11" t="s">
        <v>625</v>
      </c>
      <c r="I295" s="71">
        <v>1295.0</v>
      </c>
      <c r="J295" s="11" t="s">
        <v>818</v>
      </c>
      <c r="K295" s="24" t="s">
        <v>819</v>
      </c>
      <c r="L295" s="143" t="s">
        <v>820</v>
      </c>
      <c r="M295" s="11" t="s">
        <v>71</v>
      </c>
      <c r="N295" s="11" t="s">
        <v>96</v>
      </c>
      <c r="O295" s="11" t="s">
        <v>821</v>
      </c>
      <c r="P295" s="14"/>
      <c r="Q295" s="14"/>
      <c r="R295" s="14"/>
      <c r="S295" s="14"/>
      <c r="T295" s="14"/>
      <c r="U295" s="14"/>
      <c r="V295" s="14"/>
      <c r="W295" s="14"/>
      <c r="X295" s="14"/>
      <c r="Y295" s="14"/>
      <c r="Z295" s="14"/>
      <c r="AA295" s="14"/>
      <c r="AB295" s="14"/>
      <c r="AC295" s="14"/>
      <c r="AD295" s="12"/>
      <c r="AE295" s="12"/>
      <c r="AF295" s="12"/>
      <c r="AG295" s="78">
        <v>45499.0</v>
      </c>
      <c r="AH295" s="12"/>
      <c r="AI295" s="12"/>
      <c r="AJ295" s="12"/>
      <c r="AK295" s="11" t="s">
        <v>817</v>
      </c>
      <c r="AL295" s="12"/>
      <c r="AM295" s="12"/>
      <c r="AN295" s="11"/>
      <c r="AO295" s="8" t="b">
        <v>1</v>
      </c>
      <c r="AP295" s="8"/>
    </row>
    <row r="296">
      <c r="A296" s="11" t="s">
        <v>36</v>
      </c>
      <c r="B296" s="9">
        <v>45498.61444774306</v>
      </c>
      <c r="C296" s="10" t="s">
        <v>94</v>
      </c>
      <c r="D296" s="11" t="s">
        <v>51</v>
      </c>
      <c r="E296" s="11" t="s">
        <v>52</v>
      </c>
      <c r="F296" s="11" t="s">
        <v>65</v>
      </c>
      <c r="G296" s="11" t="s">
        <v>54</v>
      </c>
      <c r="H296" s="11" t="s">
        <v>625</v>
      </c>
      <c r="I296" s="71">
        <v>274.0</v>
      </c>
      <c r="J296" s="11" t="s">
        <v>128</v>
      </c>
      <c r="K296" s="12"/>
      <c r="L296" s="24" t="s">
        <v>822</v>
      </c>
      <c r="M296" s="11" t="s">
        <v>71</v>
      </c>
      <c r="N296" s="11" t="s">
        <v>96</v>
      </c>
      <c r="O296" s="11" t="s">
        <v>823</v>
      </c>
      <c r="P296" s="14"/>
      <c r="Q296" s="14"/>
      <c r="R296" s="14"/>
      <c r="S296" s="14"/>
      <c r="T296" s="14"/>
      <c r="U296" s="14"/>
      <c r="V296" s="14"/>
      <c r="W296" s="14"/>
      <c r="X296" s="14"/>
      <c r="Y296" s="14"/>
      <c r="Z296" s="14"/>
      <c r="AA296" s="14"/>
      <c r="AB296" s="14"/>
      <c r="AC296" s="14"/>
      <c r="AD296" s="12"/>
      <c r="AE296" s="12"/>
      <c r="AF296" s="12"/>
      <c r="AG296" s="78">
        <v>45499.0</v>
      </c>
      <c r="AH296" s="12"/>
      <c r="AI296" s="12"/>
      <c r="AJ296" s="12"/>
      <c r="AK296" s="11" t="s">
        <v>688</v>
      </c>
      <c r="AL296" s="12"/>
      <c r="AM296" s="12"/>
      <c r="AN296" s="11"/>
      <c r="AO296" s="8" t="b">
        <v>1</v>
      </c>
      <c r="AP296" s="8"/>
    </row>
    <row r="297">
      <c r="A297" s="11" t="s">
        <v>36</v>
      </c>
      <c r="B297" s="9">
        <v>45498.619963854166</v>
      </c>
      <c r="C297" s="10" t="s">
        <v>675</v>
      </c>
      <c r="D297" s="11" t="s">
        <v>109</v>
      </c>
      <c r="E297" s="11" t="s">
        <v>52</v>
      </c>
      <c r="F297" s="11" t="s">
        <v>65</v>
      </c>
      <c r="G297" s="11" t="s">
        <v>54</v>
      </c>
      <c r="H297" s="11" t="s">
        <v>625</v>
      </c>
      <c r="I297" s="11">
        <v>820.0</v>
      </c>
      <c r="J297" s="11" t="s">
        <v>226</v>
      </c>
      <c r="K297" s="12"/>
      <c r="L297" s="24" t="s">
        <v>824</v>
      </c>
      <c r="M297" s="11" t="s">
        <v>71</v>
      </c>
      <c r="N297" s="11" t="s">
        <v>96</v>
      </c>
      <c r="O297" s="11" t="s">
        <v>825</v>
      </c>
      <c r="P297" s="14"/>
      <c r="Q297" s="14"/>
      <c r="R297" s="14"/>
      <c r="S297" s="14"/>
      <c r="T297" s="14"/>
      <c r="U297" s="14"/>
      <c r="V297" s="14"/>
      <c r="W297" s="14"/>
      <c r="X297" s="14"/>
      <c r="Y297" s="14"/>
      <c r="Z297" s="14"/>
      <c r="AA297" s="14"/>
      <c r="AB297" s="14"/>
      <c r="AC297" s="14"/>
      <c r="AD297" s="12"/>
      <c r="AE297" s="12"/>
      <c r="AF297" s="12"/>
      <c r="AG297" s="78">
        <v>45499.0</v>
      </c>
      <c r="AH297" s="12"/>
      <c r="AI297" s="12"/>
      <c r="AJ297" s="12"/>
      <c r="AK297" s="11" t="s">
        <v>817</v>
      </c>
      <c r="AL297" s="12"/>
      <c r="AM297" s="12"/>
      <c r="AN297" s="11"/>
      <c r="AO297" s="140"/>
      <c r="AP297" s="140"/>
    </row>
    <row r="298">
      <c r="A298" s="11" t="s">
        <v>36</v>
      </c>
      <c r="B298" s="9">
        <v>45502.621026469904</v>
      </c>
      <c r="C298" s="10" t="s">
        <v>826</v>
      </c>
      <c r="D298" s="11" t="s">
        <v>827</v>
      </c>
      <c r="E298" s="11" t="s">
        <v>52</v>
      </c>
      <c r="F298" s="11" t="s">
        <v>65</v>
      </c>
      <c r="G298" s="11" t="s">
        <v>54</v>
      </c>
      <c r="H298" s="11" t="s">
        <v>625</v>
      </c>
      <c r="I298" s="11" t="s">
        <v>828</v>
      </c>
      <c r="J298" s="11" t="s">
        <v>336</v>
      </c>
      <c r="K298" s="24" t="s">
        <v>829</v>
      </c>
      <c r="L298" s="11" t="s">
        <v>830</v>
      </c>
      <c r="M298" s="11" t="s">
        <v>71</v>
      </c>
      <c r="N298" s="11" t="s">
        <v>68</v>
      </c>
      <c r="O298" s="11" t="s">
        <v>831</v>
      </c>
      <c r="P298" s="14"/>
      <c r="Q298" s="14"/>
      <c r="R298" s="14"/>
      <c r="S298" s="14"/>
      <c r="T298" s="14"/>
      <c r="U298" s="14"/>
      <c r="V298" s="14"/>
      <c r="W298" s="14"/>
      <c r="X298" s="14"/>
      <c r="Y298" s="14"/>
      <c r="Z298" s="14"/>
      <c r="AA298" s="14"/>
      <c r="AB298" s="14"/>
      <c r="AC298" s="14"/>
      <c r="AD298" s="12"/>
      <c r="AE298" s="12"/>
      <c r="AF298" s="12"/>
      <c r="AG298" s="78">
        <v>45504.0</v>
      </c>
      <c r="AH298" s="12"/>
      <c r="AI298" s="12"/>
      <c r="AJ298" s="12"/>
      <c r="AK298" s="11" t="s">
        <v>45</v>
      </c>
      <c r="AL298" s="12"/>
      <c r="AM298" s="12"/>
      <c r="AN298" s="11"/>
      <c r="AO298" s="8" t="b">
        <v>1</v>
      </c>
      <c r="AP298" s="8"/>
    </row>
    <row r="299">
      <c r="A299" s="11" t="s">
        <v>36</v>
      </c>
      <c r="B299" s="9">
        <v>45503.32956241898</v>
      </c>
      <c r="C299" s="10" t="s">
        <v>697</v>
      </c>
      <c r="D299" s="11" t="s">
        <v>832</v>
      </c>
      <c r="E299" s="11" t="s">
        <v>138</v>
      </c>
      <c r="F299" s="11" t="s">
        <v>65</v>
      </c>
      <c r="G299" s="11" t="s">
        <v>54</v>
      </c>
      <c r="H299" s="11" t="s">
        <v>833</v>
      </c>
      <c r="I299" s="71">
        <v>1350.0</v>
      </c>
      <c r="J299" s="11" t="s">
        <v>418</v>
      </c>
      <c r="K299" s="12"/>
      <c r="L299" s="24" t="s">
        <v>834</v>
      </c>
      <c r="M299" s="11" t="s">
        <v>71</v>
      </c>
      <c r="N299" s="11" t="s">
        <v>96</v>
      </c>
      <c r="O299" s="11" t="s">
        <v>835</v>
      </c>
      <c r="P299" s="14"/>
      <c r="Q299" s="14"/>
      <c r="R299" s="14"/>
      <c r="S299" s="14"/>
      <c r="T299" s="14"/>
      <c r="U299" s="14"/>
      <c r="V299" s="14"/>
      <c r="W299" s="14"/>
      <c r="X299" s="14"/>
      <c r="Y299" s="14"/>
      <c r="Z299" s="14"/>
      <c r="AA299" s="14"/>
      <c r="AB299" s="14"/>
      <c r="AC299" s="14"/>
      <c r="AD299" s="12"/>
      <c r="AE299" s="12"/>
      <c r="AF299" s="12"/>
      <c r="AG299" s="78">
        <v>45504.0</v>
      </c>
      <c r="AH299" s="12"/>
      <c r="AI299" s="12"/>
      <c r="AJ299" s="12"/>
      <c r="AK299" s="11" t="s">
        <v>45</v>
      </c>
      <c r="AL299" s="12"/>
      <c r="AM299" s="12"/>
      <c r="AN299" s="11"/>
      <c r="AO299" s="140"/>
      <c r="AP299" s="140"/>
    </row>
    <row r="300">
      <c r="A300" s="11" t="s">
        <v>36</v>
      </c>
      <c r="B300" s="9">
        <v>45503.560807754635</v>
      </c>
      <c r="C300" s="10" t="s">
        <v>836</v>
      </c>
      <c r="D300" s="11" t="s">
        <v>202</v>
      </c>
      <c r="E300" s="11" t="s">
        <v>52</v>
      </c>
      <c r="F300" s="11" t="s">
        <v>65</v>
      </c>
      <c r="G300" s="11" t="s">
        <v>54</v>
      </c>
      <c r="H300" s="11" t="s">
        <v>625</v>
      </c>
      <c r="I300" s="11" t="s">
        <v>837</v>
      </c>
      <c r="J300" s="11" t="s">
        <v>121</v>
      </c>
      <c r="K300" s="12"/>
      <c r="L300" s="11" t="s">
        <v>838</v>
      </c>
      <c r="M300" s="11" t="s">
        <v>71</v>
      </c>
      <c r="N300" s="11" t="s">
        <v>68</v>
      </c>
      <c r="O300" s="11" t="s">
        <v>839</v>
      </c>
      <c r="P300" s="14"/>
      <c r="Q300" s="14"/>
      <c r="R300" s="14"/>
      <c r="S300" s="14"/>
      <c r="T300" s="14"/>
      <c r="U300" s="14"/>
      <c r="V300" s="14"/>
      <c r="W300" s="14"/>
      <c r="X300" s="14"/>
      <c r="Y300" s="14"/>
      <c r="Z300" s="14"/>
      <c r="AA300" s="14"/>
      <c r="AB300" s="14"/>
      <c r="AC300" s="14"/>
      <c r="AD300" s="12"/>
      <c r="AE300" s="12"/>
      <c r="AF300" s="12"/>
      <c r="AG300" s="78">
        <v>45504.0</v>
      </c>
      <c r="AH300" s="12"/>
      <c r="AI300" s="12"/>
      <c r="AJ300" s="12"/>
      <c r="AK300" s="11" t="s">
        <v>45</v>
      </c>
      <c r="AL300" s="12"/>
      <c r="AM300" s="12"/>
      <c r="AN300" s="11"/>
      <c r="AO300" s="140" t="b">
        <v>0</v>
      </c>
      <c r="AP300" s="140"/>
    </row>
    <row r="301">
      <c r="A301" s="11" t="s">
        <v>36</v>
      </c>
      <c r="B301" s="9">
        <v>45504.3872104051</v>
      </c>
      <c r="C301" s="10" t="s">
        <v>150</v>
      </c>
      <c r="D301" s="11" t="s">
        <v>51</v>
      </c>
      <c r="E301" s="11" t="s">
        <v>52</v>
      </c>
      <c r="F301" s="11" t="s">
        <v>65</v>
      </c>
      <c r="G301" s="11" t="s">
        <v>54</v>
      </c>
      <c r="H301" s="11" t="s">
        <v>625</v>
      </c>
      <c r="I301" s="71">
        <v>65.0</v>
      </c>
      <c r="J301" s="11" t="s">
        <v>100</v>
      </c>
      <c r="K301" s="24" t="s">
        <v>840</v>
      </c>
      <c r="L301" s="11" t="s">
        <v>841</v>
      </c>
      <c r="M301" s="11" t="s">
        <v>71</v>
      </c>
      <c r="N301" s="11" t="s">
        <v>96</v>
      </c>
      <c r="O301" s="11" t="s">
        <v>842</v>
      </c>
      <c r="P301" s="14"/>
      <c r="Q301" s="14"/>
      <c r="R301" s="14"/>
      <c r="S301" s="14"/>
      <c r="T301" s="14"/>
      <c r="U301" s="14"/>
      <c r="V301" s="14"/>
      <c r="W301" s="14"/>
      <c r="X301" s="14"/>
      <c r="Y301" s="14"/>
      <c r="Z301" s="14"/>
      <c r="AA301" s="14"/>
      <c r="AB301" s="14"/>
      <c r="AC301" s="14"/>
      <c r="AD301" s="12"/>
      <c r="AE301" s="12"/>
      <c r="AF301" s="12"/>
      <c r="AG301" s="78">
        <v>45504.0</v>
      </c>
      <c r="AH301" s="12"/>
      <c r="AI301" s="12"/>
      <c r="AJ301" s="12"/>
      <c r="AK301" s="11" t="s">
        <v>45</v>
      </c>
      <c r="AL301" s="12"/>
      <c r="AM301" s="12"/>
      <c r="AN301" s="11"/>
      <c r="AO301" s="140"/>
      <c r="AP301" s="140"/>
    </row>
    <row r="302">
      <c r="A302" s="11" t="s">
        <v>36</v>
      </c>
      <c r="B302" s="9">
        <v>45504.393449201394</v>
      </c>
      <c r="C302" s="10" t="s">
        <v>284</v>
      </c>
      <c r="D302" s="11" t="s">
        <v>800</v>
      </c>
      <c r="E302" s="11" t="s">
        <v>800</v>
      </c>
      <c r="F302" s="11" t="s">
        <v>800</v>
      </c>
      <c r="G302" s="11" t="s">
        <v>800</v>
      </c>
      <c r="H302" s="11" t="s">
        <v>625</v>
      </c>
      <c r="I302" s="71">
        <v>4000.0</v>
      </c>
      <c r="J302" s="11" t="s">
        <v>102</v>
      </c>
      <c r="K302" s="12"/>
      <c r="L302" s="11" t="s">
        <v>843</v>
      </c>
      <c r="M302" s="11" t="s">
        <v>71</v>
      </c>
      <c r="N302" s="11" t="s">
        <v>96</v>
      </c>
      <c r="O302" s="11" t="s">
        <v>844</v>
      </c>
      <c r="P302" s="14"/>
      <c r="Q302" s="14"/>
      <c r="R302" s="14"/>
      <c r="S302" s="14"/>
      <c r="T302" s="14"/>
      <c r="U302" s="14"/>
      <c r="V302" s="14"/>
      <c r="W302" s="14"/>
      <c r="X302" s="14"/>
      <c r="Y302" s="14"/>
      <c r="Z302" s="14"/>
      <c r="AA302" s="14"/>
      <c r="AB302" s="14"/>
      <c r="AC302" s="14"/>
      <c r="AD302" s="12"/>
      <c r="AE302" s="12"/>
      <c r="AF302" s="12"/>
      <c r="AG302" s="78">
        <v>45504.0</v>
      </c>
      <c r="AH302" s="12"/>
      <c r="AI302" s="12"/>
      <c r="AJ302" s="12"/>
      <c r="AK302" s="11" t="s">
        <v>45</v>
      </c>
      <c r="AL302" s="12"/>
      <c r="AM302" s="12"/>
      <c r="AN302" s="11"/>
      <c r="AO302" s="140"/>
      <c r="AP302" s="140"/>
    </row>
    <row r="303">
      <c r="A303" s="11" t="s">
        <v>36</v>
      </c>
      <c r="B303" s="9">
        <v>45505.381005347226</v>
      </c>
      <c r="C303" s="10" t="s">
        <v>780</v>
      </c>
      <c r="D303" s="11" t="s">
        <v>202</v>
      </c>
      <c r="E303" s="11" t="s">
        <v>52</v>
      </c>
      <c r="F303" s="11" t="s">
        <v>65</v>
      </c>
      <c r="G303" s="11" t="s">
        <v>54</v>
      </c>
      <c r="H303" s="11" t="s">
        <v>625</v>
      </c>
      <c r="I303" s="71">
        <v>65.0</v>
      </c>
      <c r="J303" s="11" t="s">
        <v>82</v>
      </c>
      <c r="K303" s="28" t="s">
        <v>845</v>
      </c>
      <c r="L303" s="11" t="s">
        <v>846</v>
      </c>
      <c r="M303" s="11" t="s">
        <v>71</v>
      </c>
      <c r="N303" s="11" t="s">
        <v>96</v>
      </c>
      <c r="O303" s="11" t="s">
        <v>847</v>
      </c>
      <c r="P303" s="14"/>
      <c r="Q303" s="14"/>
      <c r="R303" s="14"/>
      <c r="S303" s="14"/>
      <c r="T303" s="14"/>
      <c r="U303" s="14"/>
      <c r="V303" s="14"/>
      <c r="W303" s="14"/>
      <c r="X303" s="14"/>
      <c r="Y303" s="14"/>
      <c r="Z303" s="14"/>
      <c r="AA303" s="14"/>
      <c r="AB303" s="14"/>
      <c r="AC303" s="14"/>
      <c r="AD303" s="12"/>
      <c r="AE303" s="12"/>
      <c r="AF303" s="12"/>
      <c r="AG303" s="78">
        <v>45509.0</v>
      </c>
      <c r="AH303" s="12"/>
      <c r="AI303" s="12"/>
      <c r="AJ303" s="12"/>
      <c r="AK303" s="11" t="s">
        <v>45</v>
      </c>
      <c r="AL303" s="12"/>
      <c r="AM303" s="12"/>
      <c r="AN303" s="11"/>
      <c r="AO303" s="140"/>
      <c r="AP303" s="140"/>
    </row>
    <row r="304">
      <c r="A304" s="11" t="s">
        <v>36</v>
      </c>
      <c r="B304" s="9">
        <v>45505.55298194445</v>
      </c>
      <c r="C304" s="10" t="s">
        <v>624</v>
      </c>
      <c r="D304" s="11" t="s">
        <v>51</v>
      </c>
      <c r="E304" s="11" t="s">
        <v>52</v>
      </c>
      <c r="F304" s="11" t="s">
        <v>65</v>
      </c>
      <c r="G304" s="11" t="s">
        <v>54</v>
      </c>
      <c r="H304" s="11" t="s">
        <v>625</v>
      </c>
      <c r="I304" s="11" t="s">
        <v>848</v>
      </c>
      <c r="J304" s="11" t="s">
        <v>626</v>
      </c>
      <c r="K304" s="12"/>
      <c r="L304" s="24" t="s">
        <v>849</v>
      </c>
      <c r="M304" s="11" t="s">
        <v>71</v>
      </c>
      <c r="N304" s="11" t="s">
        <v>68</v>
      </c>
      <c r="O304" s="11" t="s">
        <v>850</v>
      </c>
      <c r="P304" s="14"/>
      <c r="Q304" s="14"/>
      <c r="R304" s="14"/>
      <c r="S304" s="14"/>
      <c r="T304" s="14"/>
      <c r="U304" s="14"/>
      <c r="V304" s="14"/>
      <c r="W304" s="14"/>
      <c r="X304" s="14"/>
      <c r="Y304" s="14"/>
      <c r="Z304" s="14"/>
      <c r="AA304" s="14"/>
      <c r="AB304" s="14"/>
      <c r="AC304" s="14"/>
      <c r="AD304" s="12"/>
      <c r="AE304" s="12"/>
      <c r="AF304" s="12"/>
      <c r="AG304" s="25">
        <v>45509.0</v>
      </c>
      <c r="AH304" s="12"/>
      <c r="AI304" s="12"/>
      <c r="AJ304" s="12"/>
      <c r="AK304" s="11" t="s">
        <v>851</v>
      </c>
      <c r="AL304" s="12"/>
      <c r="AM304" s="12"/>
      <c r="AN304" s="11"/>
      <c r="AO304" s="140"/>
      <c r="AP304" s="140"/>
    </row>
    <row r="305">
      <c r="A305" s="11" t="s">
        <v>36</v>
      </c>
      <c r="B305" s="9">
        <v>45506.36786208334</v>
      </c>
      <c r="C305" s="10" t="s">
        <v>852</v>
      </c>
      <c r="D305" s="11" t="s">
        <v>317</v>
      </c>
      <c r="E305" s="11" t="s">
        <v>52</v>
      </c>
      <c r="F305" s="11" t="s">
        <v>65</v>
      </c>
      <c r="G305" s="11" t="s">
        <v>131</v>
      </c>
      <c r="H305" s="11" t="s">
        <v>625</v>
      </c>
      <c r="I305" s="77">
        <v>234.0</v>
      </c>
      <c r="J305" s="11" t="s">
        <v>853</v>
      </c>
      <c r="K305" s="12"/>
      <c r="L305" s="11" t="s">
        <v>854</v>
      </c>
      <c r="M305" s="11" t="s">
        <v>71</v>
      </c>
      <c r="N305" s="11" t="s">
        <v>96</v>
      </c>
      <c r="O305" s="11" t="s">
        <v>855</v>
      </c>
      <c r="P305" s="14"/>
      <c r="Q305" s="14"/>
      <c r="R305" s="14"/>
      <c r="S305" s="14"/>
      <c r="T305" s="14"/>
      <c r="U305" s="14"/>
      <c r="V305" s="14"/>
      <c r="W305" s="14"/>
      <c r="X305" s="14"/>
      <c r="Y305" s="14"/>
      <c r="Z305" s="14"/>
      <c r="AA305" s="14"/>
      <c r="AB305" s="14"/>
      <c r="AC305" s="14"/>
      <c r="AD305" s="12"/>
      <c r="AE305" s="12"/>
      <c r="AF305" s="12"/>
      <c r="AG305" s="25">
        <v>45509.0</v>
      </c>
      <c r="AH305" s="12"/>
      <c r="AI305" s="12"/>
      <c r="AJ305" s="12"/>
      <c r="AK305" s="11" t="s">
        <v>851</v>
      </c>
      <c r="AL305" s="12"/>
      <c r="AM305" s="12"/>
      <c r="AN305" s="11"/>
      <c r="AO305" s="8" t="b">
        <v>1</v>
      </c>
      <c r="AP305" s="8"/>
    </row>
    <row r="306">
      <c r="A306" s="75" t="s">
        <v>177</v>
      </c>
      <c r="B306" s="73">
        <v>45506.37369202546</v>
      </c>
      <c r="C306" s="74" t="s">
        <v>94</v>
      </c>
      <c r="D306" s="75" t="s">
        <v>51</v>
      </c>
      <c r="E306" s="75" t="s">
        <v>52</v>
      </c>
      <c r="F306" s="75" t="s">
        <v>65</v>
      </c>
      <c r="G306" s="75" t="s">
        <v>54</v>
      </c>
      <c r="H306" s="75" t="s">
        <v>625</v>
      </c>
      <c r="I306" s="75" t="s">
        <v>856</v>
      </c>
      <c r="J306" s="75" t="s">
        <v>73</v>
      </c>
      <c r="K306" s="114"/>
      <c r="L306" s="75" t="s">
        <v>857</v>
      </c>
      <c r="M306" s="75" t="s">
        <v>71</v>
      </c>
      <c r="N306" s="75" t="s">
        <v>96</v>
      </c>
      <c r="O306" s="75" t="s">
        <v>823</v>
      </c>
      <c r="P306" s="129"/>
      <c r="Q306" s="129"/>
      <c r="R306" s="129"/>
      <c r="S306" s="129"/>
      <c r="T306" s="129"/>
      <c r="U306" s="129"/>
      <c r="V306" s="129"/>
      <c r="W306" s="129"/>
      <c r="X306" s="129"/>
      <c r="Y306" s="129"/>
      <c r="Z306" s="129"/>
      <c r="AA306" s="129"/>
      <c r="AB306" s="129"/>
      <c r="AC306" s="129"/>
      <c r="AD306" s="114"/>
      <c r="AE306" s="114"/>
      <c r="AF306" s="114"/>
      <c r="AG306" s="144">
        <v>45509.0</v>
      </c>
      <c r="AH306" s="114"/>
      <c r="AI306" s="114"/>
      <c r="AJ306" s="114"/>
      <c r="AK306" s="75" t="s">
        <v>858</v>
      </c>
      <c r="AL306" s="114"/>
      <c r="AM306" s="114"/>
      <c r="AN306" s="75"/>
      <c r="AO306" s="72" t="b">
        <v>1</v>
      </c>
      <c r="AP306" s="72" t="b">
        <v>0</v>
      </c>
    </row>
    <row r="307">
      <c r="A307" s="11" t="s">
        <v>36</v>
      </c>
      <c r="B307" s="9">
        <v>45506.38108399305</v>
      </c>
      <c r="C307" s="10" t="s">
        <v>251</v>
      </c>
      <c r="D307" s="11" t="s">
        <v>51</v>
      </c>
      <c r="E307" s="11" t="s">
        <v>149</v>
      </c>
      <c r="F307" s="11" t="s">
        <v>80</v>
      </c>
      <c r="G307" s="11" t="s">
        <v>54</v>
      </c>
      <c r="H307" s="11" t="s">
        <v>625</v>
      </c>
      <c r="I307" s="77">
        <v>234.0</v>
      </c>
      <c r="J307" s="11" t="s">
        <v>73</v>
      </c>
      <c r="K307" s="12"/>
      <c r="L307" s="11" t="s">
        <v>859</v>
      </c>
      <c r="M307" s="11" t="s">
        <v>71</v>
      </c>
      <c r="N307" s="11" t="s">
        <v>96</v>
      </c>
      <c r="O307" s="11" t="s">
        <v>860</v>
      </c>
      <c r="P307" s="14"/>
      <c r="Q307" s="14"/>
      <c r="R307" s="14"/>
      <c r="S307" s="14"/>
      <c r="T307" s="14"/>
      <c r="U307" s="14"/>
      <c r="V307" s="14"/>
      <c r="W307" s="14"/>
      <c r="X307" s="14"/>
      <c r="Y307" s="14"/>
      <c r="Z307" s="14"/>
      <c r="AA307" s="14"/>
      <c r="AB307" s="14"/>
      <c r="AC307" s="14"/>
      <c r="AD307" s="12"/>
      <c r="AE307" s="12"/>
      <c r="AF307" s="12"/>
      <c r="AG307" s="25">
        <v>45509.0</v>
      </c>
      <c r="AH307" s="12"/>
      <c r="AI307" s="12"/>
      <c r="AJ307" s="12"/>
      <c r="AK307" s="11" t="s">
        <v>851</v>
      </c>
      <c r="AL307" s="12"/>
      <c r="AM307" s="12"/>
      <c r="AN307" s="11"/>
      <c r="AO307" s="8" t="b">
        <v>1</v>
      </c>
      <c r="AP307" s="8"/>
    </row>
    <row r="308">
      <c r="A308" s="11" t="s">
        <v>36</v>
      </c>
      <c r="B308" s="9">
        <v>45506.38396114583</v>
      </c>
      <c r="C308" s="10" t="s">
        <v>347</v>
      </c>
      <c r="D308" s="11" t="s">
        <v>51</v>
      </c>
      <c r="E308" s="11" t="s">
        <v>138</v>
      </c>
      <c r="F308" s="11" t="s">
        <v>65</v>
      </c>
      <c r="G308" s="11" t="s">
        <v>54</v>
      </c>
      <c r="H308" s="11" t="s">
        <v>625</v>
      </c>
      <c r="I308" s="11" t="s">
        <v>861</v>
      </c>
      <c r="J308" s="11" t="s">
        <v>118</v>
      </c>
      <c r="K308" s="28" t="s">
        <v>862</v>
      </c>
      <c r="L308" s="24" t="s">
        <v>863</v>
      </c>
      <c r="M308" s="11" t="s">
        <v>71</v>
      </c>
      <c r="N308" s="11" t="s">
        <v>68</v>
      </c>
      <c r="O308" s="11" t="s">
        <v>864</v>
      </c>
      <c r="P308" s="14"/>
      <c r="Q308" s="14"/>
      <c r="R308" s="14"/>
      <c r="S308" s="14"/>
      <c r="T308" s="14"/>
      <c r="U308" s="14"/>
      <c r="V308" s="14"/>
      <c r="W308" s="14"/>
      <c r="X308" s="14"/>
      <c r="Y308" s="14"/>
      <c r="Z308" s="14"/>
      <c r="AA308" s="14"/>
      <c r="AB308" s="14"/>
      <c r="AC308" s="14"/>
      <c r="AD308" s="12"/>
      <c r="AE308" s="12"/>
      <c r="AF308" s="12"/>
      <c r="AG308" s="25">
        <v>45509.0</v>
      </c>
      <c r="AH308" s="12"/>
      <c r="AI308" s="12"/>
      <c r="AJ308" s="12"/>
      <c r="AK308" s="11" t="s">
        <v>45</v>
      </c>
      <c r="AL308" s="12"/>
      <c r="AM308" s="12"/>
      <c r="AN308" s="11"/>
      <c r="AO308" s="140"/>
      <c r="AP308" s="140"/>
    </row>
    <row r="309">
      <c r="A309" s="11" t="s">
        <v>36</v>
      </c>
      <c r="B309" s="9">
        <v>45506.38734702546</v>
      </c>
      <c r="C309" s="10" t="s">
        <v>37</v>
      </c>
      <c r="D309" s="11" t="s">
        <v>51</v>
      </c>
      <c r="E309" s="11" t="s">
        <v>52</v>
      </c>
      <c r="F309" s="11" t="s">
        <v>65</v>
      </c>
      <c r="G309" s="11" t="s">
        <v>41</v>
      </c>
      <c r="H309" s="11" t="s">
        <v>625</v>
      </c>
      <c r="I309" s="71">
        <v>234.0</v>
      </c>
      <c r="J309" s="11" t="s">
        <v>128</v>
      </c>
      <c r="K309" s="12"/>
      <c r="L309" s="11" t="s">
        <v>865</v>
      </c>
      <c r="M309" s="11" t="s">
        <v>71</v>
      </c>
      <c r="N309" s="11" t="s">
        <v>68</v>
      </c>
      <c r="O309" s="11" t="s">
        <v>866</v>
      </c>
      <c r="P309" s="14"/>
      <c r="Q309" s="14"/>
      <c r="R309" s="14"/>
      <c r="S309" s="14"/>
      <c r="T309" s="14"/>
      <c r="U309" s="14"/>
      <c r="V309" s="14"/>
      <c r="W309" s="14"/>
      <c r="X309" s="14"/>
      <c r="Y309" s="14"/>
      <c r="Z309" s="14"/>
      <c r="AA309" s="14"/>
      <c r="AB309" s="14"/>
      <c r="AC309" s="14"/>
      <c r="AD309" s="12"/>
      <c r="AE309" s="12"/>
      <c r="AF309" s="12"/>
      <c r="AG309" s="25">
        <v>45509.0</v>
      </c>
      <c r="AH309" s="12"/>
      <c r="AI309" s="12"/>
      <c r="AJ309" s="12"/>
      <c r="AK309" s="11" t="s">
        <v>867</v>
      </c>
      <c r="AL309" s="12"/>
      <c r="AM309" s="12"/>
      <c r="AN309" s="11"/>
      <c r="AO309" s="8" t="b">
        <v>1</v>
      </c>
      <c r="AP309" s="8"/>
    </row>
    <row r="310">
      <c r="A310" s="11" t="s">
        <v>36</v>
      </c>
      <c r="B310" s="9">
        <v>45506.46699061342</v>
      </c>
      <c r="C310" s="10" t="s">
        <v>868</v>
      </c>
      <c r="D310" s="11" t="s">
        <v>51</v>
      </c>
      <c r="E310" s="11" t="s">
        <v>52</v>
      </c>
      <c r="F310" s="11" t="s">
        <v>80</v>
      </c>
      <c r="G310" s="11" t="s">
        <v>54</v>
      </c>
      <c r="H310" s="11" t="s">
        <v>625</v>
      </c>
      <c r="I310" s="11" t="s">
        <v>869</v>
      </c>
      <c r="J310" s="11" t="s">
        <v>538</v>
      </c>
      <c r="K310" s="12"/>
      <c r="L310" s="24" t="s">
        <v>870</v>
      </c>
      <c r="M310" s="11" t="s">
        <v>71</v>
      </c>
      <c r="N310" s="11" t="s">
        <v>96</v>
      </c>
      <c r="O310" s="11" t="s">
        <v>871</v>
      </c>
      <c r="P310" s="14"/>
      <c r="Q310" s="14"/>
      <c r="R310" s="14"/>
      <c r="S310" s="14"/>
      <c r="T310" s="14"/>
      <c r="U310" s="14"/>
      <c r="V310" s="14"/>
      <c r="W310" s="14"/>
      <c r="X310" s="14"/>
      <c r="Y310" s="14"/>
      <c r="Z310" s="14"/>
      <c r="AA310" s="14"/>
      <c r="AB310" s="14"/>
      <c r="AC310" s="14"/>
      <c r="AD310" s="12"/>
      <c r="AE310" s="12"/>
      <c r="AF310" s="12"/>
      <c r="AG310" s="78">
        <v>45509.0</v>
      </c>
      <c r="AH310" s="12"/>
      <c r="AI310" s="12"/>
      <c r="AJ310" s="12"/>
      <c r="AK310" s="11" t="s">
        <v>45</v>
      </c>
      <c r="AL310" s="12"/>
      <c r="AM310" s="12"/>
      <c r="AN310" s="11"/>
      <c r="AO310" s="140"/>
      <c r="AP310" s="140"/>
    </row>
    <row r="311">
      <c r="A311" s="11" t="s">
        <v>36</v>
      </c>
      <c r="B311" s="9">
        <v>45506.558019178236</v>
      </c>
      <c r="C311" s="10" t="s">
        <v>872</v>
      </c>
      <c r="D311" s="11" t="s">
        <v>109</v>
      </c>
      <c r="E311" s="11" t="s">
        <v>52</v>
      </c>
      <c r="F311" s="11" t="s">
        <v>65</v>
      </c>
      <c r="G311" s="11" t="s">
        <v>54</v>
      </c>
      <c r="H311" s="11" t="s">
        <v>625</v>
      </c>
      <c r="I311" s="11">
        <v>0.0</v>
      </c>
      <c r="J311" s="11" t="s">
        <v>244</v>
      </c>
      <c r="K311" s="28" t="s">
        <v>873</v>
      </c>
      <c r="L311" s="11" t="s">
        <v>874</v>
      </c>
      <c r="M311" s="11" t="s">
        <v>71</v>
      </c>
      <c r="N311" s="11" t="s">
        <v>96</v>
      </c>
      <c r="O311" s="11" t="s">
        <v>875</v>
      </c>
      <c r="P311" s="14"/>
      <c r="Q311" s="14"/>
      <c r="R311" s="14"/>
      <c r="S311" s="14"/>
      <c r="T311" s="14"/>
      <c r="U311" s="14"/>
      <c r="V311" s="14"/>
      <c r="W311" s="14"/>
      <c r="X311" s="14"/>
      <c r="Y311" s="14"/>
      <c r="Z311" s="14"/>
      <c r="AA311" s="14"/>
      <c r="AB311" s="14"/>
      <c r="AC311" s="14"/>
      <c r="AD311" s="12"/>
      <c r="AE311" s="12"/>
      <c r="AF311" s="12"/>
      <c r="AG311" s="25">
        <v>45509.0</v>
      </c>
      <c r="AH311" s="12"/>
      <c r="AI311" s="12"/>
      <c r="AJ311" s="12"/>
      <c r="AK311" s="11" t="s">
        <v>867</v>
      </c>
      <c r="AL311" s="12"/>
      <c r="AM311" s="12"/>
      <c r="AN311" s="11"/>
      <c r="AO311" s="140"/>
      <c r="AP311" s="140"/>
    </row>
    <row r="312">
      <c r="A312" s="11" t="s">
        <v>36</v>
      </c>
      <c r="B312" s="9">
        <v>45506.58033349537</v>
      </c>
      <c r="C312" s="10" t="s">
        <v>876</v>
      </c>
      <c r="D312" s="11" t="s">
        <v>109</v>
      </c>
      <c r="E312" s="11" t="s">
        <v>52</v>
      </c>
      <c r="F312" s="11" t="s">
        <v>65</v>
      </c>
      <c r="G312" s="11" t="s">
        <v>54</v>
      </c>
      <c r="H312" s="11" t="s">
        <v>625</v>
      </c>
      <c r="I312" s="11">
        <v>0.0</v>
      </c>
      <c r="J312" s="11" t="s">
        <v>244</v>
      </c>
      <c r="K312" s="12"/>
      <c r="L312" s="11" t="s">
        <v>877</v>
      </c>
      <c r="M312" s="11" t="s">
        <v>71</v>
      </c>
      <c r="N312" s="11" t="s">
        <v>96</v>
      </c>
      <c r="O312" s="11" t="s">
        <v>878</v>
      </c>
      <c r="P312" s="14"/>
      <c r="Q312" s="14"/>
      <c r="R312" s="14"/>
      <c r="S312" s="14"/>
      <c r="T312" s="14"/>
      <c r="U312" s="14"/>
      <c r="V312" s="14"/>
      <c r="W312" s="14"/>
      <c r="X312" s="14"/>
      <c r="Y312" s="14"/>
      <c r="Z312" s="14"/>
      <c r="AA312" s="14"/>
      <c r="AB312" s="14"/>
      <c r="AC312" s="14"/>
      <c r="AD312" s="12"/>
      <c r="AE312" s="12"/>
      <c r="AF312" s="12"/>
      <c r="AG312" s="25">
        <v>45509.0</v>
      </c>
      <c r="AH312" s="12"/>
      <c r="AI312" s="12"/>
      <c r="AJ312" s="12"/>
      <c r="AK312" s="11" t="s">
        <v>867</v>
      </c>
      <c r="AL312" s="12"/>
      <c r="AM312" s="12"/>
      <c r="AN312" s="11"/>
      <c r="AO312" s="140"/>
      <c r="AP312" s="140"/>
    </row>
    <row r="313">
      <c r="A313" s="11" t="s">
        <v>36</v>
      </c>
      <c r="B313" s="9">
        <v>45509.35458457176</v>
      </c>
      <c r="C313" s="10" t="s">
        <v>424</v>
      </c>
      <c r="D313" s="11" t="s">
        <v>109</v>
      </c>
      <c r="E313" s="11" t="s">
        <v>138</v>
      </c>
      <c r="F313" s="11" t="s">
        <v>65</v>
      </c>
      <c r="G313" s="11" t="s">
        <v>131</v>
      </c>
      <c r="H313" s="11" t="s">
        <v>625</v>
      </c>
      <c r="I313" s="11" t="s">
        <v>879</v>
      </c>
      <c r="J313" s="11" t="s">
        <v>754</v>
      </c>
      <c r="K313" s="12"/>
      <c r="L313" s="24" t="s">
        <v>849</v>
      </c>
      <c r="M313" s="11" t="s">
        <v>71</v>
      </c>
      <c r="N313" s="11" t="s">
        <v>68</v>
      </c>
      <c r="O313" s="11" t="s">
        <v>880</v>
      </c>
      <c r="P313" s="14"/>
      <c r="Q313" s="14"/>
      <c r="R313" s="14"/>
      <c r="S313" s="14"/>
      <c r="T313" s="14"/>
      <c r="U313" s="14"/>
      <c r="V313" s="14"/>
      <c r="W313" s="14"/>
      <c r="X313" s="14"/>
      <c r="Y313" s="14"/>
      <c r="Z313" s="14"/>
      <c r="AA313" s="14"/>
      <c r="AB313" s="14"/>
      <c r="AC313" s="14"/>
      <c r="AD313" s="12"/>
      <c r="AE313" s="12"/>
      <c r="AF313" s="12"/>
      <c r="AG313" s="25">
        <v>45509.0</v>
      </c>
      <c r="AH313" s="12"/>
      <c r="AI313" s="12"/>
      <c r="AJ313" s="12"/>
      <c r="AK313" s="11" t="s">
        <v>867</v>
      </c>
      <c r="AL313" s="12"/>
      <c r="AM313" s="12"/>
      <c r="AN313" s="11"/>
      <c r="AO313" s="140" t="b">
        <v>0</v>
      </c>
      <c r="AP313" s="140"/>
    </row>
    <row r="314">
      <c r="A314" s="124" t="s">
        <v>177</v>
      </c>
      <c r="B314" s="125">
        <v>45509.364759062504</v>
      </c>
      <c r="C314" s="126" t="s">
        <v>94</v>
      </c>
      <c r="D314" s="124" t="s">
        <v>51</v>
      </c>
      <c r="E314" s="124" t="s">
        <v>52</v>
      </c>
      <c r="F314" s="124" t="s">
        <v>65</v>
      </c>
      <c r="G314" s="124" t="s">
        <v>54</v>
      </c>
      <c r="H314" s="124" t="s">
        <v>625</v>
      </c>
      <c r="I314" s="145">
        <v>2190.0</v>
      </c>
      <c r="J314" s="124" t="s">
        <v>128</v>
      </c>
      <c r="K314" s="132"/>
      <c r="L314" s="124" t="s">
        <v>881</v>
      </c>
      <c r="M314" s="124" t="s">
        <v>71</v>
      </c>
      <c r="N314" s="124" t="s">
        <v>96</v>
      </c>
      <c r="O314" s="124" t="s">
        <v>860</v>
      </c>
      <c r="P314" s="133"/>
      <c r="Q314" s="133"/>
      <c r="R314" s="133"/>
      <c r="S314" s="133"/>
      <c r="T314" s="133"/>
      <c r="U314" s="133"/>
      <c r="V314" s="133"/>
      <c r="W314" s="133"/>
      <c r="X314" s="133"/>
      <c r="Y314" s="133"/>
      <c r="Z314" s="133"/>
      <c r="AA314" s="133"/>
      <c r="AB314" s="133"/>
      <c r="AC314" s="133"/>
      <c r="AD314" s="132"/>
      <c r="AE314" s="132"/>
      <c r="AF314" s="132"/>
      <c r="AG314" s="132"/>
      <c r="AH314" s="132"/>
      <c r="AI314" s="132"/>
      <c r="AJ314" s="132"/>
      <c r="AK314" s="124" t="s">
        <v>882</v>
      </c>
      <c r="AL314" s="132"/>
      <c r="AM314" s="132"/>
      <c r="AN314" s="124"/>
      <c r="AO314" s="127" t="b">
        <v>1</v>
      </c>
      <c r="AP314" s="127" t="b">
        <v>0</v>
      </c>
    </row>
    <row r="315">
      <c r="A315" s="11" t="s">
        <v>36</v>
      </c>
      <c r="B315" s="9">
        <v>45509.365725428244</v>
      </c>
      <c r="C315" s="10" t="s">
        <v>883</v>
      </c>
      <c r="D315" s="11" t="s">
        <v>501</v>
      </c>
      <c r="E315" s="11" t="s">
        <v>138</v>
      </c>
      <c r="F315" s="11" t="s">
        <v>65</v>
      </c>
      <c r="G315" s="11" t="s">
        <v>54</v>
      </c>
      <c r="H315" s="11" t="s">
        <v>625</v>
      </c>
      <c r="I315" s="77">
        <v>234.0</v>
      </c>
      <c r="J315" s="11" t="s">
        <v>244</v>
      </c>
      <c r="K315" s="12"/>
      <c r="L315" s="28" t="s">
        <v>884</v>
      </c>
      <c r="M315" s="11" t="s">
        <v>71</v>
      </c>
      <c r="N315" s="11" t="s">
        <v>68</v>
      </c>
      <c r="O315" s="11" t="s">
        <v>885</v>
      </c>
      <c r="P315" s="14"/>
      <c r="Q315" s="14"/>
      <c r="R315" s="14"/>
      <c r="S315" s="14"/>
      <c r="T315" s="14"/>
      <c r="U315" s="14"/>
      <c r="V315" s="14"/>
      <c r="W315" s="14"/>
      <c r="X315" s="14"/>
      <c r="Y315" s="14"/>
      <c r="Z315" s="14"/>
      <c r="AA315" s="14"/>
      <c r="AB315" s="14"/>
      <c r="AC315" s="14"/>
      <c r="AD315" s="12"/>
      <c r="AE315" s="12"/>
      <c r="AF315" s="12"/>
      <c r="AG315" s="25">
        <v>45509.0</v>
      </c>
      <c r="AH315" s="12"/>
      <c r="AI315" s="12"/>
      <c r="AJ315" s="12"/>
      <c r="AK315" s="11" t="s">
        <v>886</v>
      </c>
      <c r="AL315" s="12"/>
      <c r="AM315" s="12"/>
      <c r="AN315" s="11"/>
      <c r="AO315" s="127" t="b">
        <v>1</v>
      </c>
      <c r="AP315" s="127"/>
    </row>
    <row r="316">
      <c r="A316" s="11" t="s">
        <v>36</v>
      </c>
      <c r="B316" s="9">
        <v>45509.42751826389</v>
      </c>
      <c r="C316" s="10" t="s">
        <v>887</v>
      </c>
      <c r="D316" s="11" t="s">
        <v>51</v>
      </c>
      <c r="E316" s="11" t="s">
        <v>52</v>
      </c>
      <c r="F316" s="11" t="s">
        <v>65</v>
      </c>
      <c r="G316" s="11" t="s">
        <v>54</v>
      </c>
      <c r="H316" s="11" t="s">
        <v>625</v>
      </c>
      <c r="I316" s="77">
        <v>234.0</v>
      </c>
      <c r="J316" s="11" t="s">
        <v>73</v>
      </c>
      <c r="K316" s="24" t="s">
        <v>888</v>
      </c>
      <c r="L316" s="11" t="s">
        <v>860</v>
      </c>
      <c r="M316" s="11" t="s">
        <v>71</v>
      </c>
      <c r="N316" s="11" t="s">
        <v>96</v>
      </c>
      <c r="O316" s="11" t="s">
        <v>889</v>
      </c>
      <c r="P316" s="14"/>
      <c r="Q316" s="14"/>
      <c r="R316" s="14"/>
      <c r="S316" s="14"/>
      <c r="T316" s="14"/>
      <c r="U316" s="14"/>
      <c r="V316" s="14"/>
      <c r="W316" s="14"/>
      <c r="X316" s="14"/>
      <c r="Y316" s="14"/>
      <c r="Z316" s="14"/>
      <c r="AA316" s="14"/>
      <c r="AB316" s="14"/>
      <c r="AC316" s="14"/>
      <c r="AD316" s="12"/>
      <c r="AE316" s="12"/>
      <c r="AF316" s="12"/>
      <c r="AG316" s="25">
        <v>45509.0</v>
      </c>
      <c r="AH316" s="12"/>
      <c r="AI316" s="12"/>
      <c r="AJ316" s="12"/>
      <c r="AK316" s="11" t="s">
        <v>886</v>
      </c>
      <c r="AL316" s="12"/>
      <c r="AM316" s="12"/>
      <c r="AN316" s="11"/>
      <c r="AO316" s="8" t="b">
        <v>1</v>
      </c>
      <c r="AP316" s="8"/>
    </row>
    <row r="317">
      <c r="A317" s="124" t="s">
        <v>177</v>
      </c>
      <c r="B317" s="125">
        <v>45509.61713018519</v>
      </c>
      <c r="C317" s="126" t="s">
        <v>760</v>
      </c>
      <c r="D317" s="124" t="s">
        <v>51</v>
      </c>
      <c r="E317" s="124" t="s">
        <v>52</v>
      </c>
      <c r="F317" s="124" t="s">
        <v>80</v>
      </c>
      <c r="G317" s="124" t="s">
        <v>131</v>
      </c>
      <c r="H317" s="124" t="s">
        <v>833</v>
      </c>
      <c r="I317" s="124">
        <v>3600.0</v>
      </c>
      <c r="J317" s="124" t="s">
        <v>762</v>
      </c>
      <c r="K317" s="132"/>
      <c r="L317" s="146" t="s">
        <v>890</v>
      </c>
      <c r="M317" s="124" t="s">
        <v>71</v>
      </c>
      <c r="N317" s="124" t="s">
        <v>96</v>
      </c>
      <c r="O317" s="124" t="s">
        <v>764</v>
      </c>
      <c r="P317" s="133"/>
      <c r="Q317" s="133"/>
      <c r="R317" s="133"/>
      <c r="S317" s="133"/>
      <c r="T317" s="133"/>
      <c r="U317" s="133"/>
      <c r="V317" s="133"/>
      <c r="W317" s="133"/>
      <c r="X317" s="133"/>
      <c r="Y317" s="133"/>
      <c r="Z317" s="133"/>
      <c r="AA317" s="133"/>
      <c r="AB317" s="133"/>
      <c r="AC317" s="133"/>
      <c r="AD317" s="132"/>
      <c r="AE317" s="132"/>
      <c r="AF317" s="132"/>
      <c r="AG317" s="147">
        <v>45512.0</v>
      </c>
      <c r="AH317" s="132"/>
      <c r="AI317" s="132"/>
      <c r="AJ317" s="132"/>
      <c r="AK317" s="124" t="s">
        <v>891</v>
      </c>
      <c r="AL317" s="132"/>
      <c r="AM317" s="132"/>
      <c r="AN317" s="124"/>
      <c r="AO317" s="142"/>
      <c r="AP317" s="142"/>
    </row>
    <row r="318">
      <c r="A318" s="11" t="s">
        <v>36</v>
      </c>
      <c r="B318" s="9">
        <v>45509.6437853588</v>
      </c>
      <c r="C318" s="10" t="s">
        <v>171</v>
      </c>
      <c r="D318" s="11" t="s">
        <v>38</v>
      </c>
      <c r="E318" s="11" t="s">
        <v>40</v>
      </c>
      <c r="F318" s="11" t="s">
        <v>40</v>
      </c>
      <c r="G318" s="11" t="s">
        <v>131</v>
      </c>
      <c r="H318" s="11" t="s">
        <v>625</v>
      </c>
      <c r="I318" s="11">
        <v>59.0</v>
      </c>
      <c r="J318" s="11" t="s">
        <v>100</v>
      </c>
      <c r="K318" s="24" t="s">
        <v>892</v>
      </c>
      <c r="L318" s="11" t="s">
        <v>893</v>
      </c>
      <c r="M318" s="11" t="s">
        <v>71</v>
      </c>
      <c r="N318" s="11" t="s">
        <v>96</v>
      </c>
      <c r="O318" s="11" t="s">
        <v>894</v>
      </c>
      <c r="P318" s="14"/>
      <c r="Q318" s="14"/>
      <c r="R318" s="14"/>
      <c r="S318" s="14"/>
      <c r="T318" s="14"/>
      <c r="U318" s="14"/>
      <c r="V318" s="14"/>
      <c r="W318" s="14"/>
      <c r="X318" s="14"/>
      <c r="Y318" s="14"/>
      <c r="Z318" s="14"/>
      <c r="AA318" s="14"/>
      <c r="AB318" s="14"/>
      <c r="AC318" s="14"/>
      <c r="AD318" s="12"/>
      <c r="AE318" s="12"/>
      <c r="AF318" s="12"/>
      <c r="AG318" s="25">
        <v>45512.0</v>
      </c>
      <c r="AH318" s="12"/>
      <c r="AI318" s="12"/>
      <c r="AJ318" s="12"/>
      <c r="AK318" s="11" t="s">
        <v>45</v>
      </c>
      <c r="AL318" s="12"/>
      <c r="AM318" s="12"/>
      <c r="AN318" s="11"/>
      <c r="AO318" s="140"/>
      <c r="AP318" s="140"/>
    </row>
    <row r="319">
      <c r="A319" s="45" t="s">
        <v>36</v>
      </c>
      <c r="B319" s="9">
        <v>45510.4161034375</v>
      </c>
      <c r="C319" s="10" t="s">
        <v>895</v>
      </c>
      <c r="D319" s="11" t="s">
        <v>142</v>
      </c>
      <c r="E319" s="11" t="s">
        <v>138</v>
      </c>
      <c r="F319" s="11" t="s">
        <v>139</v>
      </c>
      <c r="G319" s="11" t="s">
        <v>131</v>
      </c>
      <c r="H319" s="11" t="s">
        <v>625</v>
      </c>
      <c r="I319" s="71">
        <v>234.0</v>
      </c>
      <c r="J319" s="11" t="s">
        <v>128</v>
      </c>
      <c r="K319" s="12"/>
      <c r="L319" s="11" t="s">
        <v>860</v>
      </c>
      <c r="M319" s="11" t="s">
        <v>71</v>
      </c>
      <c r="N319" s="11" t="s">
        <v>96</v>
      </c>
      <c r="O319" s="11" t="s">
        <v>896</v>
      </c>
      <c r="P319" s="14"/>
      <c r="Q319" s="14"/>
      <c r="R319" s="14"/>
      <c r="S319" s="14"/>
      <c r="T319" s="14"/>
      <c r="U319" s="14"/>
      <c r="V319" s="14"/>
      <c r="W319" s="14"/>
      <c r="X319" s="14"/>
      <c r="Y319" s="14"/>
      <c r="Z319" s="14"/>
      <c r="AA319" s="14"/>
      <c r="AB319" s="14"/>
      <c r="AC319" s="14"/>
      <c r="AD319" s="30"/>
      <c r="AE319" s="30"/>
      <c r="AF319" s="30"/>
      <c r="AG319" s="148"/>
      <c r="AH319" s="30"/>
      <c r="AI319" s="30"/>
      <c r="AJ319" s="30"/>
      <c r="AK319" s="45"/>
      <c r="AL319" s="30"/>
      <c r="AM319" s="30"/>
      <c r="AN319" s="11"/>
      <c r="AO319" s="42" t="b">
        <v>1</v>
      </c>
      <c r="AP319" s="42"/>
    </row>
    <row r="320">
      <c r="A320" s="45" t="s">
        <v>36</v>
      </c>
      <c r="B320" s="9">
        <v>45511.39670060185</v>
      </c>
      <c r="C320" s="10" t="s">
        <v>897</v>
      </c>
      <c r="D320" s="11" t="s">
        <v>38</v>
      </c>
      <c r="E320" s="11" t="s">
        <v>40</v>
      </c>
      <c r="F320" s="11" t="s">
        <v>40</v>
      </c>
      <c r="G320" s="11" t="s">
        <v>131</v>
      </c>
      <c r="H320" s="11" t="s">
        <v>625</v>
      </c>
      <c r="I320" s="11" t="s">
        <v>898</v>
      </c>
      <c r="J320" s="11" t="s">
        <v>43</v>
      </c>
      <c r="K320" s="12"/>
      <c r="L320" s="11" t="s">
        <v>899</v>
      </c>
      <c r="M320" s="11" t="s">
        <v>71</v>
      </c>
      <c r="N320" s="11" t="s">
        <v>96</v>
      </c>
      <c r="O320" s="11" t="s">
        <v>900</v>
      </c>
      <c r="P320" s="14"/>
      <c r="Q320" s="14"/>
      <c r="R320" s="14"/>
      <c r="S320" s="14"/>
      <c r="T320" s="14"/>
      <c r="U320" s="14"/>
      <c r="V320" s="14"/>
      <c r="W320" s="14"/>
      <c r="X320" s="14"/>
      <c r="Y320" s="14"/>
      <c r="Z320" s="14"/>
      <c r="AA320" s="14"/>
      <c r="AB320" s="14"/>
      <c r="AC320" s="14"/>
      <c r="AD320" s="30"/>
      <c r="AE320" s="30"/>
      <c r="AF320" s="30"/>
      <c r="AG320" s="148">
        <v>45517.0</v>
      </c>
      <c r="AH320" s="30"/>
      <c r="AI320" s="30"/>
      <c r="AJ320" s="30"/>
      <c r="AK320" s="45" t="s">
        <v>901</v>
      </c>
      <c r="AL320" s="30"/>
      <c r="AM320" s="30"/>
      <c r="AN320" s="11"/>
      <c r="AO320" s="149"/>
      <c r="AP320" s="149"/>
    </row>
    <row r="321">
      <c r="A321" s="11" t="s">
        <v>36</v>
      </c>
      <c r="B321" s="9">
        <v>45511.63703391203</v>
      </c>
      <c r="C321" s="10" t="s">
        <v>382</v>
      </c>
      <c r="D321" s="11" t="s">
        <v>109</v>
      </c>
      <c r="E321" s="11" t="s">
        <v>52</v>
      </c>
      <c r="F321" s="11" t="s">
        <v>65</v>
      </c>
      <c r="G321" s="11" t="s">
        <v>131</v>
      </c>
      <c r="H321" s="11" t="s">
        <v>625</v>
      </c>
      <c r="I321" s="71">
        <v>170.0</v>
      </c>
      <c r="J321" s="11" t="s">
        <v>383</v>
      </c>
      <c r="K321" s="12"/>
      <c r="L321" s="11" t="s">
        <v>902</v>
      </c>
      <c r="M321" s="11" t="s">
        <v>71</v>
      </c>
      <c r="N321" s="11" t="s">
        <v>96</v>
      </c>
      <c r="O321" s="11" t="s">
        <v>903</v>
      </c>
      <c r="P321" s="14"/>
      <c r="Q321" s="14"/>
      <c r="R321" s="14"/>
      <c r="S321" s="14"/>
      <c r="T321" s="14"/>
      <c r="U321" s="14"/>
      <c r="V321" s="14"/>
      <c r="W321" s="14"/>
      <c r="X321" s="14"/>
      <c r="Y321" s="14"/>
      <c r="Z321" s="14"/>
      <c r="AA321" s="14"/>
      <c r="AB321" s="14"/>
      <c r="AC321" s="14"/>
      <c r="AD321" s="12"/>
      <c r="AE321" s="12"/>
      <c r="AF321" s="12"/>
      <c r="AG321" s="78">
        <v>45512.0</v>
      </c>
      <c r="AH321" s="12"/>
      <c r="AI321" s="12"/>
      <c r="AJ321" s="12"/>
      <c r="AK321" s="11" t="s">
        <v>45</v>
      </c>
      <c r="AL321" s="12"/>
      <c r="AM321" s="12"/>
      <c r="AN321" s="11"/>
      <c r="AO321" s="140"/>
      <c r="AP321" s="140"/>
    </row>
    <row r="322">
      <c r="A322" s="11" t="s">
        <v>36</v>
      </c>
      <c r="B322" s="9">
        <v>45512.518377361106</v>
      </c>
      <c r="C322" s="10" t="s">
        <v>94</v>
      </c>
      <c r="D322" s="11" t="s">
        <v>51</v>
      </c>
      <c r="E322" s="11" t="s">
        <v>52</v>
      </c>
      <c r="F322" s="11" t="s">
        <v>65</v>
      </c>
      <c r="G322" s="11" t="s">
        <v>54</v>
      </c>
      <c r="H322" s="11" t="s">
        <v>625</v>
      </c>
      <c r="I322" s="11" t="s">
        <v>904</v>
      </c>
      <c r="J322" s="11" t="s">
        <v>128</v>
      </c>
      <c r="K322" s="12"/>
      <c r="L322" s="11" t="s">
        <v>905</v>
      </c>
      <c r="M322" s="11" t="s">
        <v>71</v>
      </c>
      <c r="N322" s="11" t="s">
        <v>96</v>
      </c>
      <c r="O322" s="11" t="s">
        <v>823</v>
      </c>
      <c r="P322" s="14"/>
      <c r="Q322" s="14"/>
      <c r="R322" s="14"/>
      <c r="S322" s="14"/>
      <c r="T322" s="14"/>
      <c r="U322" s="14"/>
      <c r="V322" s="14"/>
      <c r="W322" s="14"/>
      <c r="X322" s="14"/>
      <c r="Y322" s="14"/>
      <c r="Z322" s="14"/>
      <c r="AA322" s="14"/>
      <c r="AB322" s="14"/>
      <c r="AC322" s="14"/>
      <c r="AD322" s="12"/>
      <c r="AE322" s="12"/>
      <c r="AF322" s="12"/>
      <c r="AG322" s="25">
        <v>45516.0</v>
      </c>
      <c r="AH322" s="12"/>
      <c r="AI322" s="12"/>
      <c r="AJ322" s="12"/>
      <c r="AK322" s="11" t="s">
        <v>688</v>
      </c>
      <c r="AL322" s="12"/>
      <c r="AM322" s="12"/>
      <c r="AN322" s="11"/>
      <c r="AO322" s="8" t="b">
        <v>1</v>
      </c>
      <c r="AP322" s="8"/>
    </row>
    <row r="323">
      <c r="A323" s="11" t="s">
        <v>36</v>
      </c>
      <c r="B323" s="9">
        <v>45513.395860115736</v>
      </c>
      <c r="C323" s="10" t="s">
        <v>148</v>
      </c>
      <c r="D323" s="11" t="s">
        <v>51</v>
      </c>
      <c r="E323" s="11" t="s">
        <v>149</v>
      </c>
      <c r="F323" s="11" t="s">
        <v>80</v>
      </c>
      <c r="G323" s="11" t="s">
        <v>41</v>
      </c>
      <c r="H323" s="11" t="s">
        <v>625</v>
      </c>
      <c r="I323" s="71">
        <v>120.0</v>
      </c>
      <c r="J323" s="11" t="s">
        <v>100</v>
      </c>
      <c r="K323" s="12"/>
      <c r="L323" s="24" t="s">
        <v>906</v>
      </c>
      <c r="M323" s="11" t="s">
        <v>71</v>
      </c>
      <c r="N323" s="11" t="s">
        <v>96</v>
      </c>
      <c r="O323" s="11" t="s">
        <v>907</v>
      </c>
      <c r="P323" s="14"/>
      <c r="Q323" s="14"/>
      <c r="R323" s="14"/>
      <c r="S323" s="14"/>
      <c r="T323" s="14"/>
      <c r="U323" s="14"/>
      <c r="V323" s="14"/>
      <c r="W323" s="14"/>
      <c r="X323" s="14"/>
      <c r="Y323" s="14"/>
      <c r="Z323" s="14"/>
      <c r="AA323" s="14"/>
      <c r="AB323" s="14"/>
      <c r="AC323" s="14"/>
      <c r="AD323" s="12"/>
      <c r="AE323" s="12"/>
      <c r="AF323" s="12"/>
      <c r="AG323" s="78">
        <v>45517.0</v>
      </c>
      <c r="AH323" s="12"/>
      <c r="AI323" s="12"/>
      <c r="AJ323" s="12"/>
      <c r="AK323" s="11" t="s">
        <v>45</v>
      </c>
      <c r="AL323" s="12"/>
      <c r="AM323" s="12"/>
      <c r="AN323" s="11"/>
      <c r="AO323" s="140"/>
      <c r="AP323" s="140"/>
    </row>
    <row r="324">
      <c r="A324" s="45" t="s">
        <v>535</v>
      </c>
      <c r="B324" s="9">
        <v>45513.63510716435</v>
      </c>
      <c r="C324" s="10" t="s">
        <v>276</v>
      </c>
      <c r="D324" s="11" t="s">
        <v>202</v>
      </c>
      <c r="E324" s="11" t="s">
        <v>52</v>
      </c>
      <c r="F324" s="11" t="s">
        <v>65</v>
      </c>
      <c r="G324" s="11" t="s">
        <v>54</v>
      </c>
      <c r="H324" s="11" t="s">
        <v>625</v>
      </c>
      <c r="I324" s="11" t="s">
        <v>908</v>
      </c>
      <c r="J324" s="11" t="s">
        <v>43</v>
      </c>
      <c r="K324" s="12"/>
      <c r="L324" s="11" t="s">
        <v>909</v>
      </c>
      <c r="M324" s="11" t="s">
        <v>71</v>
      </c>
      <c r="N324" s="11" t="s">
        <v>96</v>
      </c>
      <c r="O324" s="11" t="s">
        <v>910</v>
      </c>
      <c r="P324" s="14"/>
      <c r="Q324" s="14"/>
      <c r="R324" s="14"/>
      <c r="S324" s="14"/>
      <c r="T324" s="14"/>
      <c r="U324" s="14"/>
      <c r="V324" s="14"/>
      <c r="W324" s="14"/>
      <c r="X324" s="14"/>
      <c r="Y324" s="14"/>
      <c r="Z324" s="14"/>
      <c r="AA324" s="14"/>
      <c r="AB324" s="14"/>
      <c r="AC324" s="14"/>
      <c r="AD324" s="30"/>
      <c r="AE324" s="30"/>
      <c r="AF324" s="30"/>
      <c r="AG324" s="30"/>
      <c r="AH324" s="30"/>
      <c r="AI324" s="30"/>
      <c r="AJ324" s="30"/>
      <c r="AK324" s="45" t="s">
        <v>911</v>
      </c>
      <c r="AL324" s="30"/>
      <c r="AM324" s="30"/>
      <c r="AN324" s="11"/>
      <c r="AO324" s="149"/>
      <c r="AP324" s="149"/>
    </row>
    <row r="325">
      <c r="A325" s="11" t="s">
        <v>36</v>
      </c>
      <c r="B325" s="9">
        <v>45514.2216416088</v>
      </c>
      <c r="C325" s="10" t="s">
        <v>912</v>
      </c>
      <c r="D325" s="11" t="s">
        <v>51</v>
      </c>
      <c r="E325" s="11" t="s">
        <v>52</v>
      </c>
      <c r="F325" s="11" t="s">
        <v>65</v>
      </c>
      <c r="G325" s="11" t="s">
        <v>54</v>
      </c>
      <c r="H325" s="11" t="s">
        <v>607</v>
      </c>
      <c r="I325" s="71">
        <v>91.0</v>
      </c>
      <c r="J325" s="11" t="s">
        <v>100</v>
      </c>
      <c r="K325" s="24" t="s">
        <v>913</v>
      </c>
      <c r="L325" s="11" t="s">
        <v>914</v>
      </c>
      <c r="M325" s="11" t="s">
        <v>71</v>
      </c>
      <c r="N325" s="11" t="s">
        <v>96</v>
      </c>
      <c r="O325" s="11" t="s">
        <v>915</v>
      </c>
      <c r="P325" s="14"/>
      <c r="Q325" s="14"/>
      <c r="R325" s="14"/>
      <c r="S325" s="14"/>
      <c r="T325" s="14"/>
      <c r="U325" s="14"/>
      <c r="V325" s="14"/>
      <c r="W325" s="14"/>
      <c r="X325" s="14"/>
      <c r="Y325" s="14"/>
      <c r="Z325" s="14"/>
      <c r="AA325" s="14"/>
      <c r="AB325" s="14"/>
      <c r="AC325" s="14"/>
      <c r="AD325" s="12"/>
      <c r="AE325" s="12"/>
      <c r="AF325" s="12"/>
      <c r="AG325" s="78">
        <v>45517.0</v>
      </c>
      <c r="AH325" s="12"/>
      <c r="AI325" s="12"/>
      <c r="AJ325" s="12"/>
      <c r="AK325" s="11" t="s">
        <v>45</v>
      </c>
      <c r="AL325" s="12"/>
      <c r="AM325" s="12"/>
      <c r="AN325" s="11"/>
      <c r="AO325" s="140"/>
      <c r="AP325" s="140"/>
    </row>
    <row r="326">
      <c r="A326" s="11" t="s">
        <v>36</v>
      </c>
      <c r="B326" s="9">
        <v>45516.33937300926</v>
      </c>
      <c r="C326" s="10" t="s">
        <v>123</v>
      </c>
      <c r="D326" s="11" t="s">
        <v>38</v>
      </c>
      <c r="E326" s="11" t="s">
        <v>735</v>
      </c>
      <c r="F326" s="11" t="s">
        <v>735</v>
      </c>
      <c r="G326" s="11" t="s">
        <v>800</v>
      </c>
      <c r="H326" s="11" t="s">
        <v>625</v>
      </c>
      <c r="I326" s="77">
        <v>3815.0</v>
      </c>
      <c r="J326" s="11" t="s">
        <v>194</v>
      </c>
      <c r="K326" s="12"/>
      <c r="L326" s="11" t="s">
        <v>916</v>
      </c>
      <c r="M326" s="11" t="s">
        <v>71</v>
      </c>
      <c r="N326" s="11" t="s">
        <v>96</v>
      </c>
      <c r="O326" s="11" t="s">
        <v>917</v>
      </c>
      <c r="P326" s="14"/>
      <c r="Q326" s="14"/>
      <c r="R326" s="14"/>
      <c r="S326" s="14"/>
      <c r="T326" s="14"/>
      <c r="U326" s="14"/>
      <c r="V326" s="14"/>
      <c r="W326" s="14"/>
      <c r="X326" s="14"/>
      <c r="Y326" s="14"/>
      <c r="Z326" s="14"/>
      <c r="AA326" s="14"/>
      <c r="AB326" s="14"/>
      <c r="AC326" s="14"/>
      <c r="AD326" s="12"/>
      <c r="AE326" s="12"/>
      <c r="AF326" s="12"/>
      <c r="AG326" s="78">
        <v>45517.0</v>
      </c>
      <c r="AH326" s="12"/>
      <c r="AI326" s="12"/>
      <c r="AJ326" s="12"/>
      <c r="AK326" s="11" t="s">
        <v>45</v>
      </c>
      <c r="AL326" s="12"/>
      <c r="AM326" s="12"/>
      <c r="AN326" s="11"/>
      <c r="AO326" s="140"/>
      <c r="AP326" s="140"/>
    </row>
    <row r="327">
      <c r="A327" s="45" t="s">
        <v>36</v>
      </c>
      <c r="B327" s="9">
        <v>45516.372845798614</v>
      </c>
      <c r="C327" s="10" t="s">
        <v>305</v>
      </c>
      <c r="D327" s="11" t="s">
        <v>51</v>
      </c>
      <c r="E327" s="11" t="s">
        <v>52</v>
      </c>
      <c r="F327" s="11" t="s">
        <v>65</v>
      </c>
      <c r="G327" s="11" t="s">
        <v>131</v>
      </c>
      <c r="H327" s="11" t="s">
        <v>625</v>
      </c>
      <c r="I327" s="11">
        <v>234.0</v>
      </c>
      <c r="J327" s="11" t="s">
        <v>818</v>
      </c>
      <c r="K327" s="12"/>
      <c r="L327" s="11" t="s">
        <v>854</v>
      </c>
      <c r="M327" s="45" t="s">
        <v>71</v>
      </c>
      <c r="N327" s="45" t="s">
        <v>96</v>
      </c>
      <c r="O327" s="45" t="s">
        <v>821</v>
      </c>
      <c r="P327" s="47"/>
      <c r="Q327" s="47"/>
      <c r="R327" s="47"/>
      <c r="S327" s="47"/>
      <c r="T327" s="47"/>
      <c r="U327" s="47"/>
      <c r="V327" s="47"/>
      <c r="W327" s="47"/>
      <c r="X327" s="47"/>
      <c r="Y327" s="47"/>
      <c r="Z327" s="47"/>
      <c r="AA327" s="47"/>
      <c r="AB327" s="47"/>
      <c r="AC327" s="47"/>
      <c r="AD327" s="30"/>
      <c r="AE327" s="30"/>
      <c r="AF327" s="30"/>
      <c r="AG327" s="30"/>
      <c r="AH327" s="30"/>
      <c r="AI327" s="30"/>
      <c r="AJ327" s="30"/>
      <c r="AK327" s="30"/>
      <c r="AL327" s="30"/>
      <c r="AM327" s="30"/>
      <c r="AN327" s="11"/>
      <c r="AO327" s="42" t="b">
        <v>1</v>
      </c>
      <c r="AP327" s="42"/>
    </row>
    <row r="328">
      <c r="A328" s="11" t="s">
        <v>36</v>
      </c>
      <c r="B328" s="9">
        <v>45516.46595449074</v>
      </c>
      <c r="C328" s="10" t="s">
        <v>234</v>
      </c>
      <c r="D328" s="11" t="s">
        <v>800</v>
      </c>
      <c r="E328" s="11" t="s">
        <v>800</v>
      </c>
      <c r="F328" s="11" t="s">
        <v>800</v>
      </c>
      <c r="G328" s="11" t="s">
        <v>800</v>
      </c>
      <c r="H328" s="11" t="s">
        <v>439</v>
      </c>
      <c r="I328" s="11">
        <v>3000.0</v>
      </c>
      <c r="J328" s="11" t="s">
        <v>48</v>
      </c>
      <c r="K328" s="12"/>
      <c r="L328" s="11" t="s">
        <v>918</v>
      </c>
      <c r="M328" s="11" t="s">
        <v>71</v>
      </c>
      <c r="N328" s="11" t="s">
        <v>68</v>
      </c>
      <c r="O328" s="11" t="s">
        <v>48</v>
      </c>
      <c r="P328" s="14"/>
      <c r="Q328" s="14"/>
      <c r="R328" s="14"/>
      <c r="S328" s="14"/>
      <c r="T328" s="14"/>
      <c r="U328" s="14"/>
      <c r="V328" s="14"/>
      <c r="W328" s="14"/>
      <c r="X328" s="14"/>
      <c r="Y328" s="14"/>
      <c r="Z328" s="14"/>
      <c r="AA328" s="14"/>
      <c r="AB328" s="14"/>
      <c r="AC328" s="14"/>
      <c r="AD328" s="12"/>
      <c r="AE328" s="12"/>
      <c r="AF328" s="12"/>
      <c r="AG328" s="78">
        <v>45517.0</v>
      </c>
      <c r="AH328" s="12"/>
      <c r="AI328" s="12"/>
      <c r="AJ328" s="12"/>
      <c r="AK328" s="11" t="s">
        <v>919</v>
      </c>
      <c r="AL328" s="12"/>
      <c r="AM328" s="12"/>
      <c r="AN328" s="11"/>
      <c r="AO328" s="140"/>
      <c r="AP328" s="140"/>
    </row>
    <row r="329">
      <c r="A329" s="11" t="s">
        <v>36</v>
      </c>
      <c r="B329" s="9">
        <v>45516.52626936343</v>
      </c>
      <c r="C329" s="10" t="s">
        <v>108</v>
      </c>
      <c r="D329" s="11" t="s">
        <v>109</v>
      </c>
      <c r="E329" s="11" t="s">
        <v>52</v>
      </c>
      <c r="F329" s="11" t="s">
        <v>65</v>
      </c>
      <c r="G329" s="11" t="s">
        <v>54</v>
      </c>
      <c r="H329" s="11" t="s">
        <v>607</v>
      </c>
      <c r="I329" s="11">
        <v>294.0</v>
      </c>
      <c r="J329" s="11" t="s">
        <v>102</v>
      </c>
      <c r="K329" s="12"/>
      <c r="L329" s="24" t="s">
        <v>920</v>
      </c>
      <c r="M329" s="11" t="s">
        <v>71</v>
      </c>
      <c r="N329" s="11" t="s">
        <v>96</v>
      </c>
      <c r="O329" s="11" t="s">
        <v>921</v>
      </c>
      <c r="P329" s="14"/>
      <c r="Q329" s="14"/>
      <c r="R329" s="14"/>
      <c r="S329" s="14"/>
      <c r="T329" s="14"/>
      <c r="U329" s="14"/>
      <c r="V329" s="14"/>
      <c r="W329" s="14"/>
      <c r="X329" s="14"/>
      <c r="Y329" s="14"/>
      <c r="Z329" s="14"/>
      <c r="AA329" s="14"/>
      <c r="AB329" s="14"/>
      <c r="AC329" s="14"/>
      <c r="AD329" s="12"/>
      <c r="AE329" s="12"/>
      <c r="AF329" s="12"/>
      <c r="AG329" s="78">
        <v>45517.0</v>
      </c>
      <c r="AH329" s="12"/>
      <c r="AI329" s="12"/>
      <c r="AJ329" s="12"/>
      <c r="AK329" s="11" t="s">
        <v>45</v>
      </c>
      <c r="AL329" s="12"/>
      <c r="AM329" s="12"/>
      <c r="AN329" s="11"/>
      <c r="AO329" s="140"/>
      <c r="AP329" s="140"/>
    </row>
    <row r="330">
      <c r="A330" s="11" t="s">
        <v>36</v>
      </c>
      <c r="B330" s="9">
        <v>45516.59098274306</v>
      </c>
      <c r="C330" s="10" t="s">
        <v>160</v>
      </c>
      <c r="D330" s="11" t="s">
        <v>109</v>
      </c>
      <c r="E330" s="11" t="s">
        <v>52</v>
      </c>
      <c r="F330" s="11" t="s">
        <v>65</v>
      </c>
      <c r="G330" s="11" t="s">
        <v>54</v>
      </c>
      <c r="H330" s="11" t="s">
        <v>439</v>
      </c>
      <c r="I330" s="71">
        <v>3000.0</v>
      </c>
      <c r="J330" s="11" t="s">
        <v>157</v>
      </c>
      <c r="K330" s="12"/>
      <c r="L330" s="150" t="s">
        <v>922</v>
      </c>
      <c r="M330" s="11" t="s">
        <v>71</v>
      </c>
      <c r="N330" s="11" t="s">
        <v>68</v>
      </c>
      <c r="O330" s="11" t="s">
        <v>923</v>
      </c>
      <c r="P330" s="14"/>
      <c r="Q330" s="14"/>
      <c r="R330" s="14"/>
      <c r="S330" s="14"/>
      <c r="T330" s="14"/>
      <c r="U330" s="14"/>
      <c r="V330" s="14"/>
      <c r="W330" s="14"/>
      <c r="X330" s="14"/>
      <c r="Y330" s="14"/>
      <c r="Z330" s="14"/>
      <c r="AA330" s="14"/>
      <c r="AB330" s="14"/>
      <c r="AC330" s="14"/>
      <c r="AD330" s="12"/>
      <c r="AE330" s="12"/>
      <c r="AF330" s="12"/>
      <c r="AG330" s="78">
        <v>45517.0</v>
      </c>
      <c r="AH330" s="12"/>
      <c r="AI330" s="12"/>
      <c r="AJ330" s="12"/>
      <c r="AK330" s="11" t="s">
        <v>924</v>
      </c>
      <c r="AL330" s="12"/>
      <c r="AM330" s="12"/>
      <c r="AN330" s="11"/>
      <c r="AO330" s="140"/>
      <c r="AP330" s="140"/>
    </row>
    <row r="331">
      <c r="A331" s="11" t="s">
        <v>36</v>
      </c>
      <c r="B331" s="9">
        <v>45516.65321931713</v>
      </c>
      <c r="C331" s="10" t="s">
        <v>925</v>
      </c>
      <c r="D331" s="11" t="s">
        <v>51</v>
      </c>
      <c r="E331" s="11" t="s">
        <v>52</v>
      </c>
      <c r="F331" s="11" t="s">
        <v>80</v>
      </c>
      <c r="G331" s="11" t="s">
        <v>54</v>
      </c>
      <c r="H331" s="11" t="s">
        <v>625</v>
      </c>
      <c r="I331" s="11" t="s">
        <v>926</v>
      </c>
      <c r="J331" s="11" t="s">
        <v>514</v>
      </c>
      <c r="K331" s="12"/>
      <c r="L331" s="24" t="s">
        <v>927</v>
      </c>
      <c r="M331" s="11" t="s">
        <v>71</v>
      </c>
      <c r="N331" s="11" t="s">
        <v>96</v>
      </c>
      <c r="O331" s="11" t="s">
        <v>928</v>
      </c>
      <c r="P331" s="14"/>
      <c r="Q331" s="14"/>
      <c r="R331" s="14"/>
      <c r="S331" s="14"/>
      <c r="T331" s="14"/>
      <c r="U331" s="14"/>
      <c r="V331" s="14"/>
      <c r="W331" s="14"/>
      <c r="X331" s="14"/>
      <c r="Y331" s="14"/>
      <c r="Z331" s="14"/>
      <c r="AA331" s="14"/>
      <c r="AB331" s="14"/>
      <c r="AC331" s="14"/>
      <c r="AD331" s="12"/>
      <c r="AE331" s="12"/>
      <c r="AF331" s="12"/>
      <c r="AG331" s="78">
        <v>45517.0</v>
      </c>
      <c r="AH331" s="12"/>
      <c r="AI331" s="12"/>
      <c r="AJ331" s="12"/>
      <c r="AK331" s="11" t="s">
        <v>45</v>
      </c>
      <c r="AL331" s="12"/>
      <c r="AM331" s="12"/>
      <c r="AN331" s="11"/>
      <c r="AO331" s="140"/>
      <c r="AP331" s="140"/>
    </row>
    <row r="332">
      <c r="A332" s="11" t="s">
        <v>36</v>
      </c>
      <c r="B332" s="9">
        <v>45516.71747466435</v>
      </c>
      <c r="C332" s="10" t="s">
        <v>104</v>
      </c>
      <c r="D332" s="11" t="s">
        <v>142</v>
      </c>
      <c r="E332" s="11" t="s">
        <v>52</v>
      </c>
      <c r="F332" s="11" t="s">
        <v>65</v>
      </c>
      <c r="G332" s="11" t="s">
        <v>54</v>
      </c>
      <c r="H332" s="11" t="s">
        <v>607</v>
      </c>
      <c r="I332" s="77">
        <v>106.0</v>
      </c>
      <c r="J332" s="11" t="s">
        <v>102</v>
      </c>
      <c r="K332" s="12"/>
      <c r="L332" s="12"/>
      <c r="M332" s="11" t="s">
        <v>71</v>
      </c>
      <c r="N332" s="11" t="s">
        <v>96</v>
      </c>
      <c r="O332" s="11" t="s">
        <v>929</v>
      </c>
      <c r="P332" s="14"/>
      <c r="Q332" s="14"/>
      <c r="R332" s="14"/>
      <c r="S332" s="14"/>
      <c r="T332" s="14"/>
      <c r="U332" s="14"/>
      <c r="V332" s="14"/>
      <c r="W332" s="14"/>
      <c r="X332" s="14"/>
      <c r="Y332" s="14"/>
      <c r="Z332" s="14"/>
      <c r="AA332" s="14"/>
      <c r="AB332" s="14"/>
      <c r="AC332" s="14"/>
      <c r="AD332" s="12"/>
      <c r="AE332" s="12"/>
      <c r="AF332" s="12"/>
      <c r="AG332" s="78">
        <v>45517.0</v>
      </c>
      <c r="AH332" s="12"/>
      <c r="AI332" s="12"/>
      <c r="AJ332" s="12"/>
      <c r="AK332" s="11" t="s">
        <v>930</v>
      </c>
      <c r="AL332" s="12"/>
      <c r="AM332" s="12"/>
      <c r="AN332" s="11"/>
      <c r="AO332" s="140"/>
      <c r="AP332" s="140"/>
    </row>
    <row r="333">
      <c r="A333" s="11" t="s">
        <v>36</v>
      </c>
      <c r="B333" s="9">
        <v>45517.33404099537</v>
      </c>
      <c r="C333" s="10" t="s">
        <v>699</v>
      </c>
      <c r="D333" s="11" t="s">
        <v>109</v>
      </c>
      <c r="E333" s="11" t="s">
        <v>138</v>
      </c>
      <c r="F333" s="11" t="s">
        <v>65</v>
      </c>
      <c r="G333" s="11" t="s">
        <v>131</v>
      </c>
      <c r="H333" s="11" t="s">
        <v>625</v>
      </c>
      <c r="I333" s="11" t="s">
        <v>931</v>
      </c>
      <c r="J333" s="11" t="s">
        <v>86</v>
      </c>
      <c r="K333" s="150" t="s">
        <v>932</v>
      </c>
      <c r="L333" s="11" t="s">
        <v>933</v>
      </c>
      <c r="M333" s="11" t="s">
        <v>71</v>
      </c>
      <c r="N333" s="11" t="s">
        <v>96</v>
      </c>
      <c r="O333" s="11" t="s">
        <v>934</v>
      </c>
      <c r="P333" s="14"/>
      <c r="Q333" s="14"/>
      <c r="R333" s="14"/>
      <c r="S333" s="14"/>
      <c r="T333" s="14"/>
      <c r="U333" s="14"/>
      <c r="V333" s="14"/>
      <c r="W333" s="14"/>
      <c r="X333" s="14"/>
      <c r="Y333" s="14"/>
      <c r="Z333" s="14"/>
      <c r="AA333" s="14"/>
      <c r="AB333" s="14"/>
      <c r="AC333" s="14"/>
      <c r="AD333" s="12"/>
      <c r="AE333" s="12"/>
      <c r="AF333" s="12"/>
      <c r="AG333" s="78">
        <v>45517.0</v>
      </c>
      <c r="AH333" s="12"/>
      <c r="AI333" s="12"/>
      <c r="AJ333" s="12"/>
      <c r="AK333" s="11" t="s">
        <v>935</v>
      </c>
      <c r="AL333" s="12"/>
      <c r="AM333" s="12"/>
      <c r="AN333" s="11"/>
      <c r="AO333" s="140"/>
      <c r="AP333" s="140"/>
    </row>
    <row r="334">
      <c r="A334" s="11" t="s">
        <v>36</v>
      </c>
      <c r="B334" s="9">
        <v>45517.44688076389</v>
      </c>
      <c r="C334" s="10" t="s">
        <v>37</v>
      </c>
      <c r="D334" s="11" t="s">
        <v>51</v>
      </c>
      <c r="E334" s="11" t="s">
        <v>52</v>
      </c>
      <c r="F334" s="11" t="s">
        <v>65</v>
      </c>
      <c r="G334" s="11" t="s">
        <v>41</v>
      </c>
      <c r="H334" s="11" t="s">
        <v>625</v>
      </c>
      <c r="I334" s="71">
        <v>4000.0</v>
      </c>
      <c r="J334" s="11" t="s">
        <v>128</v>
      </c>
      <c r="K334" s="12"/>
      <c r="L334" s="24" t="s">
        <v>936</v>
      </c>
      <c r="M334" s="11" t="s">
        <v>71</v>
      </c>
      <c r="N334" s="11" t="s">
        <v>68</v>
      </c>
      <c r="O334" s="11" t="s">
        <v>937</v>
      </c>
      <c r="P334" s="14"/>
      <c r="Q334" s="14"/>
      <c r="R334" s="14"/>
      <c r="S334" s="14"/>
      <c r="T334" s="14"/>
      <c r="U334" s="14"/>
      <c r="V334" s="14"/>
      <c r="W334" s="14"/>
      <c r="X334" s="14"/>
      <c r="Y334" s="14"/>
      <c r="Z334" s="14"/>
      <c r="AA334" s="14"/>
      <c r="AB334" s="14"/>
      <c r="AC334" s="14"/>
      <c r="AD334" s="12"/>
      <c r="AE334" s="12"/>
      <c r="AF334" s="12"/>
      <c r="AG334" s="78">
        <v>45517.0</v>
      </c>
      <c r="AH334" s="12"/>
      <c r="AI334" s="12"/>
      <c r="AJ334" s="12"/>
      <c r="AK334" s="11" t="s">
        <v>45</v>
      </c>
      <c r="AL334" s="12"/>
      <c r="AM334" s="12"/>
      <c r="AN334" s="11"/>
      <c r="AO334" s="8" t="b">
        <v>1</v>
      </c>
      <c r="AP334" s="8"/>
    </row>
    <row r="335">
      <c r="A335" s="11" t="s">
        <v>36</v>
      </c>
      <c r="B335" s="9">
        <v>45517.450594803246</v>
      </c>
      <c r="C335" s="10" t="s">
        <v>938</v>
      </c>
      <c r="D335" s="11" t="s">
        <v>51</v>
      </c>
      <c r="E335" s="11" t="s">
        <v>52</v>
      </c>
      <c r="F335" s="11" t="s">
        <v>65</v>
      </c>
      <c r="G335" s="11" t="s">
        <v>54</v>
      </c>
      <c r="H335" s="11" t="s">
        <v>625</v>
      </c>
      <c r="I335" s="11" t="s">
        <v>939</v>
      </c>
      <c r="J335" s="11" t="s">
        <v>86</v>
      </c>
      <c r="K335" s="12"/>
      <c r="L335" s="11" t="s">
        <v>940</v>
      </c>
      <c r="M335" s="11" t="s">
        <v>71</v>
      </c>
      <c r="N335" s="11" t="s">
        <v>68</v>
      </c>
      <c r="O335" s="11" t="s">
        <v>941</v>
      </c>
      <c r="P335" s="14"/>
      <c r="Q335" s="14"/>
      <c r="R335" s="14"/>
      <c r="S335" s="14"/>
      <c r="T335" s="14"/>
      <c r="U335" s="14"/>
      <c r="V335" s="14"/>
      <c r="W335" s="14"/>
      <c r="X335" s="14"/>
      <c r="Y335" s="14"/>
      <c r="Z335" s="14"/>
      <c r="AA335" s="14"/>
      <c r="AB335" s="14"/>
      <c r="AC335" s="14"/>
      <c r="AD335" s="12"/>
      <c r="AE335" s="12"/>
      <c r="AF335" s="12"/>
      <c r="AG335" s="78">
        <v>45517.0</v>
      </c>
      <c r="AH335" s="12"/>
      <c r="AI335" s="12"/>
      <c r="AJ335" s="12"/>
      <c r="AK335" s="11" t="s">
        <v>45</v>
      </c>
      <c r="AL335" s="12"/>
      <c r="AM335" s="12"/>
      <c r="AN335" s="11"/>
      <c r="AO335" s="140"/>
      <c r="AP335" s="140"/>
    </row>
    <row r="336">
      <c r="A336" s="45" t="s">
        <v>36</v>
      </c>
      <c r="B336" s="9">
        <v>45517.48261543982</v>
      </c>
      <c r="C336" s="10" t="s">
        <v>305</v>
      </c>
      <c r="D336" s="11" t="s">
        <v>51</v>
      </c>
      <c r="E336" s="11" t="s">
        <v>52</v>
      </c>
      <c r="F336" s="11" t="s">
        <v>65</v>
      </c>
      <c r="G336" s="11" t="s">
        <v>131</v>
      </c>
      <c r="H336" s="11" t="s">
        <v>625</v>
      </c>
      <c r="I336" s="71">
        <v>595.0</v>
      </c>
      <c r="J336" s="11" t="s">
        <v>818</v>
      </c>
      <c r="K336" s="12"/>
      <c r="L336" s="11" t="s">
        <v>942</v>
      </c>
      <c r="M336" s="45" t="s">
        <v>71</v>
      </c>
      <c r="N336" s="45" t="s">
        <v>96</v>
      </c>
      <c r="O336" s="45" t="s">
        <v>821</v>
      </c>
      <c r="P336" s="47"/>
      <c r="Q336" s="47"/>
      <c r="R336" s="47"/>
      <c r="S336" s="47"/>
      <c r="T336" s="47"/>
      <c r="U336" s="47"/>
      <c r="V336" s="47"/>
      <c r="W336" s="47"/>
      <c r="X336" s="47"/>
      <c r="Y336" s="47"/>
      <c r="Z336" s="47"/>
      <c r="AA336" s="47"/>
      <c r="AB336" s="47"/>
      <c r="AC336" s="47"/>
      <c r="AD336" s="30"/>
      <c r="AE336" s="30"/>
      <c r="AF336" s="30"/>
      <c r="AG336" s="30"/>
      <c r="AH336" s="30"/>
      <c r="AI336" s="30"/>
      <c r="AJ336" s="30"/>
      <c r="AK336" s="30"/>
      <c r="AL336" s="30"/>
      <c r="AM336" s="30"/>
      <c r="AN336" s="11"/>
      <c r="AO336" s="42" t="b">
        <v>1</v>
      </c>
      <c r="AP336" s="42"/>
    </row>
    <row r="337">
      <c r="A337" s="45" t="s">
        <v>36</v>
      </c>
      <c r="B337" s="9">
        <v>45517.49134008102</v>
      </c>
      <c r="C337" s="10" t="s">
        <v>943</v>
      </c>
      <c r="D337" s="11" t="s">
        <v>142</v>
      </c>
      <c r="E337" s="11" t="s">
        <v>52</v>
      </c>
      <c r="F337" s="11" t="s">
        <v>40</v>
      </c>
      <c r="G337" s="11" t="s">
        <v>54</v>
      </c>
      <c r="H337" s="11" t="s">
        <v>833</v>
      </c>
      <c r="I337" s="77">
        <v>595.0</v>
      </c>
      <c r="J337" s="11" t="s">
        <v>229</v>
      </c>
      <c r="K337" s="24" t="s">
        <v>944</v>
      </c>
      <c r="L337" s="11" t="s">
        <v>945</v>
      </c>
      <c r="M337" s="45" t="s">
        <v>71</v>
      </c>
      <c r="N337" s="45" t="s">
        <v>96</v>
      </c>
      <c r="O337" s="45" t="s">
        <v>946</v>
      </c>
      <c r="P337" s="47"/>
      <c r="Q337" s="47"/>
      <c r="R337" s="47"/>
      <c r="S337" s="47"/>
      <c r="T337" s="47"/>
      <c r="U337" s="47"/>
      <c r="V337" s="47"/>
      <c r="W337" s="47"/>
      <c r="X337" s="47"/>
      <c r="Y337" s="47"/>
      <c r="Z337" s="47"/>
      <c r="AA337" s="47"/>
      <c r="AB337" s="47"/>
      <c r="AC337" s="47"/>
      <c r="AD337" s="30"/>
      <c r="AE337" s="30"/>
      <c r="AF337" s="30"/>
      <c r="AG337" s="30"/>
      <c r="AH337" s="30"/>
      <c r="AI337" s="30"/>
      <c r="AJ337" s="30"/>
      <c r="AK337" s="30"/>
      <c r="AL337" s="30"/>
      <c r="AM337" s="30"/>
      <c r="AN337" s="11"/>
      <c r="AO337" s="42" t="b">
        <v>1</v>
      </c>
      <c r="AP337" s="42"/>
    </row>
    <row r="338">
      <c r="A338" s="45" t="s">
        <v>36</v>
      </c>
      <c r="B338" s="9">
        <v>45517.49238603009</v>
      </c>
      <c r="C338" s="10" t="s">
        <v>947</v>
      </c>
      <c r="D338" s="11" t="s">
        <v>51</v>
      </c>
      <c r="E338" s="11" t="s">
        <v>252</v>
      </c>
      <c r="F338" s="11" t="s">
        <v>549</v>
      </c>
      <c r="G338" s="11" t="s">
        <v>131</v>
      </c>
      <c r="H338" s="11" t="s">
        <v>625</v>
      </c>
      <c r="I338" s="11" t="s">
        <v>948</v>
      </c>
      <c r="J338" s="11" t="s">
        <v>62</v>
      </c>
      <c r="K338" s="12"/>
      <c r="L338" s="24" t="s">
        <v>949</v>
      </c>
      <c r="M338" s="45" t="s">
        <v>71</v>
      </c>
      <c r="N338" s="45" t="s">
        <v>96</v>
      </c>
      <c r="O338" s="45" t="s">
        <v>950</v>
      </c>
      <c r="P338" s="47"/>
      <c r="Q338" s="47"/>
      <c r="R338" s="47"/>
      <c r="S338" s="47"/>
      <c r="T338" s="47"/>
      <c r="U338" s="47"/>
      <c r="V338" s="47"/>
      <c r="W338" s="47"/>
      <c r="X338" s="47"/>
      <c r="Y338" s="47"/>
      <c r="Z338" s="47"/>
      <c r="AA338" s="47"/>
      <c r="AB338" s="47"/>
      <c r="AC338" s="47"/>
      <c r="AD338" s="30"/>
      <c r="AE338" s="30"/>
      <c r="AF338" s="30"/>
      <c r="AG338" s="30"/>
      <c r="AH338" s="30"/>
      <c r="AI338" s="30"/>
      <c r="AJ338" s="30"/>
      <c r="AK338" s="30"/>
      <c r="AL338" s="30"/>
      <c r="AM338" s="30"/>
      <c r="AN338" s="11"/>
      <c r="AO338" s="42" t="b">
        <v>1</v>
      </c>
      <c r="AP338" s="42"/>
    </row>
    <row r="339">
      <c r="A339" s="11" t="s">
        <v>36</v>
      </c>
      <c r="B339" s="9">
        <v>45517.602468020836</v>
      </c>
      <c r="C339" s="10" t="s">
        <v>293</v>
      </c>
      <c r="D339" s="11" t="s">
        <v>142</v>
      </c>
      <c r="E339" s="11" t="s">
        <v>52</v>
      </c>
      <c r="F339" s="11" t="s">
        <v>65</v>
      </c>
      <c r="G339" s="11" t="s">
        <v>54</v>
      </c>
      <c r="H339" s="11" t="s">
        <v>625</v>
      </c>
      <c r="I339" s="77">
        <v>425.0</v>
      </c>
      <c r="J339" s="11" t="s">
        <v>157</v>
      </c>
      <c r="K339" s="12"/>
      <c r="L339" s="11" t="s">
        <v>951</v>
      </c>
      <c r="M339" s="11" t="s">
        <v>71</v>
      </c>
      <c r="N339" s="11" t="s">
        <v>96</v>
      </c>
      <c r="O339" s="11" t="s">
        <v>952</v>
      </c>
      <c r="P339" s="14"/>
      <c r="Q339" s="14"/>
      <c r="R339" s="14"/>
      <c r="S339" s="14"/>
      <c r="T339" s="14"/>
      <c r="U339" s="14"/>
      <c r="V339" s="14"/>
      <c r="W339" s="14"/>
      <c r="X339" s="14"/>
      <c r="Y339" s="14"/>
      <c r="Z339" s="14"/>
      <c r="AA339" s="14"/>
      <c r="AB339" s="14"/>
      <c r="AC339" s="14"/>
      <c r="AD339" s="12"/>
      <c r="AE339" s="12"/>
      <c r="AF339" s="12"/>
      <c r="AG339" s="78">
        <v>45519.0</v>
      </c>
      <c r="AH339" s="12"/>
      <c r="AI339" s="12"/>
      <c r="AJ339" s="12"/>
      <c r="AK339" s="11" t="s">
        <v>953</v>
      </c>
      <c r="AL339" s="12"/>
      <c r="AM339" s="12"/>
      <c r="AN339" s="11"/>
      <c r="AO339" s="140"/>
      <c r="AP339" s="140"/>
    </row>
    <row r="340">
      <c r="A340" s="11" t="s">
        <v>36</v>
      </c>
      <c r="B340" s="9">
        <v>45517.62313599537</v>
      </c>
      <c r="C340" s="10" t="s">
        <v>954</v>
      </c>
      <c r="D340" s="11" t="s">
        <v>501</v>
      </c>
      <c r="E340" s="11" t="s">
        <v>138</v>
      </c>
      <c r="F340" s="11" t="s">
        <v>65</v>
      </c>
      <c r="G340" s="11" t="s">
        <v>54</v>
      </c>
      <c r="H340" s="11" t="s">
        <v>625</v>
      </c>
      <c r="I340" s="71">
        <v>234.0</v>
      </c>
      <c r="J340" s="11" t="s">
        <v>229</v>
      </c>
      <c r="K340" s="12"/>
      <c r="L340" s="11" t="s">
        <v>955</v>
      </c>
      <c r="M340" s="11" t="s">
        <v>71</v>
      </c>
      <c r="N340" s="11" t="s">
        <v>96</v>
      </c>
      <c r="O340" s="11" t="s">
        <v>956</v>
      </c>
      <c r="P340" s="14"/>
      <c r="Q340" s="14"/>
      <c r="R340" s="14"/>
      <c r="S340" s="14"/>
      <c r="T340" s="14"/>
      <c r="U340" s="14"/>
      <c r="V340" s="14"/>
      <c r="W340" s="14"/>
      <c r="X340" s="14"/>
      <c r="Y340" s="14"/>
      <c r="Z340" s="14"/>
      <c r="AA340" s="14"/>
      <c r="AB340" s="14"/>
      <c r="AC340" s="14"/>
      <c r="AD340" s="12"/>
      <c r="AE340" s="12"/>
      <c r="AF340" s="12"/>
      <c r="AG340" s="78">
        <v>45519.0</v>
      </c>
      <c r="AH340" s="12"/>
      <c r="AI340" s="12"/>
      <c r="AJ340" s="12"/>
      <c r="AK340" s="11" t="s">
        <v>953</v>
      </c>
      <c r="AL340" s="12"/>
      <c r="AM340" s="12"/>
      <c r="AN340" s="11"/>
      <c r="AO340" s="140"/>
      <c r="AP340" s="140"/>
    </row>
    <row r="341">
      <c r="A341" s="11" t="s">
        <v>36</v>
      </c>
      <c r="B341" s="9">
        <v>45517.63473210648</v>
      </c>
      <c r="C341" s="10" t="s">
        <v>213</v>
      </c>
      <c r="D341" s="11" t="s">
        <v>109</v>
      </c>
      <c r="E341" s="11" t="s">
        <v>52</v>
      </c>
      <c r="F341" s="11" t="s">
        <v>65</v>
      </c>
      <c r="G341" s="11" t="s">
        <v>54</v>
      </c>
      <c r="H341" s="11" t="s">
        <v>625</v>
      </c>
      <c r="I341" s="71">
        <v>425.0</v>
      </c>
      <c r="J341" s="11" t="s">
        <v>214</v>
      </c>
      <c r="K341" s="12"/>
      <c r="L341" s="11" t="s">
        <v>957</v>
      </c>
      <c r="M341" s="11" t="s">
        <v>71</v>
      </c>
      <c r="N341" s="11" t="s">
        <v>68</v>
      </c>
      <c r="O341" s="11" t="s">
        <v>958</v>
      </c>
      <c r="P341" s="14"/>
      <c r="Q341" s="14"/>
      <c r="R341" s="14"/>
      <c r="S341" s="14"/>
      <c r="T341" s="14"/>
      <c r="U341" s="14"/>
      <c r="V341" s="14"/>
      <c r="W341" s="14"/>
      <c r="X341" s="14"/>
      <c r="Y341" s="14"/>
      <c r="Z341" s="14"/>
      <c r="AA341" s="14"/>
      <c r="AB341" s="14"/>
      <c r="AC341" s="14"/>
      <c r="AD341" s="12"/>
      <c r="AE341" s="12"/>
      <c r="AF341" s="12"/>
      <c r="AG341" s="78">
        <v>45519.0</v>
      </c>
      <c r="AH341" s="12"/>
      <c r="AI341" s="12"/>
      <c r="AJ341" s="12"/>
      <c r="AK341" s="11" t="s">
        <v>953</v>
      </c>
      <c r="AL341" s="12"/>
      <c r="AM341" s="12"/>
      <c r="AN341" s="11"/>
      <c r="AO341" s="140"/>
      <c r="AP341" s="140"/>
    </row>
    <row r="342">
      <c r="A342" s="45" t="s">
        <v>36</v>
      </c>
      <c r="B342" s="9">
        <v>45517.646679259255</v>
      </c>
      <c r="C342" s="10" t="s">
        <v>959</v>
      </c>
      <c r="D342" s="11" t="s">
        <v>202</v>
      </c>
      <c r="E342" s="11" t="s">
        <v>52</v>
      </c>
      <c r="F342" s="11" t="s">
        <v>65</v>
      </c>
      <c r="G342" s="11" t="s">
        <v>54</v>
      </c>
      <c r="H342" s="11" t="s">
        <v>625</v>
      </c>
      <c r="I342" s="71">
        <v>595.0</v>
      </c>
      <c r="J342" s="11" t="s">
        <v>62</v>
      </c>
      <c r="K342" s="24" t="s">
        <v>960</v>
      </c>
      <c r="L342" s="11" t="s">
        <v>961</v>
      </c>
      <c r="M342" s="45" t="s">
        <v>71</v>
      </c>
      <c r="N342" s="45" t="s">
        <v>96</v>
      </c>
      <c r="O342" s="45" t="s">
        <v>962</v>
      </c>
      <c r="P342" s="47"/>
      <c r="Q342" s="47"/>
      <c r="R342" s="47"/>
      <c r="S342" s="47"/>
      <c r="T342" s="47"/>
      <c r="U342" s="47"/>
      <c r="V342" s="47"/>
      <c r="W342" s="47"/>
      <c r="X342" s="47"/>
      <c r="Y342" s="47"/>
      <c r="Z342" s="47"/>
      <c r="AA342" s="47"/>
      <c r="AB342" s="47"/>
      <c r="AC342" s="47"/>
      <c r="AD342" s="30"/>
      <c r="AE342" s="30"/>
      <c r="AF342" s="30"/>
      <c r="AG342" s="30"/>
      <c r="AH342" s="30"/>
      <c r="AI342" s="30"/>
      <c r="AJ342" s="30"/>
      <c r="AK342" s="30"/>
      <c r="AL342" s="30"/>
      <c r="AM342" s="30"/>
      <c r="AN342" s="11"/>
      <c r="AO342" s="42" t="b">
        <v>1</v>
      </c>
      <c r="AP342" s="42"/>
    </row>
    <row r="343">
      <c r="A343" s="11" t="s">
        <v>36</v>
      </c>
      <c r="B343" s="9">
        <v>45517.69409853009</v>
      </c>
      <c r="C343" s="10" t="s">
        <v>710</v>
      </c>
      <c r="D343" s="11" t="s">
        <v>51</v>
      </c>
      <c r="E343" s="11" t="s">
        <v>52</v>
      </c>
      <c r="F343" s="11" t="s">
        <v>65</v>
      </c>
      <c r="G343" s="11" t="s">
        <v>54</v>
      </c>
      <c r="H343" s="11" t="s">
        <v>625</v>
      </c>
      <c r="I343" s="11" t="s">
        <v>963</v>
      </c>
      <c r="J343" s="11" t="s">
        <v>86</v>
      </c>
      <c r="K343" s="12"/>
      <c r="L343" s="24" t="s">
        <v>964</v>
      </c>
      <c r="M343" s="11" t="s">
        <v>71</v>
      </c>
      <c r="N343" s="11" t="s">
        <v>96</v>
      </c>
      <c r="O343" s="11" t="s">
        <v>965</v>
      </c>
      <c r="P343" s="14"/>
      <c r="Q343" s="14"/>
      <c r="R343" s="14"/>
      <c r="S343" s="14"/>
      <c r="T343" s="14"/>
      <c r="U343" s="14"/>
      <c r="V343" s="14"/>
      <c r="W343" s="14"/>
      <c r="X343" s="14"/>
      <c r="Y343" s="14"/>
      <c r="Z343" s="14"/>
      <c r="AA343" s="14"/>
      <c r="AB343" s="14"/>
      <c r="AC343" s="14"/>
      <c r="AD343" s="12"/>
      <c r="AE343" s="12"/>
      <c r="AF343" s="12"/>
      <c r="AG343" s="78">
        <v>45519.0</v>
      </c>
      <c r="AH343" s="12"/>
      <c r="AI343" s="12"/>
      <c r="AJ343" s="12"/>
      <c r="AK343" s="11" t="s">
        <v>45</v>
      </c>
      <c r="AL343" s="12"/>
      <c r="AM343" s="12"/>
      <c r="AN343" s="11"/>
      <c r="AO343" s="140"/>
      <c r="AP343" s="140"/>
    </row>
    <row r="344">
      <c r="A344" s="11" t="s">
        <v>36</v>
      </c>
      <c r="B344" s="9">
        <v>45517.79236</v>
      </c>
      <c r="C344" s="10" t="s">
        <v>134</v>
      </c>
      <c r="D344" s="11" t="s">
        <v>51</v>
      </c>
      <c r="E344" s="11" t="s">
        <v>52</v>
      </c>
      <c r="F344" s="11" t="s">
        <v>65</v>
      </c>
      <c r="G344" s="11" t="s">
        <v>54</v>
      </c>
      <c r="H344" s="11" t="s">
        <v>625</v>
      </c>
      <c r="I344" s="11" t="s">
        <v>966</v>
      </c>
      <c r="J344" s="11" t="s">
        <v>967</v>
      </c>
      <c r="K344" s="150" t="s">
        <v>932</v>
      </c>
      <c r="L344" s="11" t="s">
        <v>968</v>
      </c>
      <c r="M344" s="11" t="s">
        <v>71</v>
      </c>
      <c r="N344" s="11" t="s">
        <v>68</v>
      </c>
      <c r="O344" s="11" t="s">
        <v>43</v>
      </c>
      <c r="P344" s="14"/>
      <c r="Q344" s="14"/>
      <c r="R344" s="14"/>
      <c r="S344" s="14"/>
      <c r="T344" s="14"/>
      <c r="U344" s="14"/>
      <c r="V344" s="14"/>
      <c r="W344" s="14"/>
      <c r="X344" s="14"/>
      <c r="Y344" s="14"/>
      <c r="Z344" s="14"/>
      <c r="AA344" s="14"/>
      <c r="AB344" s="14"/>
      <c r="AC344" s="14"/>
      <c r="AD344" s="12"/>
      <c r="AE344" s="12"/>
      <c r="AF344" s="12"/>
      <c r="AG344" s="78">
        <v>45519.0</v>
      </c>
      <c r="AH344" s="12"/>
      <c r="AI344" s="12"/>
      <c r="AJ344" s="12"/>
      <c r="AK344" s="11" t="s">
        <v>45</v>
      </c>
      <c r="AL344" s="12"/>
      <c r="AM344" s="12"/>
      <c r="AN344" s="11"/>
      <c r="AO344" s="140"/>
      <c r="AP344" s="140"/>
    </row>
    <row r="345">
      <c r="A345" s="45" t="s">
        <v>36</v>
      </c>
      <c r="B345" s="9">
        <v>45517.845875162035</v>
      </c>
      <c r="C345" s="10" t="s">
        <v>969</v>
      </c>
      <c r="D345" s="11" t="s">
        <v>142</v>
      </c>
      <c r="E345" s="11" t="s">
        <v>52</v>
      </c>
      <c r="F345" s="11" t="s">
        <v>65</v>
      </c>
      <c r="G345" s="11" t="s">
        <v>54</v>
      </c>
      <c r="H345" s="11" t="s">
        <v>625</v>
      </c>
      <c r="I345" s="77">
        <v>595.0</v>
      </c>
      <c r="J345" s="11" t="s">
        <v>62</v>
      </c>
      <c r="K345" s="12"/>
      <c r="L345" s="11" t="s">
        <v>970</v>
      </c>
      <c r="M345" s="45" t="s">
        <v>71</v>
      </c>
      <c r="N345" s="45" t="s">
        <v>96</v>
      </c>
      <c r="O345" s="45" t="s">
        <v>971</v>
      </c>
      <c r="P345" s="47"/>
      <c r="Q345" s="47"/>
      <c r="R345" s="47"/>
      <c r="S345" s="47"/>
      <c r="T345" s="47"/>
      <c r="U345" s="47"/>
      <c r="V345" s="47"/>
      <c r="W345" s="47"/>
      <c r="X345" s="47"/>
      <c r="Y345" s="47"/>
      <c r="Z345" s="47"/>
      <c r="AA345" s="47"/>
      <c r="AB345" s="47"/>
      <c r="AC345" s="47"/>
      <c r="AD345" s="30"/>
      <c r="AE345" s="30"/>
      <c r="AF345" s="30"/>
      <c r="AG345" s="30"/>
      <c r="AH345" s="30"/>
      <c r="AI345" s="30"/>
      <c r="AJ345" s="30"/>
      <c r="AK345" s="30"/>
      <c r="AL345" s="30"/>
      <c r="AM345" s="30"/>
      <c r="AN345" s="11"/>
      <c r="AO345" s="42" t="b">
        <v>1</v>
      </c>
      <c r="AP345" s="42"/>
    </row>
    <row r="346">
      <c r="A346" s="45" t="s">
        <v>36</v>
      </c>
      <c r="B346" s="9">
        <v>45518.41075070602</v>
      </c>
      <c r="C346" s="10" t="s">
        <v>972</v>
      </c>
      <c r="D346" s="11" t="s">
        <v>51</v>
      </c>
      <c r="E346" s="11" t="s">
        <v>52</v>
      </c>
      <c r="F346" s="11" t="s">
        <v>973</v>
      </c>
      <c r="G346" s="11" t="s">
        <v>54</v>
      </c>
      <c r="H346" s="11" t="s">
        <v>625</v>
      </c>
      <c r="I346" s="71">
        <v>595.0</v>
      </c>
      <c r="J346" s="11" t="s">
        <v>974</v>
      </c>
      <c r="K346" s="12"/>
      <c r="L346" s="11" t="s">
        <v>975</v>
      </c>
      <c r="M346" s="45" t="s">
        <v>71</v>
      </c>
      <c r="N346" s="45" t="s">
        <v>96</v>
      </c>
      <c r="O346" s="45" t="s">
        <v>976</v>
      </c>
      <c r="P346" s="47"/>
      <c r="Q346" s="47"/>
      <c r="R346" s="47"/>
      <c r="S346" s="47"/>
      <c r="T346" s="47"/>
      <c r="U346" s="47"/>
      <c r="V346" s="47"/>
      <c r="W346" s="47"/>
      <c r="X346" s="47"/>
      <c r="Y346" s="47"/>
      <c r="Z346" s="47"/>
      <c r="AA346" s="47"/>
      <c r="AB346" s="47"/>
      <c r="AC346" s="47"/>
      <c r="AD346" s="30"/>
      <c r="AE346" s="30"/>
      <c r="AF346" s="30"/>
      <c r="AG346" s="30"/>
      <c r="AH346" s="30"/>
      <c r="AI346" s="30"/>
      <c r="AJ346" s="30"/>
      <c r="AK346" s="30"/>
      <c r="AL346" s="30"/>
      <c r="AM346" s="30"/>
      <c r="AN346" s="11"/>
      <c r="AO346" s="42" t="b">
        <v>1</v>
      </c>
      <c r="AP346" s="42"/>
    </row>
    <row r="347">
      <c r="A347" s="11" t="s">
        <v>36</v>
      </c>
      <c r="B347" s="9">
        <v>45518.552975300925</v>
      </c>
      <c r="C347" s="10" t="s">
        <v>574</v>
      </c>
      <c r="D347" s="11" t="s">
        <v>142</v>
      </c>
      <c r="E347" s="11" t="s">
        <v>52</v>
      </c>
      <c r="F347" s="11" t="s">
        <v>65</v>
      </c>
      <c r="G347" s="11" t="s">
        <v>54</v>
      </c>
      <c r="H347" s="11" t="s">
        <v>833</v>
      </c>
      <c r="I347" s="11" t="s">
        <v>977</v>
      </c>
      <c r="J347" s="11" t="s">
        <v>86</v>
      </c>
      <c r="K347" s="12"/>
      <c r="L347" s="24" t="s">
        <v>978</v>
      </c>
      <c r="M347" s="11" t="s">
        <v>71</v>
      </c>
      <c r="N347" s="11" t="s">
        <v>96</v>
      </c>
      <c r="O347" s="11" t="s">
        <v>979</v>
      </c>
      <c r="P347" s="14"/>
      <c r="Q347" s="14"/>
      <c r="R347" s="14"/>
      <c r="S347" s="14"/>
      <c r="T347" s="14"/>
      <c r="U347" s="14"/>
      <c r="V347" s="14"/>
      <c r="W347" s="14"/>
      <c r="X347" s="14"/>
      <c r="Y347" s="14"/>
      <c r="Z347" s="14"/>
      <c r="AA347" s="14"/>
      <c r="AB347" s="14"/>
      <c r="AC347" s="14"/>
      <c r="AD347" s="12"/>
      <c r="AE347" s="12"/>
      <c r="AF347" s="12"/>
      <c r="AG347" s="78">
        <v>45523.0</v>
      </c>
      <c r="AH347" s="12"/>
      <c r="AI347" s="12"/>
      <c r="AJ347" s="12"/>
      <c r="AK347" s="11" t="s">
        <v>435</v>
      </c>
      <c r="AL347" s="12"/>
      <c r="AM347" s="12"/>
      <c r="AN347" s="11"/>
      <c r="AO347" s="140"/>
      <c r="AP347" s="140"/>
    </row>
    <row r="348">
      <c r="A348" s="11" t="s">
        <v>36</v>
      </c>
      <c r="B348" s="9">
        <v>45518.58118518519</v>
      </c>
      <c r="C348" s="10" t="s">
        <v>980</v>
      </c>
      <c r="D348" s="11" t="s">
        <v>109</v>
      </c>
      <c r="E348" s="11" t="s">
        <v>52</v>
      </c>
      <c r="F348" s="11" t="s">
        <v>281</v>
      </c>
      <c r="G348" s="11" t="s">
        <v>41</v>
      </c>
      <c r="H348" s="11" t="s">
        <v>625</v>
      </c>
      <c r="I348" s="11">
        <v>3599.0</v>
      </c>
      <c r="J348" s="11" t="s">
        <v>86</v>
      </c>
      <c r="K348" s="12"/>
      <c r="L348" s="11" t="s">
        <v>981</v>
      </c>
      <c r="M348" s="11" t="s">
        <v>71</v>
      </c>
      <c r="N348" s="11" t="s">
        <v>96</v>
      </c>
      <c r="O348" s="11" t="s">
        <v>982</v>
      </c>
      <c r="P348" s="14"/>
      <c r="Q348" s="14"/>
      <c r="R348" s="14"/>
      <c r="S348" s="14"/>
      <c r="T348" s="14"/>
      <c r="U348" s="14"/>
      <c r="V348" s="14"/>
      <c r="W348" s="14"/>
      <c r="X348" s="14"/>
      <c r="Y348" s="14"/>
      <c r="Z348" s="14"/>
      <c r="AA348" s="14"/>
      <c r="AB348" s="14"/>
      <c r="AC348" s="14"/>
      <c r="AD348" s="12"/>
      <c r="AE348" s="12"/>
      <c r="AF348" s="12"/>
      <c r="AG348" s="78">
        <v>45523.0</v>
      </c>
      <c r="AH348" s="12"/>
      <c r="AI348" s="12"/>
      <c r="AJ348" s="12"/>
      <c r="AK348" s="11" t="s">
        <v>983</v>
      </c>
      <c r="AL348" s="12"/>
      <c r="AM348" s="12"/>
      <c r="AN348" s="11"/>
      <c r="AO348" s="140"/>
      <c r="AP348" s="140"/>
    </row>
    <row r="349">
      <c r="A349" s="75" t="s">
        <v>177</v>
      </c>
      <c r="B349" s="73">
        <v>45519.323124305556</v>
      </c>
      <c r="C349" s="74" t="s">
        <v>897</v>
      </c>
      <c r="D349" s="75" t="s">
        <v>51</v>
      </c>
      <c r="E349" s="75" t="s">
        <v>52</v>
      </c>
      <c r="F349" s="75" t="s">
        <v>40</v>
      </c>
      <c r="G349" s="75" t="s">
        <v>131</v>
      </c>
      <c r="H349" s="75" t="s">
        <v>625</v>
      </c>
      <c r="I349" s="75">
        <v>125.0</v>
      </c>
      <c r="J349" s="75" t="s">
        <v>43</v>
      </c>
      <c r="K349" s="115" t="s">
        <v>984</v>
      </c>
      <c r="L349" s="75" t="s">
        <v>968</v>
      </c>
      <c r="M349" s="75" t="s">
        <v>71</v>
      </c>
      <c r="N349" s="75" t="s">
        <v>96</v>
      </c>
      <c r="O349" s="75" t="s">
        <v>900</v>
      </c>
      <c r="P349" s="129"/>
      <c r="Q349" s="129"/>
      <c r="R349" s="129"/>
      <c r="S349" s="129"/>
      <c r="T349" s="129"/>
      <c r="U349" s="129"/>
      <c r="V349" s="129"/>
      <c r="W349" s="129"/>
      <c r="X349" s="129"/>
      <c r="Y349" s="129"/>
      <c r="Z349" s="129"/>
      <c r="AA349" s="129"/>
      <c r="AB349" s="129"/>
      <c r="AC349" s="129"/>
      <c r="AD349" s="114"/>
      <c r="AE349" s="114"/>
      <c r="AF349" s="114"/>
      <c r="AG349" s="130">
        <v>45523.0</v>
      </c>
      <c r="AH349" s="114"/>
      <c r="AI349" s="114"/>
      <c r="AJ349" s="114"/>
      <c r="AK349" s="75" t="s">
        <v>985</v>
      </c>
      <c r="AL349" s="114"/>
      <c r="AM349" s="114"/>
      <c r="AN349" s="75"/>
      <c r="AO349" s="141"/>
      <c r="AP349" s="141"/>
    </row>
    <row r="350">
      <c r="A350" s="11" t="s">
        <v>36</v>
      </c>
      <c r="B350" s="9">
        <v>45519.66954666667</v>
      </c>
      <c r="C350" s="10" t="s">
        <v>986</v>
      </c>
      <c r="D350" s="11" t="s">
        <v>51</v>
      </c>
      <c r="E350" s="11" t="s">
        <v>52</v>
      </c>
      <c r="F350" s="11" t="s">
        <v>210</v>
      </c>
      <c r="G350" s="11" t="s">
        <v>54</v>
      </c>
      <c r="H350" s="11" t="s">
        <v>625</v>
      </c>
      <c r="I350" s="11" t="s">
        <v>987</v>
      </c>
      <c r="J350" s="11" t="s">
        <v>967</v>
      </c>
      <c r="K350" s="12"/>
      <c r="L350" s="11" t="s">
        <v>988</v>
      </c>
      <c r="M350" s="11" t="s">
        <v>71</v>
      </c>
      <c r="N350" s="11" t="s">
        <v>96</v>
      </c>
      <c r="O350" s="11" t="s">
        <v>989</v>
      </c>
      <c r="P350" s="14"/>
      <c r="Q350" s="14"/>
      <c r="R350" s="14"/>
      <c r="S350" s="14"/>
      <c r="T350" s="14"/>
      <c r="U350" s="14"/>
      <c r="V350" s="14"/>
      <c r="W350" s="14"/>
      <c r="X350" s="14"/>
      <c r="Y350" s="14"/>
      <c r="Z350" s="14"/>
      <c r="AA350" s="14"/>
      <c r="AB350" s="14"/>
      <c r="AC350" s="14"/>
      <c r="AD350" s="12"/>
      <c r="AE350" s="12"/>
      <c r="AF350" s="12"/>
      <c r="AG350" s="78">
        <v>45530.0</v>
      </c>
      <c r="AH350" s="12"/>
      <c r="AI350" s="12"/>
      <c r="AJ350" s="12"/>
      <c r="AK350" s="11" t="s">
        <v>990</v>
      </c>
      <c r="AL350" s="12"/>
      <c r="AM350" s="12"/>
      <c r="AN350" s="11"/>
      <c r="AO350" s="140"/>
      <c r="AP350" s="140"/>
    </row>
    <row r="351">
      <c r="A351" s="124" t="s">
        <v>177</v>
      </c>
      <c r="B351" s="125">
        <v>45519.74671337963</v>
      </c>
      <c r="C351" s="126" t="s">
        <v>703</v>
      </c>
      <c r="D351" s="124" t="s">
        <v>991</v>
      </c>
      <c r="E351" s="124" t="s">
        <v>138</v>
      </c>
      <c r="F351" s="124" t="s">
        <v>65</v>
      </c>
      <c r="G351" s="124" t="s">
        <v>54</v>
      </c>
      <c r="H351" s="124" t="s">
        <v>992</v>
      </c>
      <c r="I351" s="151">
        <v>1295.0</v>
      </c>
      <c r="J351" s="124" t="s">
        <v>418</v>
      </c>
      <c r="K351" s="132"/>
      <c r="L351" s="124" t="s">
        <v>993</v>
      </c>
      <c r="M351" s="124" t="s">
        <v>71</v>
      </c>
      <c r="N351" s="124" t="s">
        <v>96</v>
      </c>
      <c r="O351" s="124" t="s">
        <v>994</v>
      </c>
      <c r="P351" s="133"/>
      <c r="Q351" s="133"/>
      <c r="R351" s="133"/>
      <c r="S351" s="133"/>
      <c r="T351" s="133"/>
      <c r="U351" s="133"/>
      <c r="V351" s="133"/>
      <c r="W351" s="133"/>
      <c r="X351" s="133"/>
      <c r="Y351" s="133"/>
      <c r="Z351" s="133"/>
      <c r="AA351" s="133"/>
      <c r="AB351" s="133"/>
      <c r="AC351" s="133"/>
      <c r="AD351" s="132"/>
      <c r="AE351" s="132"/>
      <c r="AF351" s="132"/>
      <c r="AG351" s="132"/>
      <c r="AH351" s="132"/>
      <c r="AI351" s="132"/>
      <c r="AJ351" s="132"/>
      <c r="AK351" s="152" t="s">
        <v>995</v>
      </c>
      <c r="AL351" s="132"/>
      <c r="AM351" s="132"/>
      <c r="AN351" s="124"/>
      <c r="AO351" s="142"/>
      <c r="AP351" s="142"/>
    </row>
    <row r="352">
      <c r="A352" s="11" t="s">
        <v>36</v>
      </c>
      <c r="B352" s="9">
        <v>45520.50778384259</v>
      </c>
      <c r="C352" s="10" t="s">
        <v>752</v>
      </c>
      <c r="D352" s="11" t="s">
        <v>51</v>
      </c>
      <c r="E352" s="11" t="s">
        <v>52</v>
      </c>
      <c r="F352" s="11" t="s">
        <v>40</v>
      </c>
      <c r="G352" s="11" t="s">
        <v>54</v>
      </c>
      <c r="H352" s="11" t="s">
        <v>625</v>
      </c>
      <c r="I352" s="11" t="s">
        <v>996</v>
      </c>
      <c r="J352" s="11" t="s">
        <v>754</v>
      </c>
      <c r="K352" s="24" t="s">
        <v>997</v>
      </c>
      <c r="L352" s="11" t="s">
        <v>998</v>
      </c>
      <c r="M352" s="11" t="s">
        <v>71</v>
      </c>
      <c r="N352" s="11" t="s">
        <v>96</v>
      </c>
      <c r="O352" s="11" t="s">
        <v>999</v>
      </c>
      <c r="P352" s="14"/>
      <c r="Q352" s="14"/>
      <c r="R352" s="14"/>
      <c r="S352" s="14"/>
      <c r="T352" s="14"/>
      <c r="U352" s="14"/>
      <c r="V352" s="14"/>
      <c r="W352" s="14"/>
      <c r="X352" s="14"/>
      <c r="Y352" s="14"/>
      <c r="Z352" s="14"/>
      <c r="AA352" s="14"/>
      <c r="AB352" s="14"/>
      <c r="AC352" s="14"/>
      <c r="AD352" s="12"/>
      <c r="AE352" s="78"/>
      <c r="AF352" s="12"/>
      <c r="AG352" s="78">
        <v>45523.0</v>
      </c>
      <c r="AH352" s="12"/>
      <c r="AI352" s="12"/>
      <c r="AJ352" s="12"/>
      <c r="AK352" s="11" t="s">
        <v>435</v>
      </c>
      <c r="AL352" s="12"/>
      <c r="AM352" s="12"/>
      <c r="AN352" s="11"/>
      <c r="AO352" s="8" t="b">
        <v>1</v>
      </c>
      <c r="AP352" s="8"/>
    </row>
    <row r="353">
      <c r="A353" s="11" t="s">
        <v>36</v>
      </c>
      <c r="B353" s="9">
        <v>45523.38999136574</v>
      </c>
      <c r="C353" s="10" t="s">
        <v>1000</v>
      </c>
      <c r="D353" s="11" t="s">
        <v>142</v>
      </c>
      <c r="E353" s="11" t="s">
        <v>138</v>
      </c>
      <c r="F353" s="11" t="s">
        <v>65</v>
      </c>
      <c r="G353" s="11" t="s">
        <v>54</v>
      </c>
      <c r="H353" s="11" t="s">
        <v>625</v>
      </c>
      <c r="I353" s="71">
        <v>350.0</v>
      </c>
      <c r="J353" s="11" t="s">
        <v>189</v>
      </c>
      <c r="K353" s="28" t="s">
        <v>1001</v>
      </c>
      <c r="L353" s="11" t="s">
        <v>1002</v>
      </c>
      <c r="M353" s="11" t="s">
        <v>71</v>
      </c>
      <c r="N353" s="11" t="s">
        <v>68</v>
      </c>
      <c r="O353" s="11" t="s">
        <v>1003</v>
      </c>
      <c r="P353" s="14"/>
      <c r="Q353" s="14"/>
      <c r="R353" s="14"/>
      <c r="S353" s="14"/>
      <c r="T353" s="14"/>
      <c r="U353" s="14"/>
      <c r="V353" s="14"/>
      <c r="W353" s="14"/>
      <c r="X353" s="14"/>
      <c r="Y353" s="14"/>
      <c r="Z353" s="14"/>
      <c r="AA353" s="14"/>
      <c r="AB353" s="14"/>
      <c r="AC353" s="14"/>
      <c r="AD353" s="12"/>
      <c r="AE353" s="78"/>
      <c r="AF353" s="12"/>
      <c r="AG353" s="78">
        <v>45524.0</v>
      </c>
      <c r="AH353" s="12"/>
      <c r="AI353" s="12"/>
      <c r="AJ353" s="12"/>
      <c r="AK353" s="11" t="s">
        <v>435</v>
      </c>
      <c r="AL353" s="12"/>
      <c r="AM353" s="12"/>
      <c r="AN353" s="11"/>
      <c r="AO353" s="140"/>
      <c r="AP353" s="140"/>
    </row>
    <row r="354">
      <c r="A354" s="11" t="s">
        <v>36</v>
      </c>
      <c r="B354" s="9">
        <v>45523.3971480787</v>
      </c>
      <c r="C354" s="10" t="s">
        <v>760</v>
      </c>
      <c r="D354" s="11" t="s">
        <v>800</v>
      </c>
      <c r="E354" s="11" t="s">
        <v>800</v>
      </c>
      <c r="F354" s="11" t="s">
        <v>800</v>
      </c>
      <c r="G354" s="11" t="s">
        <v>800</v>
      </c>
      <c r="H354" s="11" t="s">
        <v>625</v>
      </c>
      <c r="I354" s="11" t="s">
        <v>1004</v>
      </c>
      <c r="J354" s="11" t="s">
        <v>383</v>
      </c>
      <c r="K354" s="12"/>
      <c r="L354" s="24" t="s">
        <v>1005</v>
      </c>
      <c r="M354" s="11" t="s">
        <v>71</v>
      </c>
      <c r="N354" s="11" t="s">
        <v>96</v>
      </c>
      <c r="O354" s="11" t="s">
        <v>1006</v>
      </c>
      <c r="P354" s="14"/>
      <c r="Q354" s="14"/>
      <c r="R354" s="14"/>
      <c r="S354" s="14"/>
      <c r="T354" s="14"/>
      <c r="U354" s="14"/>
      <c r="V354" s="14"/>
      <c r="W354" s="14"/>
      <c r="X354" s="14"/>
      <c r="Y354" s="14"/>
      <c r="Z354" s="14"/>
      <c r="AA354" s="14"/>
      <c r="AB354" s="14"/>
      <c r="AC354" s="14"/>
      <c r="AD354" s="12"/>
      <c r="AE354" s="12"/>
      <c r="AF354" s="12"/>
      <c r="AG354" s="78">
        <v>45524.0</v>
      </c>
      <c r="AH354" s="12"/>
      <c r="AI354" s="12"/>
      <c r="AJ354" s="12"/>
      <c r="AK354" s="11" t="s">
        <v>435</v>
      </c>
      <c r="AL354" s="12"/>
      <c r="AM354" s="12"/>
      <c r="AN354" s="11"/>
      <c r="AO354" s="140"/>
      <c r="AP354" s="140"/>
    </row>
    <row r="355">
      <c r="A355" s="11" t="s">
        <v>36</v>
      </c>
      <c r="B355" s="9">
        <v>45523.55414842593</v>
      </c>
      <c r="C355" s="10" t="s">
        <v>188</v>
      </c>
      <c r="D355" s="11" t="s">
        <v>142</v>
      </c>
      <c r="E355" s="11" t="s">
        <v>52</v>
      </c>
      <c r="F355" s="11" t="s">
        <v>65</v>
      </c>
      <c r="G355" s="11" t="s">
        <v>54</v>
      </c>
      <c r="H355" s="11" t="s">
        <v>625</v>
      </c>
      <c r="I355" s="11">
        <v>74.99</v>
      </c>
      <c r="J355" s="11" t="s">
        <v>189</v>
      </c>
      <c r="K355" s="24" t="s">
        <v>1007</v>
      </c>
      <c r="L355" s="11" t="s">
        <v>1008</v>
      </c>
      <c r="M355" s="11" t="s">
        <v>71</v>
      </c>
      <c r="N355" s="11" t="s">
        <v>68</v>
      </c>
      <c r="O355" s="11" t="s">
        <v>1009</v>
      </c>
      <c r="P355" s="14"/>
      <c r="Q355" s="14"/>
      <c r="R355" s="14"/>
      <c r="S355" s="14"/>
      <c r="T355" s="14"/>
      <c r="U355" s="14"/>
      <c r="V355" s="14"/>
      <c r="W355" s="14"/>
      <c r="X355" s="14"/>
      <c r="Y355" s="14"/>
      <c r="Z355" s="14"/>
      <c r="AA355" s="14"/>
      <c r="AB355" s="14"/>
      <c r="AC355" s="14"/>
      <c r="AD355" s="12"/>
      <c r="AE355" s="12"/>
      <c r="AF355" s="12"/>
      <c r="AG355" s="78">
        <v>45524.0</v>
      </c>
      <c r="AH355" s="12"/>
      <c r="AI355" s="12"/>
      <c r="AJ355" s="12"/>
      <c r="AK355" s="11" t="s">
        <v>435</v>
      </c>
      <c r="AL355" s="12"/>
      <c r="AM355" s="12"/>
      <c r="AN355" s="11"/>
      <c r="AO355" s="140"/>
      <c r="AP355" s="140"/>
    </row>
    <row r="356">
      <c r="A356" s="11" t="s">
        <v>36</v>
      </c>
      <c r="B356" s="9">
        <v>45523.60118949074</v>
      </c>
      <c r="C356" s="10" t="s">
        <v>188</v>
      </c>
      <c r="D356" s="11" t="s">
        <v>142</v>
      </c>
      <c r="E356" s="11" t="s">
        <v>52</v>
      </c>
      <c r="F356" s="11" t="s">
        <v>65</v>
      </c>
      <c r="G356" s="11" t="s">
        <v>54</v>
      </c>
      <c r="H356" s="11" t="s">
        <v>439</v>
      </c>
      <c r="I356" s="11">
        <v>3000.0</v>
      </c>
      <c r="J356" s="11" t="s">
        <v>383</v>
      </c>
      <c r="K356" s="12"/>
      <c r="L356" s="12"/>
      <c r="M356" s="11" t="s">
        <v>71</v>
      </c>
      <c r="N356" s="11" t="s">
        <v>68</v>
      </c>
      <c r="O356" s="11" t="s">
        <v>1010</v>
      </c>
      <c r="P356" s="14"/>
      <c r="Q356" s="14"/>
      <c r="R356" s="14"/>
      <c r="S356" s="14"/>
      <c r="T356" s="14"/>
      <c r="U356" s="14"/>
      <c r="V356" s="14"/>
      <c r="W356" s="14"/>
      <c r="X356" s="14"/>
      <c r="Y356" s="14"/>
      <c r="Z356" s="14"/>
      <c r="AA356" s="14"/>
      <c r="AB356" s="14"/>
      <c r="AC356" s="14"/>
      <c r="AD356" s="12"/>
      <c r="AE356" s="12"/>
      <c r="AF356" s="12"/>
      <c r="AG356" s="78">
        <v>45524.0</v>
      </c>
      <c r="AH356" s="12"/>
      <c r="AI356" s="12"/>
      <c r="AJ356" s="12"/>
      <c r="AK356" s="11" t="s">
        <v>435</v>
      </c>
      <c r="AL356" s="12"/>
      <c r="AM356" s="12"/>
      <c r="AN356" s="11"/>
      <c r="AO356" s="140"/>
      <c r="AP356" s="140"/>
    </row>
    <row r="357">
      <c r="A357" s="11" t="s">
        <v>36</v>
      </c>
      <c r="B357" s="9">
        <v>45523.60832738426</v>
      </c>
      <c r="C357" s="10" t="s">
        <v>323</v>
      </c>
      <c r="D357" s="11" t="s">
        <v>800</v>
      </c>
      <c r="E357" s="11" t="s">
        <v>800</v>
      </c>
      <c r="F357" s="11" t="s">
        <v>800</v>
      </c>
      <c r="G357" s="11" t="s">
        <v>800</v>
      </c>
      <c r="H357" s="11" t="s">
        <v>625</v>
      </c>
      <c r="I357" s="71">
        <v>3815.0</v>
      </c>
      <c r="J357" s="11" t="s">
        <v>194</v>
      </c>
      <c r="K357" s="28" t="s">
        <v>1011</v>
      </c>
      <c r="L357" s="11" t="s">
        <v>1012</v>
      </c>
      <c r="M357" s="11" t="s">
        <v>71</v>
      </c>
      <c r="N357" s="11" t="s">
        <v>96</v>
      </c>
      <c r="O357" s="11" t="s">
        <v>1013</v>
      </c>
      <c r="P357" s="14"/>
      <c r="Q357" s="14"/>
      <c r="R357" s="14"/>
      <c r="S357" s="14"/>
      <c r="T357" s="14"/>
      <c r="U357" s="14"/>
      <c r="V357" s="14"/>
      <c r="W357" s="14"/>
      <c r="X357" s="14"/>
      <c r="Y357" s="14"/>
      <c r="Z357" s="14"/>
      <c r="AA357" s="14"/>
      <c r="AB357" s="14"/>
      <c r="AC357" s="14"/>
      <c r="AD357" s="12"/>
      <c r="AE357" s="12"/>
      <c r="AF357" s="12"/>
      <c r="AG357" s="78">
        <v>45524.0</v>
      </c>
      <c r="AH357" s="12"/>
      <c r="AI357" s="12"/>
      <c r="AJ357" s="12"/>
      <c r="AK357" s="11" t="s">
        <v>435</v>
      </c>
      <c r="AL357" s="12"/>
      <c r="AM357" s="12"/>
      <c r="AN357" s="11"/>
      <c r="AO357" s="140"/>
      <c r="AP357" s="140"/>
    </row>
    <row r="358">
      <c r="A358" s="11" t="s">
        <v>36</v>
      </c>
      <c r="B358" s="9">
        <v>45523.65551769676</v>
      </c>
      <c r="C358" s="10" t="s">
        <v>780</v>
      </c>
      <c r="D358" s="11" t="s">
        <v>202</v>
      </c>
      <c r="E358" s="11" t="s">
        <v>52</v>
      </c>
      <c r="F358" s="11" t="s">
        <v>65</v>
      </c>
      <c r="G358" s="11" t="s">
        <v>54</v>
      </c>
      <c r="H358" s="11" t="s">
        <v>625</v>
      </c>
      <c r="I358" s="77">
        <v>235.14</v>
      </c>
      <c r="J358" s="11" t="s">
        <v>82</v>
      </c>
      <c r="K358" s="12"/>
      <c r="L358" s="11" t="s">
        <v>1014</v>
      </c>
      <c r="M358" s="11" t="s">
        <v>71</v>
      </c>
      <c r="N358" s="11" t="s">
        <v>96</v>
      </c>
      <c r="O358" s="11" t="s">
        <v>847</v>
      </c>
      <c r="P358" s="14"/>
      <c r="Q358" s="14"/>
      <c r="R358" s="14"/>
      <c r="S358" s="14"/>
      <c r="T358" s="14"/>
      <c r="U358" s="14"/>
      <c r="V358" s="14"/>
      <c r="W358" s="14"/>
      <c r="X358" s="14"/>
      <c r="Y358" s="14"/>
      <c r="Z358" s="14"/>
      <c r="AA358" s="14"/>
      <c r="AB358" s="14"/>
      <c r="AC358" s="14"/>
      <c r="AD358" s="12"/>
      <c r="AE358" s="12"/>
      <c r="AF358" s="12"/>
      <c r="AG358" s="78">
        <v>45524.0</v>
      </c>
      <c r="AH358" s="12"/>
      <c r="AI358" s="12"/>
      <c r="AJ358" s="12"/>
      <c r="AK358" s="11" t="s">
        <v>435</v>
      </c>
      <c r="AL358" s="12"/>
      <c r="AM358" s="12"/>
      <c r="AN358" s="11"/>
      <c r="AO358" s="140"/>
      <c r="AP358" s="140"/>
    </row>
    <row r="359">
      <c r="A359" s="11" t="s">
        <v>36</v>
      </c>
      <c r="B359" s="9">
        <v>45524.41361217592</v>
      </c>
      <c r="C359" s="10" t="s">
        <v>947</v>
      </c>
      <c r="D359" s="11" t="s">
        <v>51</v>
      </c>
      <c r="E359" s="11" t="s">
        <v>252</v>
      </c>
      <c r="F359" s="11" t="s">
        <v>549</v>
      </c>
      <c r="G359" s="11" t="s">
        <v>131</v>
      </c>
      <c r="H359" s="11" t="s">
        <v>625</v>
      </c>
      <c r="I359" s="11" t="s">
        <v>1015</v>
      </c>
      <c r="J359" s="11" t="s">
        <v>62</v>
      </c>
      <c r="K359" s="12"/>
      <c r="L359" s="11" t="s">
        <v>1016</v>
      </c>
      <c r="M359" s="11" t="s">
        <v>71</v>
      </c>
      <c r="N359" s="11" t="s">
        <v>96</v>
      </c>
      <c r="O359" s="11" t="s">
        <v>950</v>
      </c>
      <c r="P359" s="14"/>
      <c r="Q359" s="14"/>
      <c r="R359" s="14"/>
      <c r="S359" s="14"/>
      <c r="T359" s="14"/>
      <c r="U359" s="14"/>
      <c r="V359" s="14"/>
      <c r="W359" s="14"/>
      <c r="X359" s="14"/>
      <c r="Y359" s="14"/>
      <c r="Z359" s="14"/>
      <c r="AA359" s="14"/>
      <c r="AB359" s="14"/>
      <c r="AC359" s="14"/>
      <c r="AD359" s="12"/>
      <c r="AE359" s="12"/>
      <c r="AF359" s="12"/>
      <c r="AG359" s="78">
        <v>45524.0</v>
      </c>
      <c r="AH359" s="12"/>
      <c r="AI359" s="12"/>
      <c r="AJ359" s="12"/>
      <c r="AK359" s="11" t="s">
        <v>435</v>
      </c>
      <c r="AL359" s="12"/>
      <c r="AM359" s="12"/>
      <c r="AN359" s="11"/>
      <c r="AO359" s="8" t="b">
        <v>1</v>
      </c>
      <c r="AP359" s="8"/>
    </row>
    <row r="360">
      <c r="A360" s="11" t="s">
        <v>36</v>
      </c>
      <c r="B360" s="9">
        <v>45524.41892538195</v>
      </c>
      <c r="C360" s="10" t="s">
        <v>231</v>
      </c>
      <c r="D360" s="11" t="s">
        <v>51</v>
      </c>
      <c r="E360" s="11" t="s">
        <v>52</v>
      </c>
      <c r="F360" s="11" t="s">
        <v>40</v>
      </c>
      <c r="G360" s="11" t="s">
        <v>54</v>
      </c>
      <c r="H360" s="11" t="s">
        <v>607</v>
      </c>
      <c r="I360" s="11">
        <v>148.0</v>
      </c>
      <c r="J360" s="11" t="s">
        <v>184</v>
      </c>
      <c r="K360" s="12"/>
      <c r="L360" s="28" t="s">
        <v>1017</v>
      </c>
      <c r="M360" s="11" t="s">
        <v>71</v>
      </c>
      <c r="N360" s="11" t="s">
        <v>96</v>
      </c>
      <c r="O360" s="11" t="s">
        <v>1018</v>
      </c>
      <c r="P360" s="14"/>
      <c r="Q360" s="14"/>
      <c r="R360" s="14"/>
      <c r="S360" s="14"/>
      <c r="T360" s="14"/>
      <c r="U360" s="14"/>
      <c r="V360" s="14"/>
      <c r="W360" s="14"/>
      <c r="X360" s="14"/>
      <c r="Y360" s="14"/>
      <c r="Z360" s="14"/>
      <c r="AA360" s="14"/>
      <c r="AB360" s="14"/>
      <c r="AC360" s="14"/>
      <c r="AD360" s="12"/>
      <c r="AE360" s="12"/>
      <c r="AF360" s="12"/>
      <c r="AG360" s="78">
        <v>45524.0</v>
      </c>
      <c r="AH360" s="12"/>
      <c r="AI360" s="12"/>
      <c r="AJ360" s="12"/>
      <c r="AK360" s="11" t="s">
        <v>435</v>
      </c>
      <c r="AL360" s="12"/>
      <c r="AM360" s="12"/>
      <c r="AN360" s="11"/>
      <c r="AO360" s="140"/>
      <c r="AP360" s="140"/>
    </row>
    <row r="361">
      <c r="A361" s="124" t="s">
        <v>177</v>
      </c>
      <c r="B361" s="125">
        <v>45524.4520546875</v>
      </c>
      <c r="C361" s="126" t="s">
        <v>897</v>
      </c>
      <c r="D361" s="124" t="s">
        <v>51</v>
      </c>
      <c r="E361" s="124" t="s">
        <v>52</v>
      </c>
      <c r="F361" s="124" t="s">
        <v>40</v>
      </c>
      <c r="G361" s="124" t="s">
        <v>131</v>
      </c>
      <c r="H361" s="124" t="s">
        <v>625</v>
      </c>
      <c r="I361" s="145">
        <v>475.0</v>
      </c>
      <c r="J361" s="124" t="s">
        <v>43</v>
      </c>
      <c r="K361" s="128" t="s">
        <v>1019</v>
      </c>
      <c r="L361" s="124" t="s">
        <v>1020</v>
      </c>
      <c r="M361" s="124" t="s">
        <v>71</v>
      </c>
      <c r="N361" s="124" t="s">
        <v>96</v>
      </c>
      <c r="O361" s="124" t="s">
        <v>900</v>
      </c>
      <c r="P361" s="133"/>
      <c r="Q361" s="133"/>
      <c r="R361" s="133"/>
      <c r="S361" s="133"/>
      <c r="T361" s="133"/>
      <c r="U361" s="133"/>
      <c r="V361" s="133"/>
      <c r="W361" s="133"/>
      <c r="X361" s="133"/>
      <c r="Y361" s="133"/>
      <c r="Z361" s="133"/>
      <c r="AA361" s="133"/>
      <c r="AB361" s="133"/>
      <c r="AC361" s="133"/>
      <c r="AD361" s="132"/>
      <c r="AE361" s="132"/>
      <c r="AF361" s="132"/>
      <c r="AG361" s="124" t="s">
        <v>1021</v>
      </c>
      <c r="AH361" s="132"/>
      <c r="AI361" s="132"/>
      <c r="AJ361" s="132"/>
      <c r="AK361" s="124" t="s">
        <v>1022</v>
      </c>
      <c r="AL361" s="132"/>
      <c r="AM361" s="132"/>
      <c r="AN361" s="124"/>
      <c r="AO361" s="142"/>
      <c r="AP361" s="142"/>
    </row>
    <row r="362">
      <c r="A362" s="11" t="s">
        <v>36</v>
      </c>
      <c r="B362" s="9">
        <v>45524.62557123843</v>
      </c>
      <c r="C362" s="10" t="s">
        <v>747</v>
      </c>
      <c r="D362" s="11" t="s">
        <v>51</v>
      </c>
      <c r="E362" s="11" t="s">
        <v>52</v>
      </c>
      <c r="F362" s="11" t="s">
        <v>65</v>
      </c>
      <c r="G362" s="11" t="s">
        <v>54</v>
      </c>
      <c r="H362" s="11" t="s">
        <v>607</v>
      </c>
      <c r="I362" s="77">
        <v>218.0</v>
      </c>
      <c r="J362" s="11" t="s">
        <v>336</v>
      </c>
      <c r="K362" s="24" t="s">
        <v>1023</v>
      </c>
      <c r="L362" s="11" t="s">
        <v>1024</v>
      </c>
      <c r="M362" s="11" t="s">
        <v>71</v>
      </c>
      <c r="N362" s="11" t="s">
        <v>96</v>
      </c>
      <c r="O362" s="11" t="s">
        <v>749</v>
      </c>
      <c r="P362" s="14"/>
      <c r="Q362" s="14"/>
      <c r="R362" s="14"/>
      <c r="S362" s="14"/>
      <c r="T362" s="14"/>
      <c r="U362" s="14"/>
      <c r="V362" s="14"/>
      <c r="W362" s="14"/>
      <c r="X362" s="14"/>
      <c r="Y362" s="14"/>
      <c r="Z362" s="14"/>
      <c r="AA362" s="14"/>
      <c r="AB362" s="14"/>
      <c r="AC362" s="14"/>
      <c r="AD362" s="12"/>
      <c r="AE362" s="12"/>
      <c r="AF362" s="12"/>
      <c r="AG362" s="78">
        <v>45525.0</v>
      </c>
      <c r="AH362" s="12"/>
      <c r="AI362" s="12"/>
      <c r="AJ362" s="12"/>
      <c r="AK362" s="11" t="s">
        <v>435</v>
      </c>
      <c r="AL362" s="12"/>
      <c r="AM362" s="12"/>
      <c r="AN362" s="11"/>
      <c r="AO362" s="8" t="b">
        <v>1</v>
      </c>
      <c r="AP362" s="8"/>
    </row>
    <row r="363">
      <c r="A363" s="45" t="s">
        <v>36</v>
      </c>
      <c r="B363" s="9">
        <v>45524.65521201389</v>
      </c>
      <c r="C363" s="10" t="s">
        <v>1025</v>
      </c>
      <c r="D363" s="11" t="s">
        <v>1026</v>
      </c>
      <c r="E363" s="11" t="s">
        <v>52</v>
      </c>
      <c r="F363" s="11" t="s">
        <v>40</v>
      </c>
      <c r="G363" s="11" t="s">
        <v>41</v>
      </c>
      <c r="H363" s="11" t="s">
        <v>625</v>
      </c>
      <c r="I363" s="11" t="s">
        <v>1027</v>
      </c>
      <c r="J363" s="11" t="s">
        <v>1028</v>
      </c>
      <c r="K363" s="24" t="s">
        <v>1029</v>
      </c>
      <c r="L363" s="11" t="s">
        <v>1030</v>
      </c>
      <c r="M363" s="11" t="s">
        <v>71</v>
      </c>
      <c r="N363" s="11" t="s">
        <v>96</v>
      </c>
      <c r="O363" s="11" t="s">
        <v>1031</v>
      </c>
      <c r="P363" s="14"/>
      <c r="Q363" s="14"/>
      <c r="R363" s="14"/>
      <c r="S363" s="14"/>
      <c r="T363" s="14"/>
      <c r="U363" s="14"/>
      <c r="V363" s="14"/>
      <c r="W363" s="14"/>
      <c r="X363" s="14"/>
      <c r="Y363" s="14"/>
      <c r="Z363" s="14"/>
      <c r="AA363" s="14"/>
      <c r="AB363" s="14"/>
      <c r="AC363" s="14"/>
      <c r="AD363" s="12"/>
      <c r="AE363" s="12"/>
      <c r="AF363" s="12"/>
      <c r="AG363" s="12"/>
      <c r="AH363" s="12"/>
      <c r="AI363" s="12"/>
      <c r="AJ363" s="12"/>
      <c r="AK363" s="12"/>
      <c r="AL363" s="30"/>
      <c r="AM363" s="30"/>
      <c r="AN363" s="11"/>
      <c r="AO363" s="149"/>
      <c r="AP363" s="149"/>
    </row>
    <row r="364">
      <c r="A364" s="11" t="s">
        <v>36</v>
      </c>
      <c r="B364" s="9">
        <v>45525.34322623843</v>
      </c>
      <c r="C364" s="10" t="s">
        <v>1032</v>
      </c>
      <c r="D364" s="11" t="s">
        <v>124</v>
      </c>
      <c r="E364" s="11" t="s">
        <v>196</v>
      </c>
      <c r="F364" s="11" t="s">
        <v>210</v>
      </c>
      <c r="G364" s="11" t="s">
        <v>131</v>
      </c>
      <c r="H364" s="11" t="s">
        <v>625</v>
      </c>
      <c r="I364" s="77">
        <v>300.0</v>
      </c>
      <c r="J364" s="11" t="s">
        <v>1033</v>
      </c>
      <c r="K364" s="24" t="s">
        <v>1034</v>
      </c>
      <c r="L364" s="11" t="s">
        <v>1035</v>
      </c>
      <c r="M364" s="11" t="s">
        <v>71</v>
      </c>
      <c r="N364" s="11" t="s">
        <v>96</v>
      </c>
      <c r="O364" s="11" t="s">
        <v>1036</v>
      </c>
      <c r="P364" s="14"/>
      <c r="Q364" s="14"/>
      <c r="R364" s="14"/>
      <c r="S364" s="14"/>
      <c r="T364" s="14"/>
      <c r="U364" s="14"/>
      <c r="V364" s="14"/>
      <c r="W364" s="14"/>
      <c r="X364" s="14"/>
      <c r="Y364" s="14"/>
      <c r="Z364" s="14"/>
      <c r="AA364" s="14"/>
      <c r="AB364" s="14"/>
      <c r="AC364" s="14"/>
      <c r="AD364" s="12"/>
      <c r="AE364" s="12"/>
      <c r="AF364" s="12"/>
      <c r="AG364" s="78">
        <v>45525.0</v>
      </c>
      <c r="AH364" s="12"/>
      <c r="AI364" s="12"/>
      <c r="AJ364" s="12"/>
      <c r="AK364" s="11" t="s">
        <v>435</v>
      </c>
      <c r="AL364" s="12"/>
      <c r="AM364" s="12"/>
      <c r="AN364" s="11"/>
      <c r="AO364" s="8" t="b">
        <v>1</v>
      </c>
      <c r="AP364" s="8"/>
    </row>
    <row r="365">
      <c r="A365" s="153" t="s">
        <v>1037</v>
      </c>
      <c r="B365" s="154">
        <v>45525.35849517361</v>
      </c>
      <c r="C365" s="155" t="s">
        <v>37</v>
      </c>
      <c r="D365" s="153" t="s">
        <v>51</v>
      </c>
      <c r="E365" s="153" t="s">
        <v>52</v>
      </c>
      <c r="F365" s="153" t="s">
        <v>65</v>
      </c>
      <c r="G365" s="153" t="s">
        <v>41</v>
      </c>
      <c r="H365" s="153" t="s">
        <v>625</v>
      </c>
      <c r="I365" s="156">
        <v>1000.0</v>
      </c>
      <c r="J365" s="153" t="s">
        <v>336</v>
      </c>
      <c r="K365" s="157"/>
      <c r="L365" s="153" t="s">
        <v>1038</v>
      </c>
      <c r="M365" s="153" t="s">
        <v>71</v>
      </c>
      <c r="N365" s="153" t="s">
        <v>68</v>
      </c>
      <c r="O365" s="153" t="s">
        <v>1039</v>
      </c>
      <c r="P365" s="158"/>
      <c r="Q365" s="158"/>
      <c r="R365" s="158"/>
      <c r="S365" s="158"/>
      <c r="T365" s="158"/>
      <c r="U365" s="158"/>
      <c r="V365" s="158"/>
      <c r="W365" s="158"/>
      <c r="X365" s="158"/>
      <c r="Y365" s="158"/>
      <c r="Z365" s="158"/>
      <c r="AA365" s="158"/>
      <c r="AB365" s="158"/>
      <c r="AC365" s="158"/>
      <c r="AD365" s="157"/>
      <c r="AE365" s="157"/>
      <c r="AF365" s="157"/>
      <c r="AG365" s="159"/>
      <c r="AH365" s="157"/>
      <c r="AI365" s="157"/>
      <c r="AJ365" s="157"/>
      <c r="AK365" s="153" t="s">
        <v>1040</v>
      </c>
      <c r="AL365" s="157"/>
      <c r="AM365" s="157"/>
      <c r="AN365" s="153"/>
      <c r="AO365" s="160" t="b">
        <v>0</v>
      </c>
      <c r="AP365" s="160" t="b">
        <v>0</v>
      </c>
    </row>
    <row r="366">
      <c r="A366" s="11" t="s">
        <v>36</v>
      </c>
      <c r="B366" s="9">
        <v>45525.57248953704</v>
      </c>
      <c r="C366" s="10" t="s">
        <v>1041</v>
      </c>
      <c r="D366" s="11" t="s">
        <v>51</v>
      </c>
      <c r="E366" s="11" t="s">
        <v>52</v>
      </c>
      <c r="F366" s="11" t="s">
        <v>65</v>
      </c>
      <c r="G366" s="11" t="s">
        <v>54</v>
      </c>
      <c r="H366" s="11" t="s">
        <v>625</v>
      </c>
      <c r="I366" s="11" t="s">
        <v>1042</v>
      </c>
      <c r="J366" s="11" t="s">
        <v>189</v>
      </c>
      <c r="K366" s="12"/>
      <c r="L366" s="24" t="s">
        <v>1043</v>
      </c>
      <c r="M366" s="11" t="s">
        <v>71</v>
      </c>
      <c r="N366" s="11" t="s">
        <v>96</v>
      </c>
      <c r="O366" s="11" t="s">
        <v>1044</v>
      </c>
      <c r="P366" s="14"/>
      <c r="Q366" s="14"/>
      <c r="R366" s="14"/>
      <c r="S366" s="14"/>
      <c r="T366" s="14"/>
      <c r="U366" s="14"/>
      <c r="V366" s="14"/>
      <c r="W366" s="14"/>
      <c r="X366" s="14"/>
      <c r="Y366" s="14"/>
      <c r="Z366" s="14"/>
      <c r="AA366" s="14"/>
      <c r="AB366" s="14"/>
      <c r="AC366" s="14"/>
      <c r="AD366" s="12"/>
      <c r="AE366" s="12"/>
      <c r="AF366" s="12"/>
      <c r="AG366" s="78">
        <v>45530.0</v>
      </c>
      <c r="AH366" s="12"/>
      <c r="AI366" s="12"/>
      <c r="AJ366" s="12"/>
      <c r="AK366" s="11" t="s">
        <v>435</v>
      </c>
      <c r="AL366" s="12"/>
      <c r="AM366" s="12"/>
      <c r="AN366" s="11"/>
      <c r="AO366" s="140"/>
      <c r="AP366" s="140"/>
    </row>
    <row r="367">
      <c r="A367" s="11" t="s">
        <v>36</v>
      </c>
      <c r="B367" s="9">
        <v>45526.61718792824</v>
      </c>
      <c r="C367" s="10" t="s">
        <v>1045</v>
      </c>
      <c r="D367" s="11" t="s">
        <v>109</v>
      </c>
      <c r="E367" s="11" t="s">
        <v>52</v>
      </c>
      <c r="F367" s="11" t="s">
        <v>65</v>
      </c>
      <c r="G367" s="11" t="s">
        <v>54</v>
      </c>
      <c r="H367" s="11" t="s">
        <v>625</v>
      </c>
      <c r="I367" s="77">
        <v>425.0</v>
      </c>
      <c r="J367" s="11" t="s">
        <v>1046</v>
      </c>
      <c r="K367" s="12"/>
      <c r="L367" s="24" t="s">
        <v>1047</v>
      </c>
      <c r="M367" s="11" t="s">
        <v>71</v>
      </c>
      <c r="N367" s="11" t="s">
        <v>96</v>
      </c>
      <c r="O367" s="11" t="s">
        <v>1048</v>
      </c>
      <c r="P367" s="14"/>
      <c r="Q367" s="14"/>
      <c r="R367" s="14"/>
      <c r="S367" s="14"/>
      <c r="T367" s="14"/>
      <c r="U367" s="14"/>
      <c r="V367" s="14"/>
      <c r="W367" s="14"/>
      <c r="X367" s="14"/>
      <c r="Y367" s="14"/>
      <c r="Z367" s="14"/>
      <c r="AA367" s="14"/>
      <c r="AB367" s="14"/>
      <c r="AC367" s="14"/>
      <c r="AD367" s="12"/>
      <c r="AE367" s="12"/>
      <c r="AF367" s="12"/>
      <c r="AG367" s="78">
        <v>45530.0</v>
      </c>
      <c r="AH367" s="12"/>
      <c r="AI367" s="12"/>
      <c r="AJ367" s="12"/>
      <c r="AK367" s="11" t="s">
        <v>435</v>
      </c>
      <c r="AL367" s="12"/>
      <c r="AM367" s="12"/>
      <c r="AN367" s="11"/>
      <c r="AO367" s="140"/>
      <c r="AP367" s="140"/>
    </row>
    <row r="368">
      <c r="A368" s="11" t="s">
        <v>36</v>
      </c>
      <c r="B368" s="9">
        <v>45526.66449516204</v>
      </c>
      <c r="C368" s="10" t="s">
        <v>436</v>
      </c>
      <c r="D368" s="11" t="s">
        <v>51</v>
      </c>
      <c r="E368" s="11" t="s">
        <v>52</v>
      </c>
      <c r="F368" s="11" t="s">
        <v>40</v>
      </c>
      <c r="G368" s="11" t="s">
        <v>54</v>
      </c>
      <c r="H368" s="16" t="s">
        <v>679</v>
      </c>
      <c r="I368" s="11">
        <v>525.0</v>
      </c>
      <c r="J368" s="11" t="s">
        <v>100</v>
      </c>
      <c r="K368" s="12"/>
      <c r="L368" s="150" t="s">
        <v>1049</v>
      </c>
      <c r="M368" s="11" t="s">
        <v>71</v>
      </c>
      <c r="N368" s="11" t="s">
        <v>68</v>
      </c>
      <c r="O368" s="11" t="s">
        <v>1050</v>
      </c>
      <c r="P368" s="14"/>
      <c r="Q368" s="14"/>
      <c r="R368" s="14"/>
      <c r="S368" s="14"/>
      <c r="T368" s="14"/>
      <c r="U368" s="14"/>
      <c r="V368" s="14"/>
      <c r="W368" s="14"/>
      <c r="X368" s="14"/>
      <c r="Y368" s="14"/>
      <c r="Z368" s="14"/>
      <c r="AA368" s="14"/>
      <c r="AB368" s="14"/>
      <c r="AC368" s="14"/>
      <c r="AD368" s="12"/>
      <c r="AE368" s="12"/>
      <c r="AF368" s="12"/>
      <c r="AG368" s="78">
        <v>45530.0</v>
      </c>
      <c r="AH368" s="12"/>
      <c r="AI368" s="12"/>
      <c r="AJ368" s="12"/>
      <c r="AK368" s="11" t="s">
        <v>1051</v>
      </c>
      <c r="AL368" s="12"/>
      <c r="AM368" s="12"/>
      <c r="AN368" s="11"/>
      <c r="AO368" s="140"/>
      <c r="AP368" s="15" t="s">
        <v>58</v>
      </c>
    </row>
    <row r="369">
      <c r="A369" s="11" t="s">
        <v>36</v>
      </c>
      <c r="B369" s="9">
        <v>45527.466109409725</v>
      </c>
      <c r="C369" s="10" t="s">
        <v>416</v>
      </c>
      <c r="D369" s="11" t="s">
        <v>260</v>
      </c>
      <c r="E369" s="11" t="s">
        <v>138</v>
      </c>
      <c r="F369" s="11" t="s">
        <v>65</v>
      </c>
      <c r="G369" s="11" t="s">
        <v>54</v>
      </c>
      <c r="H369" s="11" t="s">
        <v>607</v>
      </c>
      <c r="I369" s="11">
        <v>286.0</v>
      </c>
      <c r="J369" s="11" t="s">
        <v>418</v>
      </c>
      <c r="K369" s="12"/>
      <c r="L369" s="11" t="s">
        <v>1052</v>
      </c>
      <c r="M369" s="11" t="s">
        <v>71</v>
      </c>
      <c r="N369" s="11" t="s">
        <v>68</v>
      </c>
      <c r="O369" s="11" t="s">
        <v>1053</v>
      </c>
      <c r="P369" s="14"/>
      <c r="Q369" s="14"/>
      <c r="R369" s="14"/>
      <c r="S369" s="14"/>
      <c r="T369" s="14"/>
      <c r="U369" s="14"/>
      <c r="V369" s="14"/>
      <c r="W369" s="14"/>
      <c r="X369" s="14"/>
      <c r="Y369" s="14"/>
      <c r="Z369" s="14"/>
      <c r="AA369" s="14"/>
      <c r="AB369" s="14"/>
      <c r="AC369" s="14"/>
      <c r="AD369" s="12"/>
      <c r="AE369" s="12"/>
      <c r="AF369" s="12"/>
      <c r="AG369" s="78">
        <v>45530.0</v>
      </c>
      <c r="AH369" s="12"/>
      <c r="AI369" s="12"/>
      <c r="AJ369" s="12"/>
      <c r="AK369" s="11" t="s">
        <v>435</v>
      </c>
      <c r="AL369" s="12"/>
      <c r="AM369" s="12"/>
      <c r="AN369" s="11"/>
      <c r="AO369" s="140"/>
      <c r="AP369" s="140"/>
    </row>
    <row r="370">
      <c r="A370" s="11" t="s">
        <v>36</v>
      </c>
      <c r="B370" s="9">
        <v>45527.6700244213</v>
      </c>
      <c r="C370" s="10" t="s">
        <v>737</v>
      </c>
      <c r="D370" s="11" t="s">
        <v>109</v>
      </c>
      <c r="E370" s="11" t="s">
        <v>52</v>
      </c>
      <c r="F370" s="11" t="s">
        <v>65</v>
      </c>
      <c r="G370" s="11" t="s">
        <v>131</v>
      </c>
      <c r="H370" s="11" t="s">
        <v>607</v>
      </c>
      <c r="I370" s="77">
        <v>155.0</v>
      </c>
      <c r="J370" s="11" t="s">
        <v>86</v>
      </c>
      <c r="K370" s="24" t="s">
        <v>1054</v>
      </c>
      <c r="L370" s="11" t="s">
        <v>1055</v>
      </c>
      <c r="M370" s="11" t="s">
        <v>71</v>
      </c>
      <c r="N370" s="11" t="s">
        <v>96</v>
      </c>
      <c r="O370" s="11" t="s">
        <v>740</v>
      </c>
      <c r="P370" s="14"/>
      <c r="Q370" s="14"/>
      <c r="R370" s="14"/>
      <c r="S370" s="14"/>
      <c r="T370" s="14"/>
      <c r="U370" s="14"/>
      <c r="V370" s="14"/>
      <c r="W370" s="14"/>
      <c r="X370" s="14"/>
      <c r="Y370" s="14"/>
      <c r="Z370" s="14"/>
      <c r="AA370" s="14"/>
      <c r="AB370" s="14"/>
      <c r="AC370" s="14"/>
      <c r="AD370" s="12"/>
      <c r="AE370" s="12"/>
      <c r="AF370" s="12"/>
      <c r="AG370" s="78">
        <v>45530.0</v>
      </c>
      <c r="AH370" s="12"/>
      <c r="AI370" s="12"/>
      <c r="AJ370" s="12"/>
      <c r="AK370" s="11" t="s">
        <v>435</v>
      </c>
      <c r="AL370" s="12"/>
      <c r="AM370" s="12"/>
      <c r="AN370" s="11"/>
      <c r="AO370" s="140"/>
      <c r="AP370" s="140"/>
    </row>
    <row r="371">
      <c r="A371" s="11" t="s">
        <v>36</v>
      </c>
      <c r="B371" s="9">
        <v>45530.466121805555</v>
      </c>
      <c r="C371" s="10" t="s">
        <v>385</v>
      </c>
      <c r="D371" s="11" t="s">
        <v>109</v>
      </c>
      <c r="E371" s="11" t="s">
        <v>52</v>
      </c>
      <c r="F371" s="11" t="s">
        <v>65</v>
      </c>
      <c r="G371" s="11" t="s">
        <v>54</v>
      </c>
      <c r="H371" s="11" t="s">
        <v>833</v>
      </c>
      <c r="I371" s="11" t="s">
        <v>1056</v>
      </c>
      <c r="J371" s="11" t="s">
        <v>102</v>
      </c>
      <c r="K371" s="11" t="s">
        <v>1057</v>
      </c>
      <c r="L371" s="11" t="s">
        <v>1058</v>
      </c>
      <c r="M371" s="11" t="s">
        <v>71</v>
      </c>
      <c r="N371" s="11" t="s">
        <v>96</v>
      </c>
      <c r="O371" s="11" t="s">
        <v>1059</v>
      </c>
      <c r="P371" s="14"/>
      <c r="Q371" s="14"/>
      <c r="R371" s="14"/>
      <c r="S371" s="14"/>
      <c r="T371" s="14"/>
      <c r="U371" s="14"/>
      <c r="V371" s="14"/>
      <c r="W371" s="14"/>
      <c r="X371" s="14"/>
      <c r="Y371" s="14"/>
      <c r="Z371" s="14"/>
      <c r="AA371" s="14"/>
      <c r="AB371" s="14"/>
      <c r="AC371" s="14"/>
      <c r="AD371" s="12"/>
      <c r="AE371" s="12"/>
      <c r="AF371" s="12"/>
      <c r="AG371" s="78">
        <v>45531.0</v>
      </c>
      <c r="AH371" s="12"/>
      <c r="AI371" s="12"/>
      <c r="AJ371" s="12"/>
      <c r="AK371" s="11" t="s">
        <v>45</v>
      </c>
      <c r="AL371" s="12"/>
      <c r="AM371" s="12"/>
      <c r="AN371" s="11"/>
      <c r="AO371" s="140"/>
      <c r="AP371" s="140"/>
    </row>
    <row r="372">
      <c r="A372" s="124" t="s">
        <v>177</v>
      </c>
      <c r="B372" s="125">
        <v>45530.592214143515</v>
      </c>
      <c r="C372" s="126" t="s">
        <v>1060</v>
      </c>
      <c r="D372" s="124" t="s">
        <v>389</v>
      </c>
      <c r="E372" s="124" t="s">
        <v>52</v>
      </c>
      <c r="F372" s="124" t="s">
        <v>65</v>
      </c>
      <c r="G372" s="124" t="s">
        <v>54</v>
      </c>
      <c r="H372" s="124" t="s">
        <v>833</v>
      </c>
      <c r="I372" s="145">
        <v>4000.0</v>
      </c>
      <c r="J372" s="124" t="s">
        <v>383</v>
      </c>
      <c r="K372" s="132"/>
      <c r="L372" s="124" t="s">
        <v>1061</v>
      </c>
      <c r="M372" s="124" t="s">
        <v>71</v>
      </c>
      <c r="N372" s="124" t="s">
        <v>96</v>
      </c>
      <c r="O372" s="124" t="s">
        <v>1062</v>
      </c>
      <c r="P372" s="133"/>
      <c r="Q372" s="133"/>
      <c r="R372" s="133"/>
      <c r="S372" s="133"/>
      <c r="T372" s="133"/>
      <c r="U372" s="133"/>
      <c r="V372" s="133"/>
      <c r="W372" s="133"/>
      <c r="X372" s="133"/>
      <c r="Y372" s="133"/>
      <c r="Z372" s="133"/>
      <c r="AA372" s="133"/>
      <c r="AB372" s="133"/>
      <c r="AC372" s="133"/>
      <c r="AD372" s="132"/>
      <c r="AE372" s="132"/>
      <c r="AF372" s="132"/>
      <c r="AG372" s="161"/>
      <c r="AH372" s="124" t="s">
        <v>1063</v>
      </c>
      <c r="AI372" s="132"/>
      <c r="AJ372" s="132"/>
      <c r="AK372" s="124" t="s">
        <v>1064</v>
      </c>
      <c r="AL372" s="132"/>
      <c r="AM372" s="132"/>
      <c r="AN372" s="124"/>
      <c r="AO372" s="142"/>
      <c r="AP372" s="142"/>
    </row>
    <row r="373">
      <c r="A373" s="11" t="s">
        <v>36</v>
      </c>
      <c r="B373" s="9">
        <v>45530.60930060185</v>
      </c>
      <c r="C373" s="10" t="s">
        <v>697</v>
      </c>
      <c r="D373" s="11" t="s">
        <v>832</v>
      </c>
      <c r="E373" s="11" t="s">
        <v>138</v>
      </c>
      <c r="F373" s="11" t="s">
        <v>65</v>
      </c>
      <c r="G373" s="11" t="s">
        <v>54</v>
      </c>
      <c r="H373" s="11" t="s">
        <v>625</v>
      </c>
      <c r="I373" s="11">
        <v>494.0</v>
      </c>
      <c r="J373" s="11" t="s">
        <v>418</v>
      </c>
      <c r="K373" s="12"/>
      <c r="L373" s="11" t="s">
        <v>968</v>
      </c>
      <c r="M373" s="11" t="s">
        <v>71</v>
      </c>
      <c r="N373" s="11" t="s">
        <v>96</v>
      </c>
      <c r="O373" s="11" t="s">
        <v>1065</v>
      </c>
      <c r="P373" s="14"/>
      <c r="Q373" s="14"/>
      <c r="R373" s="14"/>
      <c r="S373" s="14"/>
      <c r="T373" s="14"/>
      <c r="U373" s="14"/>
      <c r="V373" s="14"/>
      <c r="W373" s="14"/>
      <c r="X373" s="14"/>
      <c r="Y373" s="14"/>
      <c r="Z373" s="14"/>
      <c r="AA373" s="14"/>
      <c r="AB373" s="14"/>
      <c r="AC373" s="14"/>
      <c r="AD373" s="12"/>
      <c r="AE373" s="12"/>
      <c r="AF373" s="12"/>
      <c r="AG373" s="78">
        <v>45531.0</v>
      </c>
      <c r="AH373" s="12"/>
      <c r="AI373" s="12"/>
      <c r="AJ373" s="12"/>
      <c r="AK373" s="11" t="s">
        <v>1066</v>
      </c>
      <c r="AL373" s="12"/>
      <c r="AM373" s="12"/>
      <c r="AN373" s="11"/>
      <c r="AO373" s="140"/>
      <c r="AP373" s="140"/>
    </row>
    <row r="374">
      <c r="A374" s="11" t="s">
        <v>36</v>
      </c>
      <c r="B374" s="9">
        <v>45530.66075462963</v>
      </c>
      <c r="C374" s="10" t="s">
        <v>595</v>
      </c>
      <c r="D374" s="11" t="s">
        <v>109</v>
      </c>
      <c r="E374" s="11" t="s">
        <v>138</v>
      </c>
      <c r="F374" s="11" t="s">
        <v>65</v>
      </c>
      <c r="G374" s="11" t="s">
        <v>54</v>
      </c>
      <c r="H374" s="11" t="s">
        <v>607</v>
      </c>
      <c r="I374" s="77">
        <v>260.0</v>
      </c>
      <c r="J374" s="11" t="s">
        <v>1067</v>
      </c>
      <c r="K374" s="24" t="s">
        <v>1068</v>
      </c>
      <c r="L374" s="11" t="s">
        <v>1069</v>
      </c>
      <c r="M374" s="11" t="s">
        <v>71</v>
      </c>
      <c r="N374" s="11" t="s">
        <v>68</v>
      </c>
      <c r="O374" s="11" t="s">
        <v>1070</v>
      </c>
      <c r="P374" s="14"/>
      <c r="Q374" s="14"/>
      <c r="R374" s="14"/>
      <c r="S374" s="14"/>
      <c r="T374" s="14"/>
      <c r="U374" s="14"/>
      <c r="V374" s="14"/>
      <c r="W374" s="14"/>
      <c r="X374" s="14"/>
      <c r="Y374" s="14"/>
      <c r="Z374" s="14"/>
      <c r="AA374" s="14"/>
      <c r="AB374" s="14"/>
      <c r="AC374" s="14"/>
      <c r="AD374" s="12"/>
      <c r="AE374" s="12"/>
      <c r="AF374" s="12"/>
      <c r="AG374" s="78">
        <v>45531.0</v>
      </c>
      <c r="AH374" s="12"/>
      <c r="AI374" s="12"/>
      <c r="AJ374" s="12"/>
      <c r="AK374" s="11" t="s">
        <v>1071</v>
      </c>
      <c r="AL374" s="12"/>
      <c r="AM374" s="12"/>
      <c r="AN374" s="11"/>
      <c r="AO374" s="140"/>
      <c r="AP374" s="140"/>
    </row>
    <row r="375">
      <c r="A375" s="11" t="s">
        <v>36</v>
      </c>
      <c r="B375" s="9">
        <v>45530.6698955787</v>
      </c>
      <c r="C375" s="10" t="s">
        <v>1072</v>
      </c>
      <c r="D375" s="11" t="s">
        <v>51</v>
      </c>
      <c r="E375" s="11" t="s">
        <v>52</v>
      </c>
      <c r="F375" s="11" t="s">
        <v>40</v>
      </c>
      <c r="G375" s="11" t="s">
        <v>54</v>
      </c>
      <c r="H375" s="11" t="s">
        <v>625</v>
      </c>
      <c r="I375" s="11" t="s">
        <v>1073</v>
      </c>
      <c r="J375" s="11" t="s">
        <v>102</v>
      </c>
      <c r="K375" s="24" t="s">
        <v>1074</v>
      </c>
      <c r="L375" s="11" t="s">
        <v>1075</v>
      </c>
      <c r="M375" s="11" t="s">
        <v>71</v>
      </c>
      <c r="N375" s="11" t="s">
        <v>96</v>
      </c>
      <c r="O375" s="11" t="s">
        <v>1076</v>
      </c>
      <c r="P375" s="14"/>
      <c r="Q375" s="14"/>
      <c r="R375" s="14"/>
      <c r="S375" s="14"/>
      <c r="T375" s="14"/>
      <c r="U375" s="14"/>
      <c r="V375" s="14"/>
      <c r="W375" s="14"/>
      <c r="X375" s="14"/>
      <c r="Y375" s="14"/>
      <c r="Z375" s="14"/>
      <c r="AA375" s="14"/>
      <c r="AB375" s="14"/>
      <c r="AC375" s="14"/>
      <c r="AD375" s="12"/>
      <c r="AE375" s="12"/>
      <c r="AF375" s="12"/>
      <c r="AG375" s="78">
        <v>45531.0</v>
      </c>
      <c r="AH375" s="12"/>
      <c r="AI375" s="12"/>
      <c r="AJ375" s="12"/>
      <c r="AK375" s="11" t="s">
        <v>45</v>
      </c>
      <c r="AL375" s="12"/>
      <c r="AM375" s="12"/>
      <c r="AN375" s="11"/>
      <c r="AO375" s="140"/>
      <c r="AP375" s="140"/>
    </row>
    <row r="376">
      <c r="A376" s="124" t="s">
        <v>177</v>
      </c>
      <c r="B376" s="125">
        <v>45531.407894398144</v>
      </c>
      <c r="C376" s="126" t="s">
        <v>94</v>
      </c>
      <c r="D376" s="124" t="s">
        <v>51</v>
      </c>
      <c r="E376" s="124" t="s">
        <v>52</v>
      </c>
      <c r="F376" s="124" t="s">
        <v>65</v>
      </c>
      <c r="G376" s="124" t="s">
        <v>54</v>
      </c>
      <c r="H376" s="124" t="s">
        <v>625</v>
      </c>
      <c r="I376" s="124" t="s">
        <v>1077</v>
      </c>
      <c r="J376" s="124" t="s">
        <v>128</v>
      </c>
      <c r="K376" s="132"/>
      <c r="L376" s="128" t="s">
        <v>1078</v>
      </c>
      <c r="M376" s="124" t="s">
        <v>71</v>
      </c>
      <c r="N376" s="124" t="s">
        <v>96</v>
      </c>
      <c r="O376" s="124" t="s">
        <v>1079</v>
      </c>
      <c r="P376" s="133"/>
      <c r="Q376" s="133"/>
      <c r="R376" s="133"/>
      <c r="S376" s="133"/>
      <c r="T376" s="133"/>
      <c r="U376" s="133"/>
      <c r="V376" s="133"/>
      <c r="W376" s="133"/>
      <c r="X376" s="133"/>
      <c r="Y376" s="133"/>
      <c r="Z376" s="133"/>
      <c r="AA376" s="133"/>
      <c r="AB376" s="133"/>
      <c r="AC376" s="133"/>
      <c r="AD376" s="132"/>
      <c r="AE376" s="132"/>
      <c r="AF376" s="132"/>
      <c r="AG376" s="132"/>
      <c r="AH376" s="132"/>
      <c r="AI376" s="132"/>
      <c r="AJ376" s="132"/>
      <c r="AK376" s="124" t="s">
        <v>1080</v>
      </c>
      <c r="AL376" s="132"/>
      <c r="AM376" s="132"/>
      <c r="AN376" s="124"/>
      <c r="AO376" s="127" t="b">
        <v>1</v>
      </c>
      <c r="AP376" s="127" t="b">
        <v>0</v>
      </c>
    </row>
    <row r="377">
      <c r="A377" s="11" t="s">
        <v>36</v>
      </c>
      <c r="B377" s="9">
        <v>45531.41916568287</v>
      </c>
      <c r="C377" s="10" t="s">
        <v>586</v>
      </c>
      <c r="D377" s="11" t="s">
        <v>51</v>
      </c>
      <c r="E377" s="11" t="s">
        <v>52</v>
      </c>
      <c r="F377" s="11" t="s">
        <v>40</v>
      </c>
      <c r="G377" s="11" t="s">
        <v>131</v>
      </c>
      <c r="H377" s="11" t="s">
        <v>625</v>
      </c>
      <c r="I377" s="11" t="s">
        <v>1081</v>
      </c>
      <c r="J377" s="11" t="s">
        <v>102</v>
      </c>
      <c r="K377" s="24" t="s">
        <v>1082</v>
      </c>
      <c r="L377" s="24" t="s">
        <v>1083</v>
      </c>
      <c r="M377" s="11" t="s">
        <v>71</v>
      </c>
      <c r="N377" s="11" t="s">
        <v>96</v>
      </c>
      <c r="O377" s="11" t="s">
        <v>1084</v>
      </c>
      <c r="P377" s="14"/>
      <c r="Q377" s="14"/>
      <c r="R377" s="14"/>
      <c r="S377" s="14"/>
      <c r="T377" s="14"/>
      <c r="U377" s="14"/>
      <c r="V377" s="14"/>
      <c r="W377" s="14"/>
      <c r="X377" s="14"/>
      <c r="Y377" s="14"/>
      <c r="Z377" s="14"/>
      <c r="AA377" s="14"/>
      <c r="AB377" s="14"/>
      <c r="AC377" s="14"/>
      <c r="AD377" s="12"/>
      <c r="AE377" s="12"/>
      <c r="AF377" s="12"/>
      <c r="AG377" s="78">
        <v>45533.0</v>
      </c>
      <c r="AH377" s="12"/>
      <c r="AI377" s="12"/>
      <c r="AJ377" s="12"/>
      <c r="AK377" s="11" t="s">
        <v>45</v>
      </c>
      <c r="AL377" s="12"/>
      <c r="AM377" s="12"/>
      <c r="AN377" s="11"/>
      <c r="AO377" s="140"/>
      <c r="AP377" s="140"/>
    </row>
    <row r="378">
      <c r="A378" s="11" t="s">
        <v>36</v>
      </c>
      <c r="B378" s="9">
        <v>45531.425802233796</v>
      </c>
      <c r="C378" s="10" t="s">
        <v>1060</v>
      </c>
      <c r="D378" s="11" t="s">
        <v>389</v>
      </c>
      <c r="E378" s="11" t="s">
        <v>52</v>
      </c>
      <c r="F378" s="11" t="s">
        <v>65</v>
      </c>
      <c r="G378" s="11" t="s">
        <v>54</v>
      </c>
      <c r="H378" s="11" t="s">
        <v>607</v>
      </c>
      <c r="I378" s="77">
        <v>286.0</v>
      </c>
      <c r="J378" s="11" t="s">
        <v>383</v>
      </c>
      <c r="K378" s="24" t="s">
        <v>1085</v>
      </c>
      <c r="L378" s="11" t="s">
        <v>1086</v>
      </c>
      <c r="M378" s="11" t="s">
        <v>71</v>
      </c>
      <c r="N378" s="11" t="s">
        <v>96</v>
      </c>
      <c r="O378" s="11" t="s">
        <v>1062</v>
      </c>
      <c r="P378" s="14"/>
      <c r="Q378" s="14"/>
      <c r="R378" s="14"/>
      <c r="S378" s="14"/>
      <c r="T378" s="14"/>
      <c r="U378" s="14"/>
      <c r="V378" s="14"/>
      <c r="W378" s="14"/>
      <c r="X378" s="14"/>
      <c r="Y378" s="14"/>
      <c r="Z378" s="14"/>
      <c r="AA378" s="14"/>
      <c r="AB378" s="14"/>
      <c r="AC378" s="14"/>
      <c r="AD378" s="12"/>
      <c r="AE378" s="12"/>
      <c r="AF378" s="12"/>
      <c r="AG378" s="78">
        <v>45533.0</v>
      </c>
      <c r="AH378" s="12"/>
      <c r="AI378" s="12"/>
      <c r="AJ378" s="12"/>
      <c r="AK378" s="11" t="s">
        <v>45</v>
      </c>
      <c r="AL378" s="12"/>
      <c r="AM378" s="12"/>
      <c r="AN378" s="11"/>
      <c r="AO378" s="140"/>
      <c r="AP378" s="140"/>
    </row>
    <row r="379">
      <c r="A379" s="11" t="s">
        <v>36</v>
      </c>
      <c r="B379" s="9">
        <v>45531.44983243056</v>
      </c>
      <c r="C379" s="10" t="s">
        <v>1060</v>
      </c>
      <c r="D379" s="11" t="s">
        <v>109</v>
      </c>
      <c r="E379" s="11" t="s">
        <v>52</v>
      </c>
      <c r="F379" s="11" t="s">
        <v>65</v>
      </c>
      <c r="G379" s="11" t="s">
        <v>54</v>
      </c>
      <c r="H379" s="16" t="s">
        <v>679</v>
      </c>
      <c r="I379" s="71">
        <v>180.0</v>
      </c>
      <c r="J379" s="11" t="s">
        <v>383</v>
      </c>
      <c r="K379" s="12"/>
      <c r="L379" s="24" t="s">
        <v>1087</v>
      </c>
      <c r="M379" s="11" t="s">
        <v>71</v>
      </c>
      <c r="N379" s="11" t="s">
        <v>96</v>
      </c>
      <c r="O379" s="11" t="s">
        <v>1062</v>
      </c>
      <c r="P379" s="14"/>
      <c r="Q379" s="14"/>
      <c r="R379" s="14"/>
      <c r="S379" s="14"/>
      <c r="T379" s="14"/>
      <c r="U379" s="14"/>
      <c r="V379" s="14"/>
      <c r="W379" s="14"/>
      <c r="X379" s="14"/>
      <c r="Y379" s="14"/>
      <c r="Z379" s="14"/>
      <c r="AA379" s="14"/>
      <c r="AB379" s="14"/>
      <c r="AC379" s="14"/>
      <c r="AD379" s="12"/>
      <c r="AE379" s="12"/>
      <c r="AF379" s="12"/>
      <c r="AG379" s="78">
        <v>45533.0</v>
      </c>
      <c r="AH379" s="12"/>
      <c r="AI379" s="12"/>
      <c r="AJ379" s="12"/>
      <c r="AK379" s="11" t="s">
        <v>45</v>
      </c>
      <c r="AL379" s="12"/>
      <c r="AM379" s="12"/>
      <c r="AN379" s="11"/>
      <c r="AO379" s="140"/>
      <c r="AP379" s="15" t="s">
        <v>58</v>
      </c>
    </row>
    <row r="380">
      <c r="A380" s="124" t="s">
        <v>177</v>
      </c>
      <c r="B380" s="125">
        <v>45531.555325</v>
      </c>
      <c r="C380" s="126" t="s">
        <v>479</v>
      </c>
      <c r="D380" s="124" t="s">
        <v>109</v>
      </c>
      <c r="E380" s="124" t="s">
        <v>138</v>
      </c>
      <c r="F380" s="124" t="s">
        <v>65</v>
      </c>
      <c r="G380" s="124" t="s">
        <v>54</v>
      </c>
      <c r="H380" s="124" t="s">
        <v>833</v>
      </c>
      <c r="I380" s="124">
        <v>4000.0</v>
      </c>
      <c r="J380" s="124" t="s">
        <v>383</v>
      </c>
      <c r="K380" s="146" t="s">
        <v>1088</v>
      </c>
      <c r="L380" s="124" t="s">
        <v>1089</v>
      </c>
      <c r="M380" s="124" t="s">
        <v>71</v>
      </c>
      <c r="N380" s="124" t="s">
        <v>96</v>
      </c>
      <c r="O380" s="124" t="s">
        <v>1090</v>
      </c>
      <c r="P380" s="133"/>
      <c r="Q380" s="133"/>
      <c r="R380" s="133"/>
      <c r="S380" s="133"/>
      <c r="T380" s="133"/>
      <c r="U380" s="133"/>
      <c r="V380" s="133"/>
      <c r="W380" s="133"/>
      <c r="X380" s="133"/>
      <c r="Y380" s="133"/>
      <c r="Z380" s="133"/>
      <c r="AA380" s="133"/>
      <c r="AB380" s="133"/>
      <c r="AC380" s="133"/>
      <c r="AD380" s="132"/>
      <c r="AE380" s="132"/>
      <c r="AF380" s="132"/>
      <c r="AG380" s="132"/>
      <c r="AH380" s="124" t="s">
        <v>1091</v>
      </c>
      <c r="AI380" s="132"/>
      <c r="AJ380" s="132"/>
      <c r="AK380" s="124" t="s">
        <v>1092</v>
      </c>
      <c r="AL380" s="132"/>
      <c r="AM380" s="132"/>
      <c r="AN380" s="124"/>
      <c r="AO380" s="142"/>
      <c r="AP380" s="142"/>
    </row>
    <row r="381">
      <c r="A381" s="11" t="s">
        <v>36</v>
      </c>
      <c r="B381" s="9">
        <v>45531.599746817126</v>
      </c>
      <c r="C381" s="10" t="s">
        <v>479</v>
      </c>
      <c r="D381" s="11" t="s">
        <v>109</v>
      </c>
      <c r="E381" s="11" t="s">
        <v>138</v>
      </c>
      <c r="F381" s="11" t="s">
        <v>65</v>
      </c>
      <c r="G381" s="11" t="s">
        <v>54</v>
      </c>
      <c r="H381" s="11" t="s">
        <v>833</v>
      </c>
      <c r="I381" s="11">
        <v>6000.0</v>
      </c>
      <c r="J381" s="11" t="s">
        <v>383</v>
      </c>
      <c r="K381" s="24" t="s">
        <v>1093</v>
      </c>
      <c r="L381" s="11" t="s">
        <v>1094</v>
      </c>
      <c r="M381" s="11" t="s">
        <v>71</v>
      </c>
      <c r="N381" s="11" t="s">
        <v>96</v>
      </c>
      <c r="O381" s="11" t="s">
        <v>1095</v>
      </c>
      <c r="P381" s="14"/>
      <c r="Q381" s="14"/>
      <c r="R381" s="14"/>
      <c r="S381" s="14"/>
      <c r="T381" s="14"/>
      <c r="U381" s="14"/>
      <c r="V381" s="14"/>
      <c r="W381" s="14"/>
      <c r="X381" s="14"/>
      <c r="Y381" s="14"/>
      <c r="Z381" s="14"/>
      <c r="AA381" s="14"/>
      <c r="AB381" s="14"/>
      <c r="AC381" s="14"/>
      <c r="AD381" s="12"/>
      <c r="AE381" s="12"/>
      <c r="AF381" s="12"/>
      <c r="AG381" s="78">
        <v>45533.0</v>
      </c>
      <c r="AH381" s="12"/>
      <c r="AI381" s="12"/>
      <c r="AJ381" s="12"/>
      <c r="AK381" s="11" t="s">
        <v>45</v>
      </c>
      <c r="AL381" s="12"/>
      <c r="AM381" s="12"/>
      <c r="AN381" s="11"/>
      <c r="AO381" s="140"/>
      <c r="AP381" s="140"/>
    </row>
    <row r="382">
      <c r="A382" s="11" t="s">
        <v>36</v>
      </c>
      <c r="B382" s="9">
        <v>45531.622841585646</v>
      </c>
      <c r="C382" s="10" t="s">
        <v>586</v>
      </c>
      <c r="D382" s="11" t="s">
        <v>51</v>
      </c>
      <c r="E382" s="11" t="s">
        <v>52</v>
      </c>
      <c r="F382" s="11" t="s">
        <v>40</v>
      </c>
      <c r="G382" s="11" t="s">
        <v>131</v>
      </c>
      <c r="H382" s="11" t="s">
        <v>625</v>
      </c>
      <c r="I382" s="71">
        <v>678.0</v>
      </c>
      <c r="J382" s="11" t="s">
        <v>102</v>
      </c>
      <c r="K382" s="12"/>
      <c r="L382" s="24" t="s">
        <v>1096</v>
      </c>
      <c r="M382" s="11" t="s">
        <v>71</v>
      </c>
      <c r="N382" s="11" t="s">
        <v>96</v>
      </c>
      <c r="O382" s="11" t="s">
        <v>1097</v>
      </c>
      <c r="P382" s="14"/>
      <c r="Q382" s="14"/>
      <c r="R382" s="14"/>
      <c r="S382" s="14"/>
      <c r="T382" s="14"/>
      <c r="U382" s="14"/>
      <c r="V382" s="14"/>
      <c r="W382" s="14"/>
      <c r="X382" s="14"/>
      <c r="Y382" s="14"/>
      <c r="Z382" s="14"/>
      <c r="AA382" s="14"/>
      <c r="AB382" s="14"/>
      <c r="AC382" s="14"/>
      <c r="AD382" s="12"/>
      <c r="AE382" s="12"/>
      <c r="AF382" s="12"/>
      <c r="AG382" s="78">
        <v>45533.0</v>
      </c>
      <c r="AH382" s="12"/>
      <c r="AI382" s="12"/>
      <c r="AJ382" s="12"/>
      <c r="AK382" s="11" t="s">
        <v>45</v>
      </c>
      <c r="AL382" s="12"/>
      <c r="AM382" s="12"/>
      <c r="AN382" s="11"/>
      <c r="AO382" s="140"/>
      <c r="AP382" s="140"/>
    </row>
    <row r="383">
      <c r="A383" s="124" t="s">
        <v>177</v>
      </c>
      <c r="B383" s="125">
        <v>45531.78111978009</v>
      </c>
      <c r="C383" s="126" t="s">
        <v>123</v>
      </c>
      <c r="D383" s="124" t="s">
        <v>800</v>
      </c>
      <c r="E383" s="124" t="s">
        <v>800</v>
      </c>
      <c r="F383" s="124" t="s">
        <v>800</v>
      </c>
      <c r="G383" s="124" t="s">
        <v>800</v>
      </c>
      <c r="H383" s="124" t="s">
        <v>1098</v>
      </c>
      <c r="I383" s="145">
        <v>15000.0</v>
      </c>
      <c r="J383" s="124" t="s">
        <v>194</v>
      </c>
      <c r="K383" s="132"/>
      <c r="L383" s="132"/>
      <c r="M383" s="124" t="s">
        <v>71</v>
      </c>
      <c r="N383" s="124" t="s">
        <v>68</v>
      </c>
      <c r="O383" s="124" t="s">
        <v>1099</v>
      </c>
      <c r="P383" s="133"/>
      <c r="Q383" s="133"/>
      <c r="R383" s="133"/>
      <c r="S383" s="133"/>
      <c r="T383" s="133"/>
      <c r="U383" s="133"/>
      <c r="V383" s="133"/>
      <c r="W383" s="133"/>
      <c r="X383" s="133"/>
      <c r="Y383" s="133"/>
      <c r="Z383" s="133"/>
      <c r="AA383" s="133"/>
      <c r="AB383" s="133"/>
      <c r="AC383" s="133"/>
      <c r="AD383" s="132"/>
      <c r="AE383" s="132"/>
      <c r="AF383" s="132"/>
      <c r="AG383" s="161">
        <v>45533.0</v>
      </c>
      <c r="AH383" s="132"/>
      <c r="AI383" s="132"/>
      <c r="AJ383" s="132"/>
      <c r="AK383" s="124" t="s">
        <v>1100</v>
      </c>
      <c r="AL383" s="132"/>
      <c r="AM383" s="132"/>
      <c r="AN383" s="124"/>
      <c r="AO383" s="142"/>
      <c r="AP383" s="142"/>
    </row>
    <row r="384">
      <c r="A384" s="11" t="s">
        <v>36</v>
      </c>
      <c r="B384" s="9">
        <v>45532.4162774537</v>
      </c>
      <c r="C384" s="10" t="s">
        <v>323</v>
      </c>
      <c r="D384" s="11" t="s">
        <v>800</v>
      </c>
      <c r="E384" s="11" t="s">
        <v>800</v>
      </c>
      <c r="F384" s="11" t="s">
        <v>800</v>
      </c>
      <c r="G384" s="11" t="s">
        <v>800</v>
      </c>
      <c r="H384" s="11" t="s">
        <v>439</v>
      </c>
      <c r="I384" s="11" t="s">
        <v>1101</v>
      </c>
      <c r="J384" s="11" t="s">
        <v>194</v>
      </c>
      <c r="K384" s="12"/>
      <c r="L384" s="12"/>
      <c r="M384" s="11" t="s">
        <v>71</v>
      </c>
      <c r="N384" s="11" t="s">
        <v>68</v>
      </c>
      <c r="O384" s="11" t="s">
        <v>1013</v>
      </c>
      <c r="P384" s="14"/>
      <c r="Q384" s="14"/>
      <c r="R384" s="14"/>
      <c r="S384" s="14"/>
      <c r="T384" s="14"/>
      <c r="U384" s="14"/>
      <c r="V384" s="14"/>
      <c r="W384" s="14"/>
      <c r="X384" s="14"/>
      <c r="Y384" s="14"/>
      <c r="Z384" s="14"/>
      <c r="AA384" s="14"/>
      <c r="AB384" s="14"/>
      <c r="AC384" s="14"/>
      <c r="AD384" s="12"/>
      <c r="AE384" s="12"/>
      <c r="AF384" s="12"/>
      <c r="AG384" s="78">
        <v>45533.0</v>
      </c>
      <c r="AH384" s="12"/>
      <c r="AI384" s="12"/>
      <c r="AJ384" s="12"/>
      <c r="AK384" s="11" t="s">
        <v>45</v>
      </c>
      <c r="AL384" s="12"/>
      <c r="AM384" s="12"/>
      <c r="AN384" s="11"/>
      <c r="AO384" s="140"/>
      <c r="AP384" s="140"/>
    </row>
    <row r="385">
      <c r="A385" s="11" t="s">
        <v>36</v>
      </c>
      <c r="B385" s="9">
        <v>45532.422586932866</v>
      </c>
      <c r="C385" s="10" t="s">
        <v>323</v>
      </c>
      <c r="D385" s="11" t="s">
        <v>734</v>
      </c>
      <c r="E385" s="11" t="s">
        <v>735</v>
      </c>
      <c r="F385" s="11" t="s">
        <v>735</v>
      </c>
      <c r="G385" s="11" t="s">
        <v>735</v>
      </c>
      <c r="H385" s="11" t="s">
        <v>1098</v>
      </c>
      <c r="I385" s="71">
        <v>13000.0</v>
      </c>
      <c r="J385" s="11" t="s">
        <v>194</v>
      </c>
      <c r="K385" s="12"/>
      <c r="L385" s="12"/>
      <c r="M385" s="11" t="s">
        <v>71</v>
      </c>
      <c r="N385" s="11" t="s">
        <v>68</v>
      </c>
      <c r="O385" s="11" t="s">
        <v>1102</v>
      </c>
      <c r="P385" s="14"/>
      <c r="Q385" s="14"/>
      <c r="R385" s="14"/>
      <c r="S385" s="14"/>
      <c r="T385" s="14"/>
      <c r="U385" s="14"/>
      <c r="V385" s="14"/>
      <c r="W385" s="14"/>
      <c r="X385" s="14"/>
      <c r="Y385" s="14"/>
      <c r="Z385" s="14"/>
      <c r="AA385" s="14"/>
      <c r="AB385" s="14"/>
      <c r="AC385" s="14"/>
      <c r="AD385" s="12"/>
      <c r="AE385" s="12"/>
      <c r="AF385" s="12"/>
      <c r="AG385" s="78">
        <v>45533.0</v>
      </c>
      <c r="AH385" s="12"/>
      <c r="AI385" s="12"/>
      <c r="AJ385" s="12"/>
      <c r="AK385" s="11" t="s">
        <v>45</v>
      </c>
      <c r="AL385" s="12"/>
      <c r="AM385" s="12"/>
      <c r="AN385" s="11"/>
      <c r="AO385" s="140"/>
      <c r="AP385" s="140"/>
    </row>
    <row r="386">
      <c r="A386" s="11" t="s">
        <v>36</v>
      </c>
      <c r="B386" s="9">
        <v>45532.650156435186</v>
      </c>
      <c r="C386" s="10" t="s">
        <v>1103</v>
      </c>
      <c r="D386" s="11" t="s">
        <v>202</v>
      </c>
      <c r="E386" s="11" t="s">
        <v>52</v>
      </c>
      <c r="F386" s="11" t="s">
        <v>65</v>
      </c>
      <c r="G386" s="11" t="s">
        <v>54</v>
      </c>
      <c r="H386" s="11" t="s">
        <v>625</v>
      </c>
      <c r="I386" s="11" t="s">
        <v>1104</v>
      </c>
      <c r="J386" s="11" t="s">
        <v>121</v>
      </c>
      <c r="K386" s="12"/>
      <c r="L386" s="12"/>
      <c r="M386" s="11" t="s">
        <v>71</v>
      </c>
      <c r="N386" s="11" t="s">
        <v>68</v>
      </c>
      <c r="O386" s="11" t="s">
        <v>1105</v>
      </c>
      <c r="P386" s="14"/>
      <c r="Q386" s="14"/>
      <c r="R386" s="14"/>
      <c r="S386" s="14"/>
      <c r="T386" s="14"/>
      <c r="U386" s="14"/>
      <c r="V386" s="14"/>
      <c r="W386" s="14"/>
      <c r="X386" s="14"/>
      <c r="Y386" s="14"/>
      <c r="Z386" s="14"/>
      <c r="AA386" s="14"/>
      <c r="AB386" s="14"/>
      <c r="AC386" s="14"/>
      <c r="AD386" s="12"/>
      <c r="AE386" s="12"/>
      <c r="AF386" s="12"/>
      <c r="AG386" s="78">
        <v>45533.0</v>
      </c>
      <c r="AH386" s="12"/>
      <c r="AI386" s="12"/>
      <c r="AJ386" s="12"/>
      <c r="AK386" s="11" t="s">
        <v>45</v>
      </c>
      <c r="AL386" s="12"/>
      <c r="AM386" s="12"/>
      <c r="AN386" s="11"/>
      <c r="AO386" s="140" t="b">
        <v>0</v>
      </c>
      <c r="AP386" s="140"/>
    </row>
    <row r="387">
      <c r="A387" s="11" t="s">
        <v>36</v>
      </c>
      <c r="B387" s="9">
        <v>45533.552253726855</v>
      </c>
      <c r="C387" s="10" t="s">
        <v>1106</v>
      </c>
      <c r="D387" s="11" t="s">
        <v>109</v>
      </c>
      <c r="E387" s="11" t="s">
        <v>52</v>
      </c>
      <c r="F387" s="11" t="s">
        <v>40</v>
      </c>
      <c r="G387" s="11" t="s">
        <v>41</v>
      </c>
      <c r="H387" s="11" t="s">
        <v>625</v>
      </c>
      <c r="I387" s="77">
        <v>425.0</v>
      </c>
      <c r="J387" s="11" t="s">
        <v>1046</v>
      </c>
      <c r="K387" s="12"/>
      <c r="L387" s="24" t="s">
        <v>1107</v>
      </c>
      <c r="M387" s="11" t="s">
        <v>71</v>
      </c>
      <c r="N387" s="11" t="s">
        <v>96</v>
      </c>
      <c r="O387" s="11" t="s">
        <v>1108</v>
      </c>
      <c r="P387" s="14"/>
      <c r="Q387" s="14"/>
      <c r="R387" s="14"/>
      <c r="S387" s="14"/>
      <c r="T387" s="14"/>
      <c r="U387" s="14"/>
      <c r="V387" s="14"/>
      <c r="W387" s="14"/>
      <c r="X387" s="14"/>
      <c r="Y387" s="14"/>
      <c r="Z387" s="14"/>
      <c r="AA387" s="14"/>
      <c r="AB387" s="14"/>
      <c r="AC387" s="14"/>
      <c r="AD387" s="12"/>
      <c r="AE387" s="12"/>
      <c r="AF387" s="12"/>
      <c r="AG387" s="78">
        <v>45533.0</v>
      </c>
      <c r="AH387" s="12"/>
      <c r="AI387" s="12"/>
      <c r="AJ387" s="12"/>
      <c r="AK387" s="11" t="s">
        <v>45</v>
      </c>
      <c r="AL387" s="12"/>
      <c r="AM387" s="12"/>
      <c r="AN387" s="11"/>
      <c r="AO387" s="140"/>
      <c r="AP387" s="140"/>
    </row>
    <row r="388">
      <c r="A388" s="124" t="s">
        <v>36</v>
      </c>
      <c r="B388" s="125">
        <v>45533.74758916667</v>
      </c>
      <c r="C388" s="126" t="s">
        <v>123</v>
      </c>
      <c r="D388" s="124" t="s">
        <v>142</v>
      </c>
      <c r="E388" s="124" t="s">
        <v>52</v>
      </c>
      <c r="F388" s="124" t="s">
        <v>735</v>
      </c>
      <c r="G388" s="124" t="s">
        <v>735</v>
      </c>
      <c r="H388" s="124" t="s">
        <v>625</v>
      </c>
      <c r="I388" s="124" t="s">
        <v>1109</v>
      </c>
      <c r="J388" s="124" t="s">
        <v>194</v>
      </c>
      <c r="K388" s="132"/>
      <c r="L388" s="124" t="s">
        <v>1110</v>
      </c>
      <c r="M388" s="124" t="s">
        <v>71</v>
      </c>
      <c r="N388" s="124" t="s">
        <v>96</v>
      </c>
      <c r="O388" s="124" t="s">
        <v>1111</v>
      </c>
      <c r="P388" s="133"/>
      <c r="Q388" s="133"/>
      <c r="R388" s="133"/>
      <c r="S388" s="133"/>
      <c r="T388" s="133"/>
      <c r="U388" s="133"/>
      <c r="V388" s="133"/>
      <c r="W388" s="133"/>
      <c r="X388" s="133"/>
      <c r="Y388" s="133"/>
      <c r="Z388" s="133"/>
      <c r="AA388" s="133"/>
      <c r="AB388" s="133"/>
      <c r="AC388" s="133"/>
      <c r="AD388" s="132"/>
      <c r="AE388" s="132"/>
      <c r="AF388" s="132"/>
      <c r="AG388" s="161">
        <v>45581.0</v>
      </c>
      <c r="AH388" s="132"/>
      <c r="AI388" s="132"/>
      <c r="AJ388" s="132"/>
      <c r="AK388" s="124" t="s">
        <v>1112</v>
      </c>
      <c r="AL388" s="132"/>
      <c r="AM388" s="132"/>
      <c r="AN388" s="124"/>
      <c r="AO388" s="142"/>
      <c r="AP388" s="142"/>
    </row>
    <row r="389">
      <c r="A389" s="11" t="s">
        <v>36</v>
      </c>
      <c r="B389" s="9">
        <v>45534.436231886575</v>
      </c>
      <c r="C389" s="10" t="s">
        <v>245</v>
      </c>
      <c r="D389" s="11" t="s">
        <v>142</v>
      </c>
      <c r="E389" s="11" t="s">
        <v>52</v>
      </c>
      <c r="F389" s="11" t="s">
        <v>65</v>
      </c>
      <c r="G389" s="11" t="s">
        <v>54</v>
      </c>
      <c r="H389" s="11" t="s">
        <v>625</v>
      </c>
      <c r="I389" s="11" t="s">
        <v>1113</v>
      </c>
      <c r="J389" s="11" t="s">
        <v>102</v>
      </c>
      <c r="K389" s="12"/>
      <c r="L389" s="24" t="s">
        <v>1114</v>
      </c>
      <c r="M389" s="11" t="s">
        <v>71</v>
      </c>
      <c r="N389" s="11" t="s">
        <v>96</v>
      </c>
      <c r="O389" s="11" t="s">
        <v>1115</v>
      </c>
      <c r="P389" s="14"/>
      <c r="Q389" s="14"/>
      <c r="R389" s="14"/>
      <c r="S389" s="14"/>
      <c r="T389" s="14"/>
      <c r="U389" s="14"/>
      <c r="V389" s="14"/>
      <c r="W389" s="14"/>
      <c r="X389" s="14"/>
      <c r="Y389" s="14"/>
      <c r="Z389" s="14"/>
      <c r="AA389" s="14"/>
      <c r="AB389" s="14"/>
      <c r="AC389" s="14"/>
      <c r="AD389" s="12"/>
      <c r="AE389" s="12"/>
      <c r="AF389" s="12"/>
      <c r="AG389" s="78">
        <v>45581.0</v>
      </c>
      <c r="AH389" s="12"/>
      <c r="AI389" s="12"/>
      <c r="AJ389" s="12"/>
      <c r="AK389" s="11" t="s">
        <v>45</v>
      </c>
      <c r="AL389" s="12"/>
      <c r="AM389" s="12"/>
      <c r="AN389" s="11"/>
      <c r="AO389" s="140"/>
      <c r="AP389" s="140"/>
    </row>
    <row r="390">
      <c r="A390" s="11" t="s">
        <v>36</v>
      </c>
      <c r="B390" s="9">
        <v>45534.440855671295</v>
      </c>
      <c r="C390" s="10" t="s">
        <v>1116</v>
      </c>
      <c r="D390" s="11" t="s">
        <v>800</v>
      </c>
      <c r="E390" s="11" t="s">
        <v>800</v>
      </c>
      <c r="F390" s="11" t="s">
        <v>800</v>
      </c>
      <c r="G390" s="11" t="s">
        <v>800</v>
      </c>
      <c r="H390" s="11" t="s">
        <v>1117</v>
      </c>
      <c r="I390" s="11" t="s">
        <v>1118</v>
      </c>
      <c r="J390" s="11" t="s">
        <v>102</v>
      </c>
      <c r="K390" s="12"/>
      <c r="L390" s="12"/>
      <c r="M390" s="11" t="s">
        <v>71</v>
      </c>
      <c r="N390" s="11" t="s">
        <v>96</v>
      </c>
      <c r="O390" s="11" t="s">
        <v>1119</v>
      </c>
      <c r="P390" s="14"/>
      <c r="Q390" s="14"/>
      <c r="R390" s="14"/>
      <c r="S390" s="14"/>
      <c r="T390" s="14"/>
      <c r="U390" s="14"/>
      <c r="V390" s="14"/>
      <c r="W390" s="14"/>
      <c r="X390" s="14"/>
      <c r="Y390" s="14"/>
      <c r="Z390" s="14"/>
      <c r="AA390" s="14"/>
      <c r="AB390" s="14"/>
      <c r="AC390" s="14"/>
      <c r="AD390" s="12"/>
      <c r="AE390" s="12"/>
      <c r="AF390" s="12"/>
      <c r="AG390" s="78">
        <v>45534.0</v>
      </c>
      <c r="AH390" s="12"/>
      <c r="AI390" s="12"/>
      <c r="AJ390" s="12"/>
      <c r="AK390" s="11" t="s">
        <v>435</v>
      </c>
      <c r="AL390" s="12"/>
      <c r="AM390" s="12"/>
      <c r="AN390" s="11"/>
      <c r="AO390" s="140"/>
      <c r="AP390" s="140"/>
    </row>
    <row r="391">
      <c r="A391" s="45" t="s">
        <v>36</v>
      </c>
      <c r="B391" s="9">
        <v>45534.6842736574</v>
      </c>
      <c r="C391" s="10" t="s">
        <v>986</v>
      </c>
      <c r="D391" s="11" t="s">
        <v>51</v>
      </c>
      <c r="E391" s="11" t="s">
        <v>52</v>
      </c>
      <c r="F391" s="11" t="s">
        <v>210</v>
      </c>
      <c r="G391" s="11" t="s">
        <v>54</v>
      </c>
      <c r="H391" s="11" t="s">
        <v>607</v>
      </c>
      <c r="I391" s="11">
        <v>350.0</v>
      </c>
      <c r="J391" s="11" t="s">
        <v>626</v>
      </c>
      <c r="K391" s="12"/>
      <c r="L391" s="11" t="s">
        <v>1120</v>
      </c>
      <c r="M391" s="45" t="s">
        <v>71</v>
      </c>
      <c r="N391" s="45" t="s">
        <v>96</v>
      </c>
      <c r="O391" s="45" t="s">
        <v>1121</v>
      </c>
      <c r="P391" s="47"/>
      <c r="Q391" s="47"/>
      <c r="R391" s="47"/>
      <c r="S391" s="47"/>
      <c r="T391" s="47"/>
      <c r="U391" s="47"/>
      <c r="V391" s="47"/>
      <c r="W391" s="47"/>
      <c r="X391" s="47"/>
      <c r="Y391" s="47"/>
      <c r="Z391" s="47"/>
      <c r="AA391" s="47"/>
      <c r="AB391" s="47"/>
      <c r="AC391" s="47"/>
      <c r="AD391" s="30"/>
      <c r="AE391" s="30"/>
      <c r="AF391" s="30"/>
      <c r="AG391" s="78">
        <v>45540.0</v>
      </c>
      <c r="AH391" s="30"/>
      <c r="AI391" s="30"/>
      <c r="AJ391" s="30"/>
      <c r="AK391" s="11" t="s">
        <v>1122</v>
      </c>
      <c r="AL391" s="30"/>
      <c r="AM391" s="30"/>
      <c r="AN391" s="11"/>
      <c r="AO391" s="149"/>
      <c r="AP391" s="149"/>
    </row>
    <row r="392">
      <c r="A392" s="11" t="s">
        <v>36</v>
      </c>
      <c r="B392" s="9">
        <v>45534.77291564815</v>
      </c>
      <c r="C392" s="10" t="s">
        <v>272</v>
      </c>
      <c r="D392" s="11" t="s">
        <v>51</v>
      </c>
      <c r="E392" s="11" t="s">
        <v>52</v>
      </c>
      <c r="F392" s="11" t="s">
        <v>65</v>
      </c>
      <c r="G392" s="11" t="s">
        <v>131</v>
      </c>
      <c r="H392" s="11" t="s">
        <v>625</v>
      </c>
      <c r="I392" s="11" t="s">
        <v>1123</v>
      </c>
      <c r="J392" s="11" t="s">
        <v>189</v>
      </c>
      <c r="K392" s="12"/>
      <c r="L392" s="11" t="s">
        <v>1124</v>
      </c>
      <c r="M392" s="11" t="s">
        <v>71</v>
      </c>
      <c r="N392" s="11" t="s">
        <v>96</v>
      </c>
      <c r="O392" s="11" t="s">
        <v>1125</v>
      </c>
      <c r="P392" s="14"/>
      <c r="Q392" s="14"/>
      <c r="R392" s="14"/>
      <c r="S392" s="14"/>
      <c r="T392" s="14"/>
      <c r="U392" s="14"/>
      <c r="V392" s="14"/>
      <c r="W392" s="14"/>
      <c r="X392" s="14"/>
      <c r="Y392" s="14"/>
      <c r="Z392" s="14"/>
      <c r="AA392" s="14"/>
      <c r="AB392" s="14"/>
      <c r="AC392" s="14"/>
      <c r="AD392" s="12"/>
      <c r="AE392" s="12"/>
      <c r="AF392" s="12"/>
      <c r="AG392" s="78">
        <v>45540.0</v>
      </c>
      <c r="AH392" s="12"/>
      <c r="AI392" s="12"/>
      <c r="AJ392" s="12"/>
      <c r="AK392" s="11" t="s">
        <v>1122</v>
      </c>
      <c r="AL392" s="12"/>
      <c r="AM392" s="12"/>
      <c r="AN392" s="11"/>
      <c r="AO392" s="8" t="b">
        <v>1</v>
      </c>
      <c r="AP392" s="8"/>
    </row>
    <row r="393">
      <c r="A393" s="45" t="s">
        <v>177</v>
      </c>
      <c r="B393" s="9">
        <v>45538.416176921295</v>
      </c>
      <c r="C393" s="10" t="s">
        <v>94</v>
      </c>
      <c r="D393" s="11" t="s">
        <v>51</v>
      </c>
      <c r="E393" s="11" t="s">
        <v>52</v>
      </c>
      <c r="F393" s="11" t="s">
        <v>65</v>
      </c>
      <c r="G393" s="11" t="s">
        <v>54</v>
      </c>
      <c r="H393" s="11" t="s">
        <v>625</v>
      </c>
      <c r="I393" s="11" t="s">
        <v>1126</v>
      </c>
      <c r="J393" s="11" t="s">
        <v>128</v>
      </c>
      <c r="K393" s="28" t="s">
        <v>1127</v>
      </c>
      <c r="L393" s="11" t="s">
        <v>1128</v>
      </c>
      <c r="M393" s="11" t="s">
        <v>71</v>
      </c>
      <c r="N393" s="11" t="s">
        <v>96</v>
      </c>
      <c r="O393" s="45" t="s">
        <v>823</v>
      </c>
      <c r="P393" s="47"/>
      <c r="Q393" s="47"/>
      <c r="R393" s="47"/>
      <c r="S393" s="47"/>
      <c r="T393" s="47"/>
      <c r="U393" s="47"/>
      <c r="V393" s="47"/>
      <c r="W393" s="47"/>
      <c r="X393" s="47"/>
      <c r="Y393" s="47"/>
      <c r="Z393" s="47"/>
      <c r="AA393" s="47"/>
      <c r="AB393" s="47"/>
      <c r="AC393" s="47"/>
      <c r="AD393" s="30"/>
      <c r="AE393" s="30"/>
      <c r="AF393" s="30"/>
      <c r="AG393" s="30"/>
      <c r="AH393" s="30"/>
      <c r="AI393" s="30"/>
      <c r="AJ393" s="30"/>
      <c r="AK393" s="30"/>
      <c r="AL393" s="30"/>
      <c r="AM393" s="30"/>
      <c r="AN393" s="11"/>
      <c r="AO393" s="149" t="b">
        <v>0</v>
      </c>
      <c r="AP393" s="149" t="b">
        <v>0</v>
      </c>
    </row>
    <row r="394">
      <c r="A394" s="45" t="s">
        <v>177</v>
      </c>
      <c r="B394" s="9">
        <v>45538.42600155092</v>
      </c>
      <c r="C394" s="10" t="s">
        <v>50</v>
      </c>
      <c r="D394" s="11" t="s">
        <v>51</v>
      </c>
      <c r="E394" s="11" t="s">
        <v>52</v>
      </c>
      <c r="F394" s="11" t="s">
        <v>80</v>
      </c>
      <c r="G394" s="11" t="s">
        <v>131</v>
      </c>
      <c r="H394" s="11" t="s">
        <v>625</v>
      </c>
      <c r="I394" s="71">
        <v>1600.0</v>
      </c>
      <c r="J394" s="11" t="s">
        <v>121</v>
      </c>
      <c r="K394" s="12"/>
      <c r="L394" s="11" t="s">
        <v>1128</v>
      </c>
      <c r="M394" s="11" t="s">
        <v>71</v>
      </c>
      <c r="N394" s="11" t="s">
        <v>68</v>
      </c>
      <c r="O394" s="45" t="s">
        <v>1129</v>
      </c>
      <c r="P394" s="47"/>
      <c r="Q394" s="47"/>
      <c r="R394" s="47"/>
      <c r="S394" s="47"/>
      <c r="T394" s="47"/>
      <c r="U394" s="47"/>
      <c r="V394" s="47"/>
      <c r="W394" s="47"/>
      <c r="X394" s="47"/>
      <c r="Y394" s="47"/>
      <c r="Z394" s="47"/>
      <c r="AA394" s="47"/>
      <c r="AB394" s="47"/>
      <c r="AC394" s="47"/>
      <c r="AD394" s="30"/>
      <c r="AE394" s="30"/>
      <c r="AF394" s="30"/>
      <c r="AG394" s="30"/>
      <c r="AH394" s="30"/>
      <c r="AI394" s="30"/>
      <c r="AJ394" s="30"/>
      <c r="AK394" s="30"/>
      <c r="AL394" s="30"/>
      <c r="AM394" s="30"/>
      <c r="AN394" s="11"/>
      <c r="AO394" s="149" t="b">
        <v>0</v>
      </c>
      <c r="AP394" s="149" t="b">
        <v>0</v>
      </c>
    </row>
    <row r="395">
      <c r="A395" s="45" t="s">
        <v>36</v>
      </c>
      <c r="B395" s="9">
        <v>45538.50769615741</v>
      </c>
      <c r="C395" s="10" t="s">
        <v>872</v>
      </c>
      <c r="D395" s="11" t="s">
        <v>109</v>
      </c>
      <c r="E395" s="11" t="s">
        <v>52</v>
      </c>
      <c r="F395" s="11" t="s">
        <v>65</v>
      </c>
      <c r="G395" s="11" t="s">
        <v>54</v>
      </c>
      <c r="H395" s="11" t="s">
        <v>625</v>
      </c>
      <c r="I395" s="11">
        <v>5500.0</v>
      </c>
      <c r="J395" s="11" t="s">
        <v>244</v>
      </c>
      <c r="K395" s="28" t="s">
        <v>1130</v>
      </c>
      <c r="L395" s="11" t="s">
        <v>1131</v>
      </c>
      <c r="M395" s="11" t="s">
        <v>71</v>
      </c>
      <c r="N395" s="11" t="s">
        <v>96</v>
      </c>
      <c r="O395" s="45" t="s">
        <v>1132</v>
      </c>
      <c r="P395" s="47"/>
      <c r="Q395" s="47"/>
      <c r="R395" s="47"/>
      <c r="S395" s="47"/>
      <c r="T395" s="47"/>
      <c r="U395" s="47"/>
      <c r="V395" s="47"/>
      <c r="W395" s="47"/>
      <c r="X395" s="47"/>
      <c r="Y395" s="47"/>
      <c r="Z395" s="47"/>
      <c r="AA395" s="47"/>
      <c r="AB395" s="47"/>
      <c r="AC395" s="47"/>
      <c r="AD395" s="30"/>
      <c r="AE395" s="30"/>
      <c r="AF395" s="30"/>
      <c r="AG395" s="30"/>
      <c r="AH395" s="30"/>
      <c r="AI395" s="30"/>
      <c r="AJ395" s="30"/>
      <c r="AK395" s="30"/>
      <c r="AL395" s="30"/>
      <c r="AM395" s="30"/>
      <c r="AN395" s="11"/>
      <c r="AO395" s="149"/>
      <c r="AP395" s="149"/>
    </row>
    <row r="396">
      <c r="A396" s="11" t="s">
        <v>36</v>
      </c>
      <c r="B396" s="9">
        <v>45538.56592069444</v>
      </c>
      <c r="C396" s="10" t="s">
        <v>123</v>
      </c>
      <c r="D396" s="11" t="s">
        <v>800</v>
      </c>
      <c r="E396" s="11" t="s">
        <v>800</v>
      </c>
      <c r="F396" s="11" t="s">
        <v>800</v>
      </c>
      <c r="G396" s="11" t="s">
        <v>800</v>
      </c>
      <c r="H396" s="11" t="s">
        <v>42</v>
      </c>
      <c r="I396" s="11" t="s">
        <v>1133</v>
      </c>
      <c r="J396" s="11" t="s">
        <v>1134</v>
      </c>
      <c r="K396" s="12"/>
      <c r="L396" s="12"/>
      <c r="M396" s="11" t="s">
        <v>71</v>
      </c>
      <c r="N396" s="11" t="s">
        <v>68</v>
      </c>
      <c r="O396" s="11" t="s">
        <v>1135</v>
      </c>
      <c r="P396" s="14"/>
      <c r="Q396" s="14"/>
      <c r="R396" s="14"/>
      <c r="S396" s="14"/>
      <c r="T396" s="14"/>
      <c r="U396" s="14"/>
      <c r="V396" s="14"/>
      <c r="W396" s="14"/>
      <c r="X396" s="14"/>
      <c r="Y396" s="14"/>
      <c r="Z396" s="14"/>
      <c r="AA396" s="14"/>
      <c r="AB396" s="14"/>
      <c r="AC396" s="14"/>
      <c r="AD396" s="12"/>
      <c r="AE396" s="12"/>
      <c r="AF396" s="12"/>
      <c r="AG396" s="78">
        <v>45540.0</v>
      </c>
      <c r="AH396" s="12"/>
      <c r="AI396" s="12"/>
      <c r="AJ396" s="12"/>
      <c r="AK396" s="11" t="s">
        <v>1122</v>
      </c>
      <c r="AL396" s="12"/>
      <c r="AM396" s="12"/>
      <c r="AN396" s="11"/>
      <c r="AO396" s="140"/>
      <c r="AP396" s="140"/>
    </row>
    <row r="397">
      <c r="A397" s="11" t="s">
        <v>36</v>
      </c>
      <c r="B397" s="9">
        <v>45538.6061905324</v>
      </c>
      <c r="C397" s="10" t="s">
        <v>195</v>
      </c>
      <c r="D397" s="11" t="s">
        <v>51</v>
      </c>
      <c r="E397" s="11" t="s">
        <v>196</v>
      </c>
      <c r="F397" s="11" t="s">
        <v>80</v>
      </c>
      <c r="G397" s="11" t="s">
        <v>131</v>
      </c>
      <c r="H397" s="11" t="s">
        <v>833</v>
      </c>
      <c r="I397" s="71">
        <v>15000.0</v>
      </c>
      <c r="J397" s="11" t="s">
        <v>189</v>
      </c>
      <c r="K397" s="12"/>
      <c r="L397" s="11" t="s">
        <v>1136</v>
      </c>
      <c r="M397" s="11" t="s">
        <v>71</v>
      </c>
      <c r="N397" s="11" t="s">
        <v>96</v>
      </c>
      <c r="O397" s="11" t="s">
        <v>1137</v>
      </c>
      <c r="P397" s="14"/>
      <c r="Q397" s="14"/>
      <c r="R397" s="14"/>
      <c r="S397" s="14"/>
      <c r="T397" s="14"/>
      <c r="U397" s="14"/>
      <c r="V397" s="14"/>
      <c r="W397" s="14"/>
      <c r="X397" s="14"/>
      <c r="Y397" s="14"/>
      <c r="Z397" s="14"/>
      <c r="AA397" s="14"/>
      <c r="AB397" s="14"/>
      <c r="AC397" s="14"/>
      <c r="AD397" s="12"/>
      <c r="AE397" s="12"/>
      <c r="AF397" s="12"/>
      <c r="AG397" s="78">
        <v>6692953.0</v>
      </c>
      <c r="AH397" s="12"/>
      <c r="AI397" s="12"/>
      <c r="AJ397" s="12"/>
      <c r="AK397" s="11" t="s">
        <v>1122</v>
      </c>
      <c r="AL397" s="12"/>
      <c r="AM397" s="12"/>
      <c r="AN397" s="11"/>
      <c r="AO397" s="140"/>
      <c r="AP397" s="140"/>
    </row>
    <row r="398">
      <c r="A398" s="11" t="s">
        <v>36</v>
      </c>
      <c r="B398" s="9">
        <v>45538.613830208335</v>
      </c>
      <c r="C398" s="10" t="s">
        <v>195</v>
      </c>
      <c r="D398" s="11" t="s">
        <v>51</v>
      </c>
      <c r="E398" s="11" t="s">
        <v>196</v>
      </c>
      <c r="F398" s="11" t="s">
        <v>80</v>
      </c>
      <c r="G398" s="11" t="s">
        <v>131</v>
      </c>
      <c r="H398" s="11" t="s">
        <v>833</v>
      </c>
      <c r="I398" s="71">
        <v>15000.0</v>
      </c>
      <c r="J398" s="11" t="s">
        <v>189</v>
      </c>
      <c r="K398" s="12"/>
      <c r="L398" s="24" t="s">
        <v>1138</v>
      </c>
      <c r="M398" s="11" t="s">
        <v>71</v>
      </c>
      <c r="N398" s="11" t="s">
        <v>96</v>
      </c>
      <c r="O398" s="11" t="s">
        <v>189</v>
      </c>
      <c r="P398" s="14"/>
      <c r="Q398" s="14"/>
      <c r="R398" s="14"/>
      <c r="S398" s="14"/>
      <c r="T398" s="14"/>
      <c r="U398" s="14"/>
      <c r="V398" s="14"/>
      <c r="W398" s="14"/>
      <c r="X398" s="14"/>
      <c r="Y398" s="14"/>
      <c r="Z398" s="14"/>
      <c r="AA398" s="14"/>
      <c r="AB398" s="14"/>
      <c r="AC398" s="14"/>
      <c r="AD398" s="12"/>
      <c r="AE398" s="12"/>
      <c r="AF398" s="12"/>
      <c r="AG398" s="78">
        <v>6692953.0</v>
      </c>
      <c r="AH398" s="12"/>
      <c r="AI398" s="12"/>
      <c r="AJ398" s="12"/>
      <c r="AK398" s="11" t="s">
        <v>1122</v>
      </c>
      <c r="AL398" s="12"/>
      <c r="AM398" s="12"/>
      <c r="AN398" s="11"/>
      <c r="AO398" s="140"/>
      <c r="AP398" s="140"/>
    </row>
    <row r="399">
      <c r="A399" s="45" t="s">
        <v>36</v>
      </c>
      <c r="B399" s="9">
        <v>45538.61471447917</v>
      </c>
      <c r="C399" s="10" t="s">
        <v>424</v>
      </c>
      <c r="D399" s="11" t="s">
        <v>109</v>
      </c>
      <c r="E399" s="11" t="s">
        <v>138</v>
      </c>
      <c r="F399" s="11" t="s">
        <v>65</v>
      </c>
      <c r="G399" s="11" t="s">
        <v>41</v>
      </c>
      <c r="H399" s="11" t="s">
        <v>625</v>
      </c>
      <c r="I399" s="71">
        <v>1200.0</v>
      </c>
      <c r="J399" s="11" t="s">
        <v>754</v>
      </c>
      <c r="K399" s="12"/>
      <c r="L399" s="11" t="s">
        <v>1139</v>
      </c>
      <c r="M399" s="11" t="s">
        <v>71</v>
      </c>
      <c r="N399" s="11" t="s">
        <v>68</v>
      </c>
      <c r="O399" s="11" t="s">
        <v>1140</v>
      </c>
      <c r="P399" s="14"/>
      <c r="Q399" s="14"/>
      <c r="R399" s="14"/>
      <c r="S399" s="14"/>
      <c r="T399" s="14"/>
      <c r="U399" s="14"/>
      <c r="V399" s="14"/>
      <c r="W399" s="14"/>
      <c r="X399" s="14"/>
      <c r="Y399" s="14"/>
      <c r="Z399" s="14"/>
      <c r="AA399" s="14"/>
      <c r="AB399" s="14"/>
      <c r="AC399" s="14"/>
      <c r="AD399" s="30"/>
      <c r="AE399" s="30"/>
      <c r="AF399" s="30"/>
      <c r="AG399" s="30"/>
      <c r="AH399" s="30"/>
      <c r="AI399" s="30"/>
      <c r="AJ399" s="30"/>
      <c r="AK399" s="30"/>
      <c r="AL399" s="30"/>
      <c r="AM399" s="30"/>
      <c r="AN399" s="11"/>
      <c r="AO399" s="149" t="b">
        <v>0</v>
      </c>
      <c r="AP399" s="149"/>
    </row>
    <row r="400">
      <c r="A400" s="11" t="s">
        <v>177</v>
      </c>
      <c r="B400" s="9">
        <v>45538.618486238425</v>
      </c>
      <c r="C400" s="10" t="s">
        <v>195</v>
      </c>
      <c r="D400" s="11" t="s">
        <v>51</v>
      </c>
      <c r="E400" s="11" t="s">
        <v>196</v>
      </c>
      <c r="F400" s="11" t="s">
        <v>80</v>
      </c>
      <c r="G400" s="11" t="s">
        <v>131</v>
      </c>
      <c r="H400" s="11" t="s">
        <v>625</v>
      </c>
      <c r="I400" s="71">
        <v>10000.0</v>
      </c>
      <c r="J400" s="11" t="s">
        <v>189</v>
      </c>
      <c r="K400" s="12"/>
      <c r="L400" s="11" t="s">
        <v>1141</v>
      </c>
      <c r="M400" s="11" t="s">
        <v>71</v>
      </c>
      <c r="N400" s="11" t="s">
        <v>96</v>
      </c>
      <c r="O400" s="11" t="s">
        <v>189</v>
      </c>
      <c r="P400" s="14"/>
      <c r="Q400" s="14"/>
      <c r="R400" s="14"/>
      <c r="S400" s="14"/>
      <c r="T400" s="14"/>
      <c r="U400" s="14"/>
      <c r="V400" s="14"/>
      <c r="W400" s="14"/>
      <c r="X400" s="14"/>
      <c r="Y400" s="14"/>
      <c r="Z400" s="14"/>
      <c r="AA400" s="14"/>
      <c r="AB400" s="14"/>
      <c r="AC400" s="14"/>
      <c r="AD400" s="12"/>
      <c r="AE400" s="12"/>
      <c r="AF400" s="12"/>
      <c r="AG400" s="78">
        <v>6692953.0</v>
      </c>
      <c r="AH400" s="12"/>
      <c r="AI400" s="12"/>
      <c r="AJ400" s="12"/>
      <c r="AK400" s="11" t="s">
        <v>1142</v>
      </c>
      <c r="AL400" s="12"/>
      <c r="AM400" s="12"/>
      <c r="AN400" s="11"/>
      <c r="AO400" s="140"/>
      <c r="AP400" s="140"/>
    </row>
    <row r="401">
      <c r="A401" s="45" t="s">
        <v>36</v>
      </c>
      <c r="B401" s="9">
        <v>45538.62389584491</v>
      </c>
      <c r="C401" s="10" t="s">
        <v>195</v>
      </c>
      <c r="D401" s="11" t="s">
        <v>51</v>
      </c>
      <c r="E401" s="11" t="s">
        <v>196</v>
      </c>
      <c r="F401" s="11" t="s">
        <v>80</v>
      </c>
      <c r="G401" s="11" t="s">
        <v>131</v>
      </c>
      <c r="H401" s="11" t="s">
        <v>625</v>
      </c>
      <c r="I401" s="71">
        <v>10000.0</v>
      </c>
      <c r="J401" s="11" t="s">
        <v>189</v>
      </c>
      <c r="K401" s="12"/>
      <c r="L401" s="11" t="s">
        <v>1143</v>
      </c>
      <c r="M401" s="11" t="s">
        <v>71</v>
      </c>
      <c r="N401" s="11" t="s">
        <v>96</v>
      </c>
      <c r="O401" s="11" t="s">
        <v>1144</v>
      </c>
      <c r="P401" s="14"/>
      <c r="Q401" s="14"/>
      <c r="R401" s="14"/>
      <c r="S401" s="14"/>
      <c r="T401" s="14"/>
      <c r="U401" s="14"/>
      <c r="V401" s="14"/>
      <c r="W401" s="14"/>
      <c r="X401" s="14"/>
      <c r="Y401" s="14"/>
      <c r="Z401" s="14"/>
      <c r="AA401" s="14"/>
      <c r="AB401" s="14"/>
      <c r="AC401" s="14"/>
      <c r="AD401" s="30"/>
      <c r="AE401" s="30"/>
      <c r="AF401" s="30"/>
      <c r="AG401" s="30"/>
      <c r="AH401" s="30"/>
      <c r="AI401" s="30"/>
      <c r="AJ401" s="30"/>
      <c r="AK401" s="30"/>
      <c r="AL401" s="30"/>
      <c r="AM401" s="30"/>
      <c r="AN401" s="11"/>
      <c r="AO401" s="149"/>
      <c r="AP401" s="149"/>
    </row>
    <row r="402">
      <c r="A402" s="11" t="s">
        <v>36</v>
      </c>
      <c r="B402" s="9">
        <v>45538.7444029051</v>
      </c>
      <c r="C402" s="10" t="s">
        <v>516</v>
      </c>
      <c r="D402" s="11" t="s">
        <v>142</v>
      </c>
      <c r="E402" s="11" t="s">
        <v>735</v>
      </c>
      <c r="F402" s="11" t="s">
        <v>735</v>
      </c>
      <c r="G402" s="11" t="s">
        <v>735</v>
      </c>
      <c r="H402" s="11" t="s">
        <v>439</v>
      </c>
      <c r="I402" s="11" t="s">
        <v>1145</v>
      </c>
      <c r="J402" s="11" t="s">
        <v>383</v>
      </c>
      <c r="K402" s="12"/>
      <c r="L402" s="12"/>
      <c r="M402" s="11" t="s">
        <v>71</v>
      </c>
      <c r="N402" s="11" t="s">
        <v>68</v>
      </c>
      <c r="O402" s="11" t="s">
        <v>1146</v>
      </c>
      <c r="P402" s="14"/>
      <c r="Q402" s="14"/>
      <c r="R402" s="14"/>
      <c r="S402" s="14"/>
      <c r="T402" s="14"/>
      <c r="U402" s="14"/>
      <c r="V402" s="14"/>
      <c r="W402" s="14"/>
      <c r="X402" s="14"/>
      <c r="Y402" s="14"/>
      <c r="Z402" s="14"/>
      <c r="AA402" s="14"/>
      <c r="AB402" s="14"/>
      <c r="AC402" s="14"/>
      <c r="AD402" s="12"/>
      <c r="AE402" s="12"/>
      <c r="AF402" s="12"/>
      <c r="AG402" s="78">
        <v>45540.0</v>
      </c>
      <c r="AH402" s="12"/>
      <c r="AI402" s="12"/>
      <c r="AJ402" s="12"/>
      <c r="AK402" s="11" t="s">
        <v>45</v>
      </c>
      <c r="AL402" s="12"/>
      <c r="AM402" s="12"/>
      <c r="AN402" s="11"/>
      <c r="AO402" s="140"/>
      <c r="AP402" s="140"/>
    </row>
    <row r="403">
      <c r="A403" s="11" t="s">
        <v>36</v>
      </c>
      <c r="B403" s="9">
        <v>45539.571257222226</v>
      </c>
      <c r="C403" s="10" t="s">
        <v>374</v>
      </c>
      <c r="D403" s="11" t="s">
        <v>142</v>
      </c>
      <c r="E403" s="11" t="s">
        <v>52</v>
      </c>
      <c r="F403" s="11" t="s">
        <v>210</v>
      </c>
      <c r="G403" s="11" t="s">
        <v>41</v>
      </c>
      <c r="H403" s="11" t="s">
        <v>625</v>
      </c>
      <c r="I403" s="71">
        <v>295.0</v>
      </c>
      <c r="J403" s="11" t="s">
        <v>102</v>
      </c>
      <c r="K403" s="12"/>
      <c r="L403" s="11" t="s">
        <v>1147</v>
      </c>
      <c r="M403" s="11" t="s">
        <v>71</v>
      </c>
      <c r="N403" s="11" t="s">
        <v>96</v>
      </c>
      <c r="O403" s="11" t="s">
        <v>1148</v>
      </c>
      <c r="P403" s="14"/>
      <c r="Q403" s="14"/>
      <c r="R403" s="14"/>
      <c r="S403" s="14"/>
      <c r="T403" s="14"/>
      <c r="U403" s="14"/>
      <c r="V403" s="14"/>
      <c r="W403" s="14"/>
      <c r="X403" s="14"/>
      <c r="Y403" s="14"/>
      <c r="Z403" s="14"/>
      <c r="AA403" s="14"/>
      <c r="AB403" s="14"/>
      <c r="AC403" s="14"/>
      <c r="AD403" s="12"/>
      <c r="AE403" s="12"/>
      <c r="AF403" s="12"/>
      <c r="AG403" s="78">
        <v>45541.0</v>
      </c>
      <c r="AH403" s="12"/>
      <c r="AI403" s="12"/>
      <c r="AJ403" s="12"/>
      <c r="AK403" s="11" t="s">
        <v>45</v>
      </c>
      <c r="AL403" s="12"/>
      <c r="AM403" s="12"/>
      <c r="AN403" s="11"/>
      <c r="AO403" s="140"/>
      <c r="AP403" s="140"/>
    </row>
    <row r="404">
      <c r="A404" s="11" t="s">
        <v>36</v>
      </c>
      <c r="B404" s="9">
        <v>45539.573389791665</v>
      </c>
      <c r="C404" s="10" t="s">
        <v>240</v>
      </c>
      <c r="D404" s="11" t="s">
        <v>142</v>
      </c>
      <c r="E404" s="11" t="s">
        <v>1149</v>
      </c>
      <c r="F404" s="11" t="s">
        <v>139</v>
      </c>
      <c r="G404" s="11" t="s">
        <v>54</v>
      </c>
      <c r="H404" s="11" t="s">
        <v>625</v>
      </c>
      <c r="I404" s="77">
        <v>75.0</v>
      </c>
      <c r="J404" s="11" t="s">
        <v>102</v>
      </c>
      <c r="K404" s="12"/>
      <c r="L404" s="11" t="s">
        <v>1150</v>
      </c>
      <c r="M404" s="11" t="s">
        <v>71</v>
      </c>
      <c r="N404" s="11" t="s">
        <v>96</v>
      </c>
      <c r="O404" s="11" t="s">
        <v>1151</v>
      </c>
      <c r="P404" s="14"/>
      <c r="Q404" s="14"/>
      <c r="R404" s="14"/>
      <c r="S404" s="14"/>
      <c r="T404" s="14"/>
      <c r="U404" s="14"/>
      <c r="V404" s="14"/>
      <c r="W404" s="14"/>
      <c r="X404" s="14"/>
      <c r="Y404" s="14"/>
      <c r="Z404" s="14"/>
      <c r="AA404" s="14"/>
      <c r="AB404" s="14"/>
      <c r="AC404" s="14"/>
      <c r="AD404" s="12"/>
      <c r="AE404" s="12"/>
      <c r="AF404" s="12"/>
      <c r="AG404" s="78">
        <v>45541.0</v>
      </c>
      <c r="AH404" s="12"/>
      <c r="AI404" s="12"/>
      <c r="AJ404" s="12"/>
      <c r="AK404" s="11" t="s">
        <v>1152</v>
      </c>
      <c r="AL404" s="12"/>
      <c r="AM404" s="12"/>
      <c r="AN404" s="11"/>
      <c r="AO404" s="140"/>
      <c r="AP404" s="140"/>
    </row>
    <row r="405">
      <c r="A405" s="75" t="s">
        <v>1037</v>
      </c>
      <c r="B405" s="73">
        <v>45540.02934046296</v>
      </c>
      <c r="C405" s="74" t="s">
        <v>168</v>
      </c>
      <c r="D405" s="75" t="s">
        <v>704</v>
      </c>
      <c r="E405" s="75" t="s">
        <v>1153</v>
      </c>
      <c r="F405" s="75" t="s">
        <v>1153</v>
      </c>
      <c r="G405" s="75" t="s">
        <v>800</v>
      </c>
      <c r="H405" s="75" t="s">
        <v>833</v>
      </c>
      <c r="I405" s="75" t="s">
        <v>1154</v>
      </c>
      <c r="J405" s="75" t="s">
        <v>100</v>
      </c>
      <c r="K405" s="114"/>
      <c r="L405" s="75" t="s">
        <v>1155</v>
      </c>
      <c r="M405" s="75" t="s">
        <v>71</v>
      </c>
      <c r="N405" s="75" t="s">
        <v>96</v>
      </c>
      <c r="O405" s="75" t="s">
        <v>1156</v>
      </c>
      <c r="P405" s="129"/>
      <c r="Q405" s="129"/>
      <c r="R405" s="129"/>
      <c r="S405" s="129"/>
      <c r="T405" s="129"/>
      <c r="U405" s="129"/>
      <c r="V405" s="129"/>
      <c r="W405" s="129"/>
      <c r="X405" s="129"/>
      <c r="Y405" s="129"/>
      <c r="Z405" s="129"/>
      <c r="AA405" s="129"/>
      <c r="AB405" s="129"/>
      <c r="AC405" s="129"/>
      <c r="AD405" s="114"/>
      <c r="AE405" s="114"/>
      <c r="AF405" s="114"/>
      <c r="AG405" s="114"/>
      <c r="AH405" s="75" t="s">
        <v>1157</v>
      </c>
      <c r="AI405" s="114"/>
      <c r="AJ405" s="114"/>
      <c r="AK405" s="114"/>
      <c r="AL405" s="114"/>
      <c r="AM405" s="114"/>
      <c r="AN405" s="75"/>
      <c r="AO405" s="141"/>
      <c r="AP405" s="141"/>
    </row>
    <row r="406">
      <c r="A406" s="11" t="s">
        <v>36</v>
      </c>
      <c r="B406" s="9">
        <v>45540.35463582176</v>
      </c>
      <c r="C406" s="10" t="s">
        <v>333</v>
      </c>
      <c r="D406" s="11" t="s">
        <v>800</v>
      </c>
      <c r="E406" s="11" t="s">
        <v>800</v>
      </c>
      <c r="F406" s="11" t="s">
        <v>800</v>
      </c>
      <c r="G406" s="11" t="s">
        <v>800</v>
      </c>
      <c r="H406" s="11" t="s">
        <v>833</v>
      </c>
      <c r="I406" s="11" t="s">
        <v>1158</v>
      </c>
      <c r="J406" s="11" t="s">
        <v>102</v>
      </c>
      <c r="K406" s="12"/>
      <c r="L406" s="11" t="s">
        <v>1159</v>
      </c>
      <c r="M406" s="11" t="s">
        <v>71</v>
      </c>
      <c r="N406" s="11" t="s">
        <v>96</v>
      </c>
      <c r="O406" s="11" t="s">
        <v>1160</v>
      </c>
      <c r="P406" s="14"/>
      <c r="Q406" s="14"/>
      <c r="R406" s="14"/>
      <c r="S406" s="14"/>
      <c r="T406" s="14"/>
      <c r="U406" s="14"/>
      <c r="V406" s="14"/>
      <c r="W406" s="14"/>
      <c r="X406" s="14"/>
      <c r="Y406" s="14"/>
      <c r="Z406" s="14"/>
      <c r="AA406" s="14"/>
      <c r="AB406" s="14"/>
      <c r="AC406" s="14"/>
      <c r="AD406" s="12"/>
      <c r="AE406" s="12"/>
      <c r="AF406" s="12"/>
      <c r="AG406" s="78">
        <v>45541.0</v>
      </c>
      <c r="AH406" s="12"/>
      <c r="AI406" s="12"/>
      <c r="AJ406" s="12"/>
      <c r="AK406" s="11" t="s">
        <v>45</v>
      </c>
      <c r="AL406" s="12"/>
      <c r="AM406" s="12"/>
      <c r="AN406" s="11"/>
      <c r="AO406" s="140"/>
      <c r="AP406" s="140"/>
    </row>
    <row r="407">
      <c r="A407" s="11" t="s">
        <v>36</v>
      </c>
      <c r="B407" s="9">
        <v>45540.3738437963</v>
      </c>
      <c r="C407" s="10" t="s">
        <v>148</v>
      </c>
      <c r="D407" s="11" t="s">
        <v>51</v>
      </c>
      <c r="E407" s="11" t="s">
        <v>40</v>
      </c>
      <c r="F407" s="11" t="s">
        <v>80</v>
      </c>
      <c r="G407" s="11" t="s">
        <v>41</v>
      </c>
      <c r="H407" s="11" t="s">
        <v>625</v>
      </c>
      <c r="I407" s="71">
        <v>160.0</v>
      </c>
      <c r="J407" s="11" t="s">
        <v>100</v>
      </c>
      <c r="K407" s="12"/>
      <c r="L407" s="24" t="s">
        <v>1161</v>
      </c>
      <c r="M407" s="11" t="s">
        <v>71</v>
      </c>
      <c r="N407" s="11" t="s">
        <v>96</v>
      </c>
      <c r="O407" s="11" t="s">
        <v>907</v>
      </c>
      <c r="P407" s="14"/>
      <c r="Q407" s="14"/>
      <c r="R407" s="14"/>
      <c r="S407" s="14"/>
      <c r="T407" s="14"/>
      <c r="U407" s="14"/>
      <c r="V407" s="14"/>
      <c r="W407" s="14"/>
      <c r="X407" s="14"/>
      <c r="Y407" s="14"/>
      <c r="Z407" s="14"/>
      <c r="AA407" s="14"/>
      <c r="AB407" s="14"/>
      <c r="AC407" s="14"/>
      <c r="AD407" s="12"/>
      <c r="AE407" s="12"/>
      <c r="AF407" s="12"/>
      <c r="AG407" s="78">
        <v>45541.0</v>
      </c>
      <c r="AH407" s="12"/>
      <c r="AI407" s="12"/>
      <c r="AJ407" s="12"/>
      <c r="AK407" s="11" t="s">
        <v>45</v>
      </c>
      <c r="AL407" s="12"/>
      <c r="AM407" s="12"/>
      <c r="AN407" s="11"/>
      <c r="AO407" s="140"/>
      <c r="AP407" s="140"/>
    </row>
    <row r="408">
      <c r="A408" s="11" t="s">
        <v>36</v>
      </c>
      <c r="B408" s="9">
        <v>45540.492099016206</v>
      </c>
      <c r="C408" s="10" t="s">
        <v>108</v>
      </c>
      <c r="D408" s="11" t="s">
        <v>109</v>
      </c>
      <c r="E408" s="11" t="s">
        <v>52</v>
      </c>
      <c r="F408" s="11" t="s">
        <v>65</v>
      </c>
      <c r="G408" s="11" t="s">
        <v>54</v>
      </c>
      <c r="H408" s="11" t="s">
        <v>625</v>
      </c>
      <c r="I408" s="11">
        <v>670.96</v>
      </c>
      <c r="J408" s="11" t="s">
        <v>102</v>
      </c>
      <c r="K408" s="28" t="s">
        <v>1162</v>
      </c>
      <c r="L408" s="11" t="s">
        <v>1163</v>
      </c>
      <c r="M408" s="11" t="s">
        <v>71</v>
      </c>
      <c r="N408" s="11" t="s">
        <v>96</v>
      </c>
      <c r="O408" s="11" t="s">
        <v>1164</v>
      </c>
      <c r="P408" s="14"/>
      <c r="Q408" s="14"/>
      <c r="R408" s="14"/>
      <c r="S408" s="14"/>
      <c r="T408" s="14"/>
      <c r="U408" s="14"/>
      <c r="V408" s="14"/>
      <c r="W408" s="14"/>
      <c r="X408" s="14"/>
      <c r="Y408" s="14"/>
      <c r="Z408" s="14"/>
      <c r="AA408" s="14"/>
      <c r="AB408" s="14"/>
      <c r="AC408" s="14"/>
      <c r="AD408" s="12"/>
      <c r="AE408" s="12"/>
      <c r="AF408" s="12"/>
      <c r="AG408" s="78">
        <v>45541.0</v>
      </c>
      <c r="AH408" s="12"/>
      <c r="AI408" s="12"/>
      <c r="AJ408" s="12"/>
      <c r="AK408" s="11" t="s">
        <v>45</v>
      </c>
      <c r="AL408" s="12"/>
      <c r="AM408" s="12"/>
      <c r="AN408" s="11"/>
      <c r="AO408" s="140"/>
      <c r="AP408" s="140"/>
    </row>
    <row r="409">
      <c r="A409" s="45" t="s">
        <v>36</v>
      </c>
      <c r="B409" s="9">
        <v>45540.66719465278</v>
      </c>
      <c r="C409" s="10" t="s">
        <v>94</v>
      </c>
      <c r="D409" s="11" t="s">
        <v>51</v>
      </c>
      <c r="E409" s="11" t="s">
        <v>52</v>
      </c>
      <c r="F409" s="11" t="s">
        <v>65</v>
      </c>
      <c r="G409" s="11" t="s">
        <v>54</v>
      </c>
      <c r="H409" s="11" t="s">
        <v>625</v>
      </c>
      <c r="I409" s="71">
        <v>260.0</v>
      </c>
      <c r="J409" s="11" t="s">
        <v>128</v>
      </c>
      <c r="K409" s="12"/>
      <c r="L409" s="11" t="s">
        <v>1165</v>
      </c>
      <c r="M409" s="11" t="s">
        <v>71</v>
      </c>
      <c r="N409" s="11" t="s">
        <v>96</v>
      </c>
      <c r="O409" s="45" t="s">
        <v>823</v>
      </c>
      <c r="P409" s="47"/>
      <c r="Q409" s="47"/>
      <c r="R409" s="47"/>
      <c r="S409" s="47"/>
      <c r="T409" s="47"/>
      <c r="U409" s="47"/>
      <c r="V409" s="47"/>
      <c r="W409" s="47"/>
      <c r="X409" s="47"/>
      <c r="Y409" s="47"/>
      <c r="Z409" s="47"/>
      <c r="AA409" s="47"/>
      <c r="AB409" s="47"/>
      <c r="AC409" s="47"/>
      <c r="AD409" s="30"/>
      <c r="AE409" s="30"/>
      <c r="AF409" s="45" t="s">
        <v>1166</v>
      </c>
      <c r="AG409" s="30"/>
      <c r="AH409" s="30"/>
      <c r="AI409" s="30"/>
      <c r="AJ409" s="30"/>
      <c r="AK409" s="45" t="s">
        <v>1166</v>
      </c>
      <c r="AL409" s="30"/>
      <c r="AM409" s="30"/>
      <c r="AN409" s="11"/>
      <c r="AO409" s="42" t="b">
        <v>1</v>
      </c>
      <c r="AP409" s="42"/>
    </row>
    <row r="410">
      <c r="A410" s="11" t="s">
        <v>36</v>
      </c>
      <c r="B410" s="9">
        <v>45540.83882175926</v>
      </c>
      <c r="C410" s="10" t="s">
        <v>479</v>
      </c>
      <c r="D410" s="11" t="s">
        <v>109</v>
      </c>
      <c r="E410" s="11" t="s">
        <v>138</v>
      </c>
      <c r="F410" s="11" t="s">
        <v>65</v>
      </c>
      <c r="G410" s="11" t="s">
        <v>54</v>
      </c>
      <c r="H410" s="11" t="s">
        <v>833</v>
      </c>
      <c r="I410" s="122">
        <v>3000.0</v>
      </c>
      <c r="J410" s="11" t="s">
        <v>383</v>
      </c>
      <c r="K410" s="24" t="s">
        <v>1167</v>
      </c>
      <c r="L410" s="11" t="s">
        <v>1168</v>
      </c>
      <c r="M410" s="11" t="s">
        <v>71</v>
      </c>
      <c r="N410" s="11" t="s">
        <v>96</v>
      </c>
      <c r="O410" s="11" t="s">
        <v>1169</v>
      </c>
      <c r="P410" s="14"/>
      <c r="Q410" s="14"/>
      <c r="R410" s="14"/>
      <c r="S410" s="14"/>
      <c r="T410" s="14"/>
      <c r="U410" s="14"/>
      <c r="V410" s="14"/>
      <c r="W410" s="14"/>
      <c r="X410" s="14"/>
      <c r="Y410" s="14"/>
      <c r="Z410" s="14"/>
      <c r="AA410" s="14"/>
      <c r="AB410" s="14"/>
      <c r="AC410" s="14"/>
      <c r="AD410" s="12"/>
      <c r="AE410" s="12"/>
      <c r="AF410" s="12"/>
      <c r="AG410" s="78">
        <v>45545.0</v>
      </c>
      <c r="AH410" s="12"/>
      <c r="AI410" s="12"/>
      <c r="AJ410" s="12"/>
      <c r="AK410" s="11" t="s">
        <v>45</v>
      </c>
      <c r="AL410" s="12"/>
      <c r="AM410" s="12"/>
      <c r="AN410" s="11"/>
      <c r="AO410" s="140"/>
      <c r="AP410" s="140"/>
    </row>
    <row r="411">
      <c r="A411" s="11" t="s">
        <v>177</v>
      </c>
      <c r="B411" s="9">
        <v>45540.846202465276</v>
      </c>
      <c r="C411" s="10" t="s">
        <v>479</v>
      </c>
      <c r="D411" s="11" t="s">
        <v>109</v>
      </c>
      <c r="E411" s="11" t="s">
        <v>138</v>
      </c>
      <c r="F411" s="11" t="s">
        <v>65</v>
      </c>
      <c r="G411" s="11" t="s">
        <v>54</v>
      </c>
      <c r="H411" s="11" t="s">
        <v>833</v>
      </c>
      <c r="I411" s="11">
        <v>4000.0</v>
      </c>
      <c r="J411" s="11" t="s">
        <v>383</v>
      </c>
      <c r="K411" s="24" t="s">
        <v>1170</v>
      </c>
      <c r="L411" s="11" t="s">
        <v>1171</v>
      </c>
      <c r="M411" s="11" t="s">
        <v>71</v>
      </c>
      <c r="N411" s="11" t="s">
        <v>96</v>
      </c>
      <c r="O411" s="11" t="s">
        <v>1095</v>
      </c>
      <c r="P411" s="14"/>
      <c r="Q411" s="14"/>
      <c r="R411" s="14"/>
      <c r="S411" s="14"/>
      <c r="T411" s="14"/>
      <c r="U411" s="14"/>
      <c r="V411" s="14"/>
      <c r="W411" s="14"/>
      <c r="X411" s="14"/>
      <c r="Y411" s="14"/>
      <c r="Z411" s="14"/>
      <c r="AA411" s="14"/>
      <c r="AB411" s="14"/>
      <c r="AC411" s="14"/>
      <c r="AD411" s="12"/>
      <c r="AE411" s="12"/>
      <c r="AF411" s="12"/>
      <c r="AG411" s="12"/>
      <c r="AH411" s="12"/>
      <c r="AI411" s="12"/>
      <c r="AJ411" s="12"/>
      <c r="AK411" s="162" t="s">
        <v>1172</v>
      </c>
      <c r="AL411" s="12"/>
      <c r="AM411" s="12"/>
      <c r="AN411" s="11"/>
      <c r="AO411" s="140"/>
      <c r="AP411" s="140"/>
    </row>
    <row r="412">
      <c r="A412" s="124" t="s">
        <v>177</v>
      </c>
      <c r="B412" s="125">
        <v>45540.85776619213</v>
      </c>
      <c r="C412" s="126" t="s">
        <v>479</v>
      </c>
      <c r="D412" s="124" t="s">
        <v>109</v>
      </c>
      <c r="E412" s="124" t="s">
        <v>138</v>
      </c>
      <c r="F412" s="124" t="s">
        <v>65</v>
      </c>
      <c r="G412" s="124" t="s">
        <v>54</v>
      </c>
      <c r="H412" s="124" t="s">
        <v>833</v>
      </c>
      <c r="I412" s="124">
        <v>4000.0</v>
      </c>
      <c r="J412" s="124" t="s">
        <v>383</v>
      </c>
      <c r="K412" s="128" t="s">
        <v>1173</v>
      </c>
      <c r="L412" s="124" t="s">
        <v>1174</v>
      </c>
      <c r="M412" s="124" t="s">
        <v>71</v>
      </c>
      <c r="N412" s="124" t="s">
        <v>96</v>
      </c>
      <c r="O412" s="124" t="s">
        <v>1169</v>
      </c>
      <c r="P412" s="133"/>
      <c r="Q412" s="133"/>
      <c r="R412" s="133"/>
      <c r="S412" s="133"/>
      <c r="T412" s="133"/>
      <c r="U412" s="133"/>
      <c r="V412" s="133"/>
      <c r="W412" s="133"/>
      <c r="X412" s="133"/>
      <c r="Y412" s="133"/>
      <c r="Z412" s="133"/>
      <c r="AA412" s="133"/>
      <c r="AB412" s="133"/>
      <c r="AC412" s="133"/>
      <c r="AD412" s="132"/>
      <c r="AE412" s="132"/>
      <c r="AF412" s="132"/>
      <c r="AG412" s="132"/>
      <c r="AH412" s="132"/>
      <c r="AI412" s="132"/>
      <c r="AJ412" s="132"/>
      <c r="AK412" s="152" t="s">
        <v>1175</v>
      </c>
      <c r="AL412" s="132"/>
      <c r="AM412" s="132"/>
      <c r="AN412" s="124"/>
      <c r="AO412" s="142"/>
      <c r="AP412" s="142"/>
    </row>
    <row r="413">
      <c r="A413" s="75" t="s">
        <v>177</v>
      </c>
      <c r="B413" s="73">
        <v>45540.88187354167</v>
      </c>
      <c r="C413" s="74" t="s">
        <v>479</v>
      </c>
      <c r="D413" s="75" t="s">
        <v>109</v>
      </c>
      <c r="E413" s="75" t="s">
        <v>138</v>
      </c>
      <c r="F413" s="75" t="s">
        <v>65</v>
      </c>
      <c r="G413" s="75" t="s">
        <v>54</v>
      </c>
      <c r="H413" s="75" t="s">
        <v>833</v>
      </c>
      <c r="I413" s="75">
        <v>4000.0</v>
      </c>
      <c r="J413" s="75" t="s">
        <v>383</v>
      </c>
      <c r="K413" s="76" t="s">
        <v>1176</v>
      </c>
      <c r="L413" s="75" t="s">
        <v>1177</v>
      </c>
      <c r="M413" s="75" t="s">
        <v>71</v>
      </c>
      <c r="N413" s="75" t="s">
        <v>96</v>
      </c>
      <c r="O413" s="75" t="s">
        <v>1178</v>
      </c>
      <c r="P413" s="129"/>
      <c r="Q413" s="129"/>
      <c r="R413" s="129"/>
      <c r="S413" s="129"/>
      <c r="T413" s="129"/>
      <c r="U413" s="129"/>
      <c r="V413" s="129"/>
      <c r="W413" s="129"/>
      <c r="X413" s="129"/>
      <c r="Y413" s="129"/>
      <c r="Z413" s="129"/>
      <c r="AA413" s="129"/>
      <c r="AB413" s="129"/>
      <c r="AC413" s="129"/>
      <c r="AD413" s="114"/>
      <c r="AE413" s="114"/>
      <c r="AF413" s="114"/>
      <c r="AG413" s="114"/>
      <c r="AH413" s="114"/>
      <c r="AI413" s="114"/>
      <c r="AJ413" s="114"/>
      <c r="AK413" s="75" t="s">
        <v>1179</v>
      </c>
      <c r="AL413" s="114"/>
      <c r="AM413" s="114"/>
      <c r="AN413" s="75"/>
      <c r="AO413" s="141"/>
      <c r="AP413" s="141"/>
    </row>
    <row r="414">
      <c r="A414" s="11" t="s">
        <v>36</v>
      </c>
      <c r="B414" s="9">
        <v>45540.89228666667</v>
      </c>
      <c r="C414" s="10" t="s">
        <v>479</v>
      </c>
      <c r="D414" s="11" t="s">
        <v>109</v>
      </c>
      <c r="E414" s="11" t="s">
        <v>138</v>
      </c>
      <c r="F414" s="11" t="s">
        <v>65</v>
      </c>
      <c r="G414" s="11" t="s">
        <v>54</v>
      </c>
      <c r="H414" s="11" t="s">
        <v>833</v>
      </c>
      <c r="I414" s="11">
        <v>4000.0</v>
      </c>
      <c r="J414" s="11" t="s">
        <v>383</v>
      </c>
      <c r="K414" s="24" t="s">
        <v>1180</v>
      </c>
      <c r="L414" s="11" t="s">
        <v>1181</v>
      </c>
      <c r="M414" s="11" t="s">
        <v>71</v>
      </c>
      <c r="N414" s="11" t="s">
        <v>96</v>
      </c>
      <c r="O414" s="11" t="s">
        <v>1095</v>
      </c>
      <c r="P414" s="14"/>
      <c r="Q414" s="14"/>
      <c r="R414" s="14"/>
      <c r="S414" s="14"/>
      <c r="T414" s="14"/>
      <c r="U414" s="14"/>
      <c r="V414" s="14"/>
      <c r="W414" s="14"/>
      <c r="X414" s="14"/>
      <c r="Y414" s="14"/>
      <c r="Z414" s="14"/>
      <c r="AA414" s="14"/>
      <c r="AB414" s="14"/>
      <c r="AC414" s="14"/>
      <c r="AD414" s="12"/>
      <c r="AE414" s="12"/>
      <c r="AF414" s="12"/>
      <c r="AG414" s="78">
        <v>45638.0</v>
      </c>
      <c r="AH414" s="12"/>
      <c r="AI414" s="12"/>
      <c r="AJ414" s="12"/>
      <c r="AK414" s="11" t="s">
        <v>1182</v>
      </c>
      <c r="AL414" s="12"/>
      <c r="AM414" s="12"/>
      <c r="AN414" s="11"/>
      <c r="AO414" s="140"/>
      <c r="AP414" s="140"/>
    </row>
    <row r="415">
      <c r="A415" s="11" t="s">
        <v>36</v>
      </c>
      <c r="B415" s="9">
        <v>45541.624948275465</v>
      </c>
      <c r="C415" s="10" t="s">
        <v>148</v>
      </c>
      <c r="D415" s="11" t="s">
        <v>51</v>
      </c>
      <c r="E415" s="11" t="s">
        <v>40</v>
      </c>
      <c r="F415" s="11" t="s">
        <v>40</v>
      </c>
      <c r="G415" s="11" t="s">
        <v>41</v>
      </c>
      <c r="H415" s="11" t="s">
        <v>625</v>
      </c>
      <c r="I415" s="71">
        <v>525.0</v>
      </c>
      <c r="J415" s="11" t="s">
        <v>100</v>
      </c>
      <c r="K415" s="12"/>
      <c r="L415" s="24" t="s">
        <v>1183</v>
      </c>
      <c r="M415" s="11" t="s">
        <v>71</v>
      </c>
      <c r="N415" s="11" t="s">
        <v>96</v>
      </c>
      <c r="O415" s="11" t="s">
        <v>1184</v>
      </c>
      <c r="P415" s="14"/>
      <c r="Q415" s="14"/>
      <c r="R415" s="14"/>
      <c r="S415" s="14"/>
      <c r="T415" s="14"/>
      <c r="U415" s="14"/>
      <c r="V415" s="14"/>
      <c r="W415" s="14"/>
      <c r="X415" s="14"/>
      <c r="Y415" s="14"/>
      <c r="Z415" s="14"/>
      <c r="AA415" s="14"/>
      <c r="AB415" s="14"/>
      <c r="AC415" s="14"/>
      <c r="AD415" s="12"/>
      <c r="AE415" s="12"/>
      <c r="AF415" s="12"/>
      <c r="AG415" s="78">
        <v>45545.0</v>
      </c>
      <c r="AH415" s="12"/>
      <c r="AI415" s="12"/>
      <c r="AJ415" s="12"/>
      <c r="AK415" s="11" t="s">
        <v>45</v>
      </c>
      <c r="AL415" s="12"/>
      <c r="AM415" s="12"/>
      <c r="AN415" s="11"/>
      <c r="AO415" s="140"/>
      <c r="AP415" s="140"/>
    </row>
    <row r="416">
      <c r="A416" s="11" t="s">
        <v>36</v>
      </c>
      <c r="B416" s="9">
        <v>45543.80146710648</v>
      </c>
      <c r="C416" s="10" t="s">
        <v>1185</v>
      </c>
      <c r="D416" s="11" t="s">
        <v>1186</v>
      </c>
      <c r="E416" s="11" t="s">
        <v>52</v>
      </c>
      <c r="F416" s="11" t="s">
        <v>210</v>
      </c>
      <c r="G416" s="11" t="s">
        <v>131</v>
      </c>
      <c r="H416" s="11" t="s">
        <v>625</v>
      </c>
      <c r="I416" s="113">
        <v>1500.0</v>
      </c>
      <c r="J416" s="11" t="s">
        <v>229</v>
      </c>
      <c r="K416" s="12"/>
      <c r="L416" s="11" t="s">
        <v>1187</v>
      </c>
      <c r="M416" s="11" t="s">
        <v>71</v>
      </c>
      <c r="N416" s="11" t="s">
        <v>68</v>
      </c>
      <c r="O416" s="11" t="s">
        <v>1188</v>
      </c>
      <c r="P416" s="14"/>
      <c r="Q416" s="14"/>
      <c r="R416" s="14"/>
      <c r="S416" s="14"/>
      <c r="T416" s="14"/>
      <c r="U416" s="14"/>
      <c r="V416" s="14"/>
      <c r="W416" s="14"/>
      <c r="X416" s="14"/>
      <c r="Y416" s="14"/>
      <c r="Z416" s="14"/>
      <c r="AA416" s="14"/>
      <c r="AB416" s="14"/>
      <c r="AC416" s="14"/>
      <c r="AD416" s="12"/>
      <c r="AE416" s="12"/>
      <c r="AF416" s="12"/>
      <c r="AG416" s="78">
        <v>45545.0</v>
      </c>
      <c r="AH416" s="12"/>
      <c r="AI416" s="12"/>
      <c r="AJ416" s="12"/>
      <c r="AK416" s="11" t="s">
        <v>45</v>
      </c>
      <c r="AL416" s="12"/>
      <c r="AM416" s="12"/>
      <c r="AN416" s="11"/>
      <c r="AO416" s="140"/>
      <c r="AP416" s="140"/>
    </row>
    <row r="417">
      <c r="A417" s="11" t="s">
        <v>36</v>
      </c>
      <c r="B417" s="9">
        <v>45544.574307048606</v>
      </c>
      <c r="C417" s="10" t="s">
        <v>50</v>
      </c>
      <c r="D417" s="11" t="s">
        <v>800</v>
      </c>
      <c r="E417" s="11" t="s">
        <v>800</v>
      </c>
      <c r="F417" s="11" t="s">
        <v>800</v>
      </c>
      <c r="G417" s="11" t="s">
        <v>800</v>
      </c>
      <c r="H417" s="11" t="s">
        <v>466</v>
      </c>
      <c r="I417" s="11">
        <v>1000.0</v>
      </c>
      <c r="J417" s="11" t="s">
        <v>128</v>
      </c>
      <c r="K417" s="12"/>
      <c r="L417" s="12"/>
      <c r="M417" s="11" t="s">
        <v>71</v>
      </c>
      <c r="N417" s="11" t="s">
        <v>68</v>
      </c>
      <c r="O417" s="11" t="s">
        <v>1189</v>
      </c>
      <c r="P417" s="14"/>
      <c r="Q417" s="14"/>
      <c r="R417" s="14"/>
      <c r="S417" s="14"/>
      <c r="T417" s="14"/>
      <c r="U417" s="14"/>
      <c r="V417" s="14"/>
      <c r="W417" s="14"/>
      <c r="X417" s="14"/>
      <c r="Y417" s="14"/>
      <c r="Z417" s="14"/>
      <c r="AA417" s="14"/>
      <c r="AB417" s="14"/>
      <c r="AC417" s="14"/>
      <c r="AD417" s="12"/>
      <c r="AE417" s="12"/>
      <c r="AF417" s="12"/>
      <c r="AG417" s="78">
        <v>45545.0</v>
      </c>
      <c r="AH417" s="12"/>
      <c r="AI417" s="12"/>
      <c r="AJ417" s="12"/>
      <c r="AK417" s="11" t="s">
        <v>45</v>
      </c>
      <c r="AL417" s="12"/>
      <c r="AM417" s="12"/>
      <c r="AN417" s="11"/>
      <c r="AO417" s="8" t="b">
        <v>1</v>
      </c>
      <c r="AP417" s="8"/>
    </row>
    <row r="418">
      <c r="A418" s="11" t="s">
        <v>36</v>
      </c>
      <c r="B418" s="9">
        <v>45544.69121351852</v>
      </c>
      <c r="C418" s="10" t="s">
        <v>780</v>
      </c>
      <c r="D418" s="11" t="s">
        <v>202</v>
      </c>
      <c r="E418" s="11" t="s">
        <v>52</v>
      </c>
      <c r="F418" s="11" t="s">
        <v>65</v>
      </c>
      <c r="G418" s="11" t="s">
        <v>54</v>
      </c>
      <c r="H418" s="11" t="s">
        <v>625</v>
      </c>
      <c r="I418" s="71">
        <v>100.0</v>
      </c>
      <c r="J418" s="11" t="s">
        <v>82</v>
      </c>
      <c r="K418" s="24" t="s">
        <v>1190</v>
      </c>
      <c r="L418" s="11" t="s">
        <v>1191</v>
      </c>
      <c r="M418" s="11" t="s">
        <v>71</v>
      </c>
      <c r="N418" s="11" t="s">
        <v>96</v>
      </c>
      <c r="O418" s="11" t="s">
        <v>847</v>
      </c>
      <c r="P418" s="14"/>
      <c r="Q418" s="14"/>
      <c r="R418" s="14"/>
      <c r="S418" s="14"/>
      <c r="T418" s="14"/>
      <c r="U418" s="14"/>
      <c r="V418" s="14"/>
      <c r="W418" s="14"/>
      <c r="X418" s="14"/>
      <c r="Y418" s="14"/>
      <c r="Z418" s="14"/>
      <c r="AA418" s="14"/>
      <c r="AB418" s="14"/>
      <c r="AC418" s="14"/>
      <c r="AD418" s="12"/>
      <c r="AE418" s="12"/>
      <c r="AF418" s="12"/>
      <c r="AG418" s="78">
        <v>45545.0</v>
      </c>
      <c r="AH418" s="12"/>
      <c r="AI418" s="12"/>
      <c r="AJ418" s="12"/>
      <c r="AK418" s="24" t="s">
        <v>1192</v>
      </c>
      <c r="AL418" s="12"/>
      <c r="AM418" s="12"/>
      <c r="AN418" s="11"/>
      <c r="AO418" s="140"/>
      <c r="AP418" s="140"/>
    </row>
    <row r="419">
      <c r="A419" s="11" t="s">
        <v>36</v>
      </c>
      <c r="B419" s="9">
        <v>45545.479989467596</v>
      </c>
      <c r="C419" s="10" t="s">
        <v>284</v>
      </c>
      <c r="D419" s="11" t="s">
        <v>51</v>
      </c>
      <c r="E419" s="11" t="s">
        <v>138</v>
      </c>
      <c r="F419" s="11" t="s">
        <v>65</v>
      </c>
      <c r="G419" s="11" t="s">
        <v>54</v>
      </c>
      <c r="H419" s="11" t="s">
        <v>833</v>
      </c>
      <c r="I419" s="11" t="s">
        <v>1193</v>
      </c>
      <c r="J419" s="11" t="s">
        <v>102</v>
      </c>
      <c r="K419" s="24" t="s">
        <v>1194</v>
      </c>
      <c r="L419" s="11" t="s">
        <v>1195</v>
      </c>
      <c r="M419" s="11" t="s">
        <v>71</v>
      </c>
      <c r="N419" s="11" t="s">
        <v>68</v>
      </c>
      <c r="O419" s="11" t="s">
        <v>1036</v>
      </c>
      <c r="P419" s="14"/>
      <c r="Q419" s="14"/>
      <c r="R419" s="14"/>
      <c r="S419" s="14"/>
      <c r="T419" s="14"/>
      <c r="U419" s="14"/>
      <c r="V419" s="14"/>
      <c r="W419" s="14"/>
      <c r="X419" s="14"/>
      <c r="Y419" s="14"/>
      <c r="Z419" s="14"/>
      <c r="AA419" s="14"/>
      <c r="AB419" s="14"/>
      <c r="AC419" s="14"/>
      <c r="AD419" s="12"/>
      <c r="AE419" s="12"/>
      <c r="AF419" s="12"/>
      <c r="AG419" s="78">
        <v>45545.0</v>
      </c>
      <c r="AH419" s="12"/>
      <c r="AI419" s="12"/>
      <c r="AJ419" s="12"/>
      <c r="AK419" s="11" t="s">
        <v>45</v>
      </c>
      <c r="AL419" s="12"/>
      <c r="AM419" s="12"/>
      <c r="AN419" s="11"/>
      <c r="AO419" s="140"/>
      <c r="AP419" s="140"/>
    </row>
    <row r="420">
      <c r="A420" s="11" t="s">
        <v>36</v>
      </c>
      <c r="B420" s="9">
        <v>45545.48844943287</v>
      </c>
      <c r="C420" s="10" t="s">
        <v>123</v>
      </c>
      <c r="D420" s="11" t="s">
        <v>800</v>
      </c>
      <c r="E420" s="11" t="s">
        <v>800</v>
      </c>
      <c r="F420" s="11" t="s">
        <v>800</v>
      </c>
      <c r="G420" s="11" t="s">
        <v>800</v>
      </c>
      <c r="H420" s="11" t="s">
        <v>625</v>
      </c>
      <c r="I420" s="11">
        <v>3000.0</v>
      </c>
      <c r="J420" s="11" t="s">
        <v>121</v>
      </c>
      <c r="K420" s="28" t="s">
        <v>1196</v>
      </c>
      <c r="L420" s="24" t="s">
        <v>1197</v>
      </c>
      <c r="M420" s="11" t="s">
        <v>71</v>
      </c>
      <c r="N420" s="11" t="s">
        <v>96</v>
      </c>
      <c r="O420" s="11" t="s">
        <v>1198</v>
      </c>
      <c r="P420" s="14"/>
      <c r="Q420" s="14"/>
      <c r="R420" s="14"/>
      <c r="S420" s="14"/>
      <c r="T420" s="14"/>
      <c r="U420" s="14"/>
      <c r="V420" s="14"/>
      <c r="W420" s="14"/>
      <c r="X420" s="14"/>
      <c r="Y420" s="14"/>
      <c r="Z420" s="14"/>
      <c r="AA420" s="14"/>
      <c r="AB420" s="14"/>
      <c r="AC420" s="14"/>
      <c r="AD420" s="12"/>
      <c r="AE420" s="12"/>
      <c r="AF420" s="12"/>
      <c r="AG420" s="78">
        <v>45545.0</v>
      </c>
      <c r="AH420" s="12"/>
      <c r="AI420" s="12"/>
      <c r="AJ420" s="12"/>
      <c r="AK420" s="11" t="s">
        <v>45</v>
      </c>
      <c r="AL420" s="12"/>
      <c r="AM420" s="12"/>
      <c r="AN420" s="11"/>
      <c r="AO420" s="140" t="b">
        <v>0</v>
      </c>
      <c r="AP420" s="140"/>
    </row>
    <row r="421">
      <c r="A421" s="11" t="s">
        <v>36</v>
      </c>
      <c r="B421" s="9">
        <v>45545.497731944444</v>
      </c>
      <c r="C421" s="10" t="s">
        <v>366</v>
      </c>
      <c r="D421" s="11" t="s">
        <v>142</v>
      </c>
      <c r="E421" s="11" t="s">
        <v>52</v>
      </c>
      <c r="F421" s="11" t="s">
        <v>65</v>
      </c>
      <c r="G421" s="11" t="s">
        <v>54</v>
      </c>
      <c r="H421" s="11" t="s">
        <v>625</v>
      </c>
      <c r="I421" s="71">
        <v>450.0</v>
      </c>
      <c r="J421" s="11" t="s">
        <v>102</v>
      </c>
      <c r="K421" s="28" t="s">
        <v>1199</v>
      </c>
      <c r="L421" s="24" t="s">
        <v>1200</v>
      </c>
      <c r="M421" s="11" t="s">
        <v>71</v>
      </c>
      <c r="N421" s="11" t="s">
        <v>96</v>
      </c>
      <c r="O421" s="11" t="s">
        <v>1201</v>
      </c>
      <c r="P421" s="14"/>
      <c r="Q421" s="14"/>
      <c r="R421" s="14"/>
      <c r="S421" s="14"/>
      <c r="T421" s="14"/>
      <c r="U421" s="14"/>
      <c r="V421" s="14"/>
      <c r="W421" s="14"/>
      <c r="X421" s="14"/>
      <c r="Y421" s="14"/>
      <c r="Z421" s="14"/>
      <c r="AA421" s="14"/>
      <c r="AB421" s="14"/>
      <c r="AC421" s="14"/>
      <c r="AD421" s="12"/>
      <c r="AE421" s="12"/>
      <c r="AF421" s="12"/>
      <c r="AG421" s="78">
        <v>45545.0</v>
      </c>
      <c r="AH421" s="12"/>
      <c r="AI421" s="12"/>
      <c r="AJ421" s="12"/>
      <c r="AK421" s="11" t="s">
        <v>45</v>
      </c>
      <c r="AL421" s="12"/>
      <c r="AM421" s="12"/>
      <c r="AN421" s="11"/>
      <c r="AO421" s="140"/>
      <c r="AP421" s="140"/>
    </row>
    <row r="422">
      <c r="A422" s="11" t="s">
        <v>36</v>
      </c>
      <c r="B422" s="9">
        <v>45545.53050415509</v>
      </c>
      <c r="C422" s="10" t="s">
        <v>374</v>
      </c>
      <c r="D422" s="11" t="s">
        <v>142</v>
      </c>
      <c r="E422" s="11" t="s">
        <v>52</v>
      </c>
      <c r="F422" s="11" t="s">
        <v>40</v>
      </c>
      <c r="G422" s="11" t="s">
        <v>41</v>
      </c>
      <c r="H422" s="11" t="s">
        <v>625</v>
      </c>
      <c r="I422" s="71">
        <v>260.0</v>
      </c>
      <c r="J422" s="11" t="s">
        <v>102</v>
      </c>
      <c r="K422" s="28" t="s">
        <v>1202</v>
      </c>
      <c r="L422" s="11" t="s">
        <v>1203</v>
      </c>
      <c r="M422" s="11" t="s">
        <v>71</v>
      </c>
      <c r="N422" s="11" t="s">
        <v>96</v>
      </c>
      <c r="O422" s="11" t="s">
        <v>1148</v>
      </c>
      <c r="P422" s="14"/>
      <c r="Q422" s="14"/>
      <c r="R422" s="14"/>
      <c r="S422" s="14"/>
      <c r="T422" s="14"/>
      <c r="U422" s="14"/>
      <c r="V422" s="14"/>
      <c r="W422" s="14"/>
      <c r="X422" s="14"/>
      <c r="Y422" s="14"/>
      <c r="Z422" s="14"/>
      <c r="AA422" s="14"/>
      <c r="AB422" s="14"/>
      <c r="AC422" s="14"/>
      <c r="AD422" s="12"/>
      <c r="AE422" s="12"/>
      <c r="AF422" s="12"/>
      <c r="AG422" s="78">
        <v>45546.0</v>
      </c>
      <c r="AH422" s="12"/>
      <c r="AI422" s="12"/>
      <c r="AJ422" s="12"/>
      <c r="AK422" s="11" t="s">
        <v>45</v>
      </c>
      <c r="AL422" s="12"/>
      <c r="AM422" s="12"/>
      <c r="AN422" s="11"/>
      <c r="AO422" s="140"/>
      <c r="AP422" s="140"/>
    </row>
    <row r="423">
      <c r="A423" s="11" t="s">
        <v>36</v>
      </c>
      <c r="B423" s="9">
        <v>45545.534812673606</v>
      </c>
      <c r="C423" s="10" t="s">
        <v>374</v>
      </c>
      <c r="D423" s="11" t="s">
        <v>142</v>
      </c>
      <c r="E423" s="11" t="s">
        <v>52</v>
      </c>
      <c r="F423" s="11" t="s">
        <v>40</v>
      </c>
      <c r="G423" s="11" t="s">
        <v>41</v>
      </c>
      <c r="H423" s="11" t="s">
        <v>625</v>
      </c>
      <c r="I423" s="71">
        <v>85.0</v>
      </c>
      <c r="J423" s="11" t="s">
        <v>102</v>
      </c>
      <c r="K423" s="28" t="s">
        <v>1204</v>
      </c>
      <c r="L423" s="24" t="s">
        <v>1205</v>
      </c>
      <c r="M423" s="11" t="s">
        <v>71</v>
      </c>
      <c r="N423" s="11" t="s">
        <v>96</v>
      </c>
      <c r="O423" s="11" t="s">
        <v>1148</v>
      </c>
      <c r="P423" s="14"/>
      <c r="Q423" s="14"/>
      <c r="R423" s="14"/>
      <c r="S423" s="14"/>
      <c r="T423" s="14"/>
      <c r="U423" s="14"/>
      <c r="V423" s="14"/>
      <c r="W423" s="14"/>
      <c r="X423" s="14"/>
      <c r="Y423" s="14"/>
      <c r="Z423" s="14"/>
      <c r="AA423" s="14"/>
      <c r="AB423" s="14"/>
      <c r="AC423" s="14"/>
      <c r="AD423" s="12"/>
      <c r="AE423" s="12"/>
      <c r="AF423" s="12"/>
      <c r="AG423" s="78">
        <v>45546.0</v>
      </c>
      <c r="AH423" s="12"/>
      <c r="AI423" s="12"/>
      <c r="AJ423" s="12"/>
      <c r="AK423" s="11" t="s">
        <v>45</v>
      </c>
      <c r="AL423" s="12"/>
      <c r="AM423" s="12"/>
      <c r="AN423" s="11"/>
      <c r="AO423" s="140"/>
      <c r="AP423" s="140"/>
    </row>
    <row r="424">
      <c r="A424" s="11" t="s">
        <v>36</v>
      </c>
      <c r="B424" s="9">
        <v>45545.55090185185</v>
      </c>
      <c r="C424" s="10" t="s">
        <v>374</v>
      </c>
      <c r="D424" s="11" t="s">
        <v>142</v>
      </c>
      <c r="E424" s="11" t="s">
        <v>52</v>
      </c>
      <c r="F424" s="11" t="s">
        <v>40</v>
      </c>
      <c r="G424" s="11" t="s">
        <v>41</v>
      </c>
      <c r="H424" s="11" t="s">
        <v>625</v>
      </c>
      <c r="I424" s="71">
        <v>419.0</v>
      </c>
      <c r="J424" s="11" t="s">
        <v>102</v>
      </c>
      <c r="K424" s="12"/>
      <c r="L424" s="24" t="s">
        <v>1206</v>
      </c>
      <c r="M424" s="11" t="s">
        <v>71</v>
      </c>
      <c r="N424" s="11" t="s">
        <v>96</v>
      </c>
      <c r="O424" s="11" t="s">
        <v>1148</v>
      </c>
      <c r="P424" s="14"/>
      <c r="Q424" s="14"/>
      <c r="R424" s="14"/>
      <c r="S424" s="14"/>
      <c r="T424" s="14"/>
      <c r="U424" s="14"/>
      <c r="V424" s="14"/>
      <c r="W424" s="14"/>
      <c r="X424" s="14"/>
      <c r="Y424" s="14"/>
      <c r="Z424" s="14"/>
      <c r="AA424" s="14"/>
      <c r="AB424" s="14"/>
      <c r="AC424" s="14"/>
      <c r="AD424" s="12"/>
      <c r="AE424" s="12"/>
      <c r="AF424" s="12"/>
      <c r="AG424" s="78">
        <v>45546.0</v>
      </c>
      <c r="AH424" s="12"/>
      <c r="AI424" s="12"/>
      <c r="AJ424" s="12"/>
      <c r="AK424" s="11" t="s">
        <v>45</v>
      </c>
      <c r="AL424" s="12"/>
      <c r="AM424" s="12"/>
      <c r="AN424" s="11"/>
      <c r="AO424" s="140"/>
      <c r="AP424" s="140"/>
    </row>
    <row r="425">
      <c r="A425" s="11" t="s">
        <v>36</v>
      </c>
      <c r="B425" s="9">
        <v>45545.58932947917</v>
      </c>
      <c r="C425" s="10" t="s">
        <v>137</v>
      </c>
      <c r="D425" s="11" t="s">
        <v>51</v>
      </c>
      <c r="E425" s="11" t="s">
        <v>138</v>
      </c>
      <c r="F425" s="11" t="s">
        <v>139</v>
      </c>
      <c r="G425" s="11" t="s">
        <v>54</v>
      </c>
      <c r="H425" s="11" t="s">
        <v>42</v>
      </c>
      <c r="I425" s="71">
        <v>1000.0</v>
      </c>
      <c r="J425" s="11" t="s">
        <v>102</v>
      </c>
      <c r="K425" s="12"/>
      <c r="L425" s="12"/>
      <c r="M425" s="11" t="s">
        <v>71</v>
      </c>
      <c r="N425" s="11" t="s">
        <v>68</v>
      </c>
      <c r="O425" s="11" t="s">
        <v>1207</v>
      </c>
      <c r="P425" s="14"/>
      <c r="Q425" s="14"/>
      <c r="R425" s="14"/>
      <c r="S425" s="14"/>
      <c r="T425" s="14"/>
      <c r="U425" s="14"/>
      <c r="V425" s="14"/>
      <c r="W425" s="14"/>
      <c r="X425" s="14"/>
      <c r="Y425" s="14"/>
      <c r="Z425" s="14"/>
      <c r="AA425" s="14"/>
      <c r="AB425" s="14"/>
      <c r="AC425" s="14"/>
      <c r="AD425" s="12"/>
      <c r="AE425" s="12"/>
      <c r="AF425" s="12"/>
      <c r="AG425" s="78">
        <v>45546.0</v>
      </c>
      <c r="AH425" s="12"/>
      <c r="AI425" s="12"/>
      <c r="AJ425" s="12"/>
      <c r="AK425" s="11" t="s">
        <v>45</v>
      </c>
      <c r="AL425" s="12"/>
      <c r="AM425" s="12"/>
      <c r="AN425" s="11"/>
      <c r="AO425" s="140"/>
      <c r="AP425" s="140"/>
    </row>
    <row r="426">
      <c r="A426" s="75" t="s">
        <v>177</v>
      </c>
      <c r="B426" s="73">
        <v>45545.601716770834</v>
      </c>
      <c r="C426" s="74" t="s">
        <v>1060</v>
      </c>
      <c r="D426" s="75" t="s">
        <v>109</v>
      </c>
      <c r="E426" s="75" t="s">
        <v>52</v>
      </c>
      <c r="F426" s="75" t="s">
        <v>65</v>
      </c>
      <c r="G426" s="75" t="s">
        <v>54</v>
      </c>
      <c r="H426" s="75" t="s">
        <v>625</v>
      </c>
      <c r="I426" s="121">
        <v>3000.0</v>
      </c>
      <c r="J426" s="75" t="s">
        <v>383</v>
      </c>
      <c r="K426" s="114"/>
      <c r="L426" s="115" t="s">
        <v>1208</v>
      </c>
      <c r="M426" s="75" t="s">
        <v>71</v>
      </c>
      <c r="N426" s="75" t="s">
        <v>96</v>
      </c>
      <c r="O426" s="75" t="s">
        <v>1062</v>
      </c>
      <c r="P426" s="129"/>
      <c r="Q426" s="129"/>
      <c r="R426" s="129"/>
      <c r="S426" s="129"/>
      <c r="T426" s="129"/>
      <c r="U426" s="129"/>
      <c r="V426" s="129"/>
      <c r="W426" s="129"/>
      <c r="X426" s="129"/>
      <c r="Y426" s="129"/>
      <c r="Z426" s="129"/>
      <c r="AA426" s="129"/>
      <c r="AB426" s="129"/>
      <c r="AC426" s="129"/>
      <c r="AD426" s="114"/>
      <c r="AE426" s="114"/>
      <c r="AF426" s="114"/>
      <c r="AG426" s="130">
        <v>45546.0</v>
      </c>
      <c r="AH426" s="114"/>
      <c r="AI426" s="114"/>
      <c r="AJ426" s="114"/>
      <c r="AK426" s="75" t="s">
        <v>1209</v>
      </c>
      <c r="AL426" s="114"/>
      <c r="AM426" s="114"/>
      <c r="AN426" s="75"/>
      <c r="AO426" s="141"/>
      <c r="AP426" s="141"/>
    </row>
    <row r="427">
      <c r="A427" s="11" t="s">
        <v>36</v>
      </c>
      <c r="B427" s="9">
        <v>45545.606642604165</v>
      </c>
      <c r="C427" s="10" t="s">
        <v>1060</v>
      </c>
      <c r="D427" s="11" t="s">
        <v>109</v>
      </c>
      <c r="E427" s="11" t="s">
        <v>52</v>
      </c>
      <c r="F427" s="11" t="s">
        <v>65</v>
      </c>
      <c r="G427" s="11" t="s">
        <v>60</v>
      </c>
      <c r="H427" s="11" t="s">
        <v>833</v>
      </c>
      <c r="I427" s="71">
        <v>3500.0</v>
      </c>
      <c r="J427" s="11" t="s">
        <v>383</v>
      </c>
      <c r="K427" s="28" t="s">
        <v>1210</v>
      </c>
      <c r="L427" s="24" t="s">
        <v>1211</v>
      </c>
      <c r="M427" s="11" t="s">
        <v>71</v>
      </c>
      <c r="N427" s="11" t="s">
        <v>96</v>
      </c>
      <c r="O427" s="11" t="s">
        <v>1212</v>
      </c>
      <c r="P427" s="14"/>
      <c r="Q427" s="14"/>
      <c r="R427" s="14"/>
      <c r="S427" s="14"/>
      <c r="T427" s="14"/>
      <c r="U427" s="14"/>
      <c r="V427" s="14"/>
      <c r="W427" s="14"/>
      <c r="X427" s="14"/>
      <c r="Y427" s="14"/>
      <c r="Z427" s="14"/>
      <c r="AA427" s="14"/>
      <c r="AB427" s="14"/>
      <c r="AC427" s="14"/>
      <c r="AD427" s="12"/>
      <c r="AE427" s="12"/>
      <c r="AF427" s="12"/>
      <c r="AG427" s="78">
        <v>45546.0</v>
      </c>
      <c r="AH427" s="12"/>
      <c r="AI427" s="12"/>
      <c r="AJ427" s="12"/>
      <c r="AK427" s="11" t="s">
        <v>45</v>
      </c>
      <c r="AL427" s="12"/>
      <c r="AM427" s="12"/>
      <c r="AN427" s="11"/>
      <c r="AO427" s="140"/>
      <c r="AP427" s="140"/>
    </row>
    <row r="428">
      <c r="A428" s="11" t="s">
        <v>36</v>
      </c>
      <c r="B428" s="9">
        <v>45545.61705252314</v>
      </c>
      <c r="C428" s="10" t="s">
        <v>1213</v>
      </c>
      <c r="D428" s="11" t="s">
        <v>51</v>
      </c>
      <c r="E428" s="11" t="s">
        <v>252</v>
      </c>
      <c r="F428" s="11" t="s">
        <v>549</v>
      </c>
      <c r="G428" s="11" t="s">
        <v>131</v>
      </c>
      <c r="H428" s="11" t="s">
        <v>607</v>
      </c>
      <c r="I428" s="11">
        <v>175.0</v>
      </c>
      <c r="J428" s="11" t="s">
        <v>48</v>
      </c>
      <c r="K428" s="11" t="s">
        <v>1214</v>
      </c>
      <c r="L428" s="11" t="s">
        <v>1215</v>
      </c>
      <c r="M428" s="11" t="s">
        <v>71</v>
      </c>
      <c r="N428" s="11" t="s">
        <v>96</v>
      </c>
      <c r="O428" s="11" t="s">
        <v>1216</v>
      </c>
      <c r="P428" s="14"/>
      <c r="Q428" s="14"/>
      <c r="R428" s="14"/>
      <c r="S428" s="14"/>
      <c r="T428" s="14"/>
      <c r="U428" s="14"/>
      <c r="V428" s="14"/>
      <c r="W428" s="14"/>
      <c r="X428" s="14"/>
      <c r="Y428" s="14"/>
      <c r="Z428" s="14"/>
      <c r="AA428" s="14"/>
      <c r="AB428" s="14"/>
      <c r="AC428" s="14"/>
      <c r="AD428" s="12"/>
      <c r="AE428" s="12"/>
      <c r="AF428" s="12"/>
      <c r="AG428" s="78">
        <v>45546.0</v>
      </c>
      <c r="AH428" s="12"/>
      <c r="AI428" s="12"/>
      <c r="AJ428" s="12"/>
      <c r="AK428" s="11" t="s">
        <v>45</v>
      </c>
      <c r="AL428" s="12"/>
      <c r="AM428" s="12"/>
      <c r="AN428" s="11"/>
      <c r="AO428" s="140"/>
      <c r="AP428" s="140"/>
    </row>
    <row r="429">
      <c r="A429" s="11" t="s">
        <v>36</v>
      </c>
      <c r="B429" s="9">
        <v>45545.62588357639</v>
      </c>
      <c r="C429" s="10" t="s">
        <v>943</v>
      </c>
      <c r="D429" s="11" t="s">
        <v>1217</v>
      </c>
      <c r="E429" s="11" t="s">
        <v>52</v>
      </c>
      <c r="F429" s="11" t="s">
        <v>40</v>
      </c>
      <c r="G429" s="11" t="s">
        <v>54</v>
      </c>
      <c r="H429" s="11" t="s">
        <v>625</v>
      </c>
      <c r="I429" s="77">
        <v>1147.48</v>
      </c>
      <c r="J429" s="11" t="s">
        <v>62</v>
      </c>
      <c r="K429" s="24" t="s">
        <v>1218</v>
      </c>
      <c r="L429" s="11" t="s">
        <v>1219</v>
      </c>
      <c r="M429" s="11" t="s">
        <v>71</v>
      </c>
      <c r="N429" s="11" t="s">
        <v>96</v>
      </c>
      <c r="O429" s="11" t="s">
        <v>946</v>
      </c>
      <c r="P429" s="14"/>
      <c r="Q429" s="14"/>
      <c r="R429" s="14"/>
      <c r="S429" s="14"/>
      <c r="T429" s="14"/>
      <c r="U429" s="14"/>
      <c r="V429" s="14"/>
      <c r="W429" s="14"/>
      <c r="X429" s="14"/>
      <c r="Y429" s="14"/>
      <c r="Z429" s="14"/>
      <c r="AA429" s="14"/>
      <c r="AB429" s="14"/>
      <c r="AC429" s="14"/>
      <c r="AD429" s="12"/>
      <c r="AE429" s="12"/>
      <c r="AF429" s="12"/>
      <c r="AG429" s="78">
        <v>45546.0</v>
      </c>
      <c r="AH429" s="12"/>
      <c r="AI429" s="12"/>
      <c r="AJ429" s="12"/>
      <c r="AK429" s="11" t="s">
        <v>45</v>
      </c>
      <c r="AL429" s="12"/>
      <c r="AM429" s="12"/>
      <c r="AN429" s="11"/>
      <c r="AO429" s="8" t="b">
        <v>1</v>
      </c>
      <c r="AP429" s="8"/>
    </row>
    <row r="430">
      <c r="A430" s="124" t="s">
        <v>177</v>
      </c>
      <c r="B430" s="125">
        <v>45545.65728488426</v>
      </c>
      <c r="C430" s="126" t="s">
        <v>385</v>
      </c>
      <c r="D430" s="124" t="s">
        <v>109</v>
      </c>
      <c r="E430" s="124" t="s">
        <v>52</v>
      </c>
      <c r="F430" s="124" t="s">
        <v>65</v>
      </c>
      <c r="G430" s="124" t="s">
        <v>54</v>
      </c>
      <c r="H430" s="124" t="s">
        <v>833</v>
      </c>
      <c r="I430" s="124" t="s">
        <v>1220</v>
      </c>
      <c r="J430" s="124" t="s">
        <v>102</v>
      </c>
      <c r="K430" s="124" t="s">
        <v>1221</v>
      </c>
      <c r="L430" s="146" t="s">
        <v>1222</v>
      </c>
      <c r="M430" s="124" t="s">
        <v>71</v>
      </c>
      <c r="N430" s="124" t="s">
        <v>96</v>
      </c>
      <c r="O430" s="124" t="s">
        <v>1059</v>
      </c>
      <c r="P430" s="133"/>
      <c r="Q430" s="133"/>
      <c r="R430" s="133"/>
      <c r="S430" s="133"/>
      <c r="T430" s="133"/>
      <c r="U430" s="133"/>
      <c r="V430" s="133"/>
      <c r="W430" s="133"/>
      <c r="X430" s="133"/>
      <c r="Y430" s="133"/>
      <c r="Z430" s="133"/>
      <c r="AA430" s="133"/>
      <c r="AB430" s="133"/>
      <c r="AC430" s="133"/>
      <c r="AD430" s="132"/>
      <c r="AE430" s="132"/>
      <c r="AF430" s="132"/>
      <c r="AG430" s="163"/>
      <c r="AH430" s="132"/>
      <c r="AI430" s="132"/>
      <c r="AJ430" s="132"/>
      <c r="AK430" s="124" t="s">
        <v>1223</v>
      </c>
      <c r="AL430" s="132"/>
      <c r="AM430" s="132"/>
      <c r="AN430" s="124"/>
      <c r="AO430" s="142"/>
      <c r="AP430" s="142"/>
    </row>
    <row r="431">
      <c r="A431" s="11" t="s">
        <v>36</v>
      </c>
      <c r="B431" s="9">
        <v>45546.72930148148</v>
      </c>
      <c r="C431" s="10" t="s">
        <v>1224</v>
      </c>
      <c r="D431" s="11" t="s">
        <v>109</v>
      </c>
      <c r="E431" s="11" t="s">
        <v>138</v>
      </c>
      <c r="F431" s="11" t="s">
        <v>65</v>
      </c>
      <c r="G431" s="11" t="s">
        <v>54</v>
      </c>
      <c r="H431" s="11" t="s">
        <v>833</v>
      </c>
      <c r="I431" s="11" t="s">
        <v>1225</v>
      </c>
      <c r="J431" s="11" t="s">
        <v>229</v>
      </c>
      <c r="K431" s="28" t="s">
        <v>1226</v>
      </c>
      <c r="L431" s="24" t="s">
        <v>1227</v>
      </c>
      <c r="M431" s="11" t="s">
        <v>71</v>
      </c>
      <c r="N431" s="11" t="s">
        <v>96</v>
      </c>
      <c r="O431" s="11" t="s">
        <v>1228</v>
      </c>
      <c r="P431" s="14"/>
      <c r="Q431" s="14"/>
      <c r="R431" s="14"/>
      <c r="S431" s="14"/>
      <c r="T431" s="14"/>
      <c r="U431" s="14"/>
      <c r="V431" s="14"/>
      <c r="W431" s="14"/>
      <c r="X431" s="14"/>
      <c r="Y431" s="14"/>
      <c r="Z431" s="14"/>
      <c r="AA431" s="14"/>
      <c r="AB431" s="14"/>
      <c r="AC431" s="14"/>
      <c r="AD431" s="12"/>
      <c r="AE431" s="12"/>
      <c r="AF431" s="12"/>
      <c r="AG431" s="78">
        <v>45551.0</v>
      </c>
      <c r="AH431" s="12"/>
      <c r="AI431" s="12"/>
      <c r="AJ431" s="12"/>
      <c r="AK431" s="11" t="s">
        <v>45</v>
      </c>
      <c r="AL431" s="12"/>
      <c r="AM431" s="12"/>
      <c r="AN431" s="11"/>
      <c r="AO431" s="140"/>
      <c r="AP431" s="140"/>
    </row>
    <row r="432">
      <c r="A432" s="11" t="s">
        <v>36</v>
      </c>
      <c r="B432" s="9">
        <v>45546.79339412037</v>
      </c>
      <c r="C432" s="10" t="s">
        <v>382</v>
      </c>
      <c r="D432" s="11" t="s">
        <v>109</v>
      </c>
      <c r="E432" s="11" t="s">
        <v>52</v>
      </c>
      <c r="F432" s="11" t="s">
        <v>65</v>
      </c>
      <c r="G432" s="11" t="s">
        <v>131</v>
      </c>
      <c r="H432" s="11" t="s">
        <v>625</v>
      </c>
      <c r="I432" s="11">
        <v>31.63</v>
      </c>
      <c r="J432" s="11" t="s">
        <v>383</v>
      </c>
      <c r="K432" s="28" t="s">
        <v>1229</v>
      </c>
      <c r="L432" s="11" t="s">
        <v>1230</v>
      </c>
      <c r="M432" s="11" t="s">
        <v>71</v>
      </c>
      <c r="N432" s="11" t="s">
        <v>96</v>
      </c>
      <c r="O432" s="11" t="s">
        <v>903</v>
      </c>
      <c r="P432" s="14"/>
      <c r="Q432" s="14"/>
      <c r="R432" s="14"/>
      <c r="S432" s="14"/>
      <c r="T432" s="14"/>
      <c r="U432" s="14"/>
      <c r="V432" s="14"/>
      <c r="W432" s="14"/>
      <c r="X432" s="14"/>
      <c r="Y432" s="14"/>
      <c r="Z432" s="14"/>
      <c r="AA432" s="14"/>
      <c r="AB432" s="14"/>
      <c r="AC432" s="14"/>
      <c r="AD432" s="12"/>
      <c r="AE432" s="12"/>
      <c r="AF432" s="12"/>
      <c r="AG432" s="78">
        <v>45551.0</v>
      </c>
      <c r="AH432" s="12"/>
      <c r="AI432" s="12"/>
      <c r="AJ432" s="12"/>
      <c r="AK432" s="11" t="s">
        <v>45</v>
      </c>
      <c r="AL432" s="12"/>
      <c r="AM432" s="12"/>
      <c r="AN432" s="11"/>
      <c r="AO432" s="140"/>
      <c r="AP432" s="140"/>
    </row>
    <row r="433">
      <c r="A433" s="11" t="s">
        <v>36</v>
      </c>
      <c r="B433" s="9">
        <v>45547.51274856481</v>
      </c>
      <c r="C433" s="10" t="s">
        <v>954</v>
      </c>
      <c r="D433" s="11" t="s">
        <v>109</v>
      </c>
      <c r="E433" s="11" t="s">
        <v>138</v>
      </c>
      <c r="F433" s="11" t="s">
        <v>65</v>
      </c>
      <c r="G433" s="11" t="s">
        <v>54</v>
      </c>
      <c r="H433" s="11" t="s">
        <v>625</v>
      </c>
      <c r="I433" s="71">
        <v>1000.0</v>
      </c>
      <c r="J433" s="11" t="s">
        <v>229</v>
      </c>
      <c r="K433" s="24" t="s">
        <v>1231</v>
      </c>
      <c r="L433" s="11" t="s">
        <v>1232</v>
      </c>
      <c r="M433" s="11" t="s">
        <v>71</v>
      </c>
      <c r="N433" s="11" t="s">
        <v>96</v>
      </c>
      <c r="O433" s="11" t="s">
        <v>1233</v>
      </c>
      <c r="P433" s="14"/>
      <c r="Q433" s="14"/>
      <c r="R433" s="14"/>
      <c r="S433" s="14"/>
      <c r="T433" s="14"/>
      <c r="U433" s="14"/>
      <c r="V433" s="14"/>
      <c r="W433" s="14"/>
      <c r="X433" s="14"/>
      <c r="Y433" s="14"/>
      <c r="Z433" s="14"/>
      <c r="AA433" s="14"/>
      <c r="AB433" s="14"/>
      <c r="AC433" s="14"/>
      <c r="AD433" s="12"/>
      <c r="AE433" s="12"/>
      <c r="AF433" s="12"/>
      <c r="AG433" s="78">
        <v>45551.0</v>
      </c>
      <c r="AH433" s="12"/>
      <c r="AI433" s="12"/>
      <c r="AJ433" s="12"/>
      <c r="AK433" s="11" t="s">
        <v>45</v>
      </c>
      <c r="AL433" s="12"/>
      <c r="AM433" s="12"/>
      <c r="AN433" s="11"/>
      <c r="AO433" s="8" t="b">
        <v>1</v>
      </c>
      <c r="AP433" s="8"/>
    </row>
    <row r="434">
      <c r="A434" s="11" t="s">
        <v>36</v>
      </c>
      <c r="B434" s="9">
        <v>45547.571210486116</v>
      </c>
      <c r="C434" s="10" t="s">
        <v>943</v>
      </c>
      <c r="D434" s="11" t="s">
        <v>1234</v>
      </c>
      <c r="E434" s="11" t="s">
        <v>52</v>
      </c>
      <c r="F434" s="11" t="s">
        <v>40</v>
      </c>
      <c r="G434" s="11" t="s">
        <v>54</v>
      </c>
      <c r="H434" s="11" t="s">
        <v>625</v>
      </c>
      <c r="I434" s="71">
        <v>1000.0</v>
      </c>
      <c r="J434" s="11" t="s">
        <v>62</v>
      </c>
      <c r="K434" s="24" t="s">
        <v>1235</v>
      </c>
      <c r="L434" s="11" t="s">
        <v>1236</v>
      </c>
      <c r="M434" s="11" t="s">
        <v>71</v>
      </c>
      <c r="N434" s="11" t="s">
        <v>96</v>
      </c>
      <c r="O434" s="11" t="s">
        <v>946</v>
      </c>
      <c r="P434" s="14"/>
      <c r="Q434" s="14"/>
      <c r="R434" s="14"/>
      <c r="S434" s="14"/>
      <c r="T434" s="14"/>
      <c r="U434" s="14"/>
      <c r="V434" s="14"/>
      <c r="W434" s="14"/>
      <c r="X434" s="14"/>
      <c r="Y434" s="14"/>
      <c r="Z434" s="14"/>
      <c r="AA434" s="14"/>
      <c r="AB434" s="14"/>
      <c r="AC434" s="14"/>
      <c r="AD434" s="12"/>
      <c r="AE434" s="12"/>
      <c r="AF434" s="12"/>
      <c r="AG434" s="78">
        <v>45551.0</v>
      </c>
      <c r="AH434" s="12"/>
      <c r="AI434" s="12"/>
      <c r="AJ434" s="12"/>
      <c r="AK434" s="11" t="s">
        <v>45</v>
      </c>
      <c r="AL434" s="12"/>
      <c r="AM434" s="12"/>
      <c r="AN434" s="11"/>
      <c r="AO434" s="8" t="b">
        <v>1</v>
      </c>
      <c r="AP434" s="8"/>
    </row>
    <row r="435">
      <c r="A435" s="45" t="s">
        <v>177</v>
      </c>
      <c r="B435" s="43">
        <v>45548.29446503472</v>
      </c>
      <c r="C435" s="44" t="s">
        <v>94</v>
      </c>
      <c r="D435" s="45" t="s">
        <v>734</v>
      </c>
      <c r="E435" s="45" t="s">
        <v>735</v>
      </c>
      <c r="F435" s="45" t="s">
        <v>735</v>
      </c>
      <c r="G435" s="45" t="s">
        <v>735</v>
      </c>
      <c r="H435" s="45" t="s">
        <v>439</v>
      </c>
      <c r="I435" s="164">
        <v>2000.0</v>
      </c>
      <c r="J435" s="45" t="s">
        <v>433</v>
      </c>
      <c r="K435" s="30"/>
      <c r="L435" s="165" t="s">
        <v>1237</v>
      </c>
      <c r="M435" s="45" t="s">
        <v>71</v>
      </c>
      <c r="N435" s="45" t="s">
        <v>68</v>
      </c>
      <c r="O435" s="45" t="s">
        <v>1238</v>
      </c>
      <c r="P435" s="47"/>
      <c r="Q435" s="47"/>
      <c r="R435" s="47"/>
      <c r="S435" s="47"/>
      <c r="T435" s="47"/>
      <c r="U435" s="47"/>
      <c r="V435" s="47"/>
      <c r="W435" s="47"/>
      <c r="X435" s="47"/>
      <c r="Y435" s="47"/>
      <c r="Z435" s="47"/>
      <c r="AA435" s="47"/>
      <c r="AB435" s="47"/>
      <c r="AC435" s="47"/>
      <c r="AD435" s="30"/>
      <c r="AE435" s="30"/>
      <c r="AF435" s="30"/>
      <c r="AG435" s="30"/>
      <c r="AH435" s="30"/>
      <c r="AI435" s="30"/>
      <c r="AJ435" s="30"/>
      <c r="AK435" s="45" t="s">
        <v>1239</v>
      </c>
      <c r="AL435" s="30"/>
      <c r="AM435" s="30"/>
      <c r="AN435" s="45"/>
      <c r="AO435" s="149"/>
      <c r="AP435" s="149"/>
    </row>
    <row r="436">
      <c r="A436" s="11" t="s">
        <v>36</v>
      </c>
      <c r="B436" s="9">
        <v>45548.38403915509</v>
      </c>
      <c r="C436" s="10" t="s">
        <v>123</v>
      </c>
      <c r="D436" s="11" t="s">
        <v>800</v>
      </c>
      <c r="E436" s="11" t="s">
        <v>800</v>
      </c>
      <c r="F436" s="11" t="s">
        <v>800</v>
      </c>
      <c r="G436" s="11" t="s">
        <v>800</v>
      </c>
      <c r="H436" s="11" t="s">
        <v>625</v>
      </c>
      <c r="I436" s="71">
        <v>1250.0</v>
      </c>
      <c r="J436" s="11" t="s">
        <v>121</v>
      </c>
      <c r="K436" s="12"/>
      <c r="L436" s="24" t="s">
        <v>1240</v>
      </c>
      <c r="M436" s="11" t="s">
        <v>71</v>
      </c>
      <c r="N436" s="11" t="s">
        <v>96</v>
      </c>
      <c r="O436" s="11" t="s">
        <v>1241</v>
      </c>
      <c r="P436" s="14"/>
      <c r="Q436" s="14"/>
      <c r="R436" s="14"/>
      <c r="S436" s="14"/>
      <c r="T436" s="14"/>
      <c r="U436" s="14"/>
      <c r="V436" s="14"/>
      <c r="W436" s="14"/>
      <c r="X436" s="14"/>
      <c r="Y436" s="14"/>
      <c r="Z436" s="14"/>
      <c r="AA436" s="14"/>
      <c r="AB436" s="14"/>
      <c r="AC436" s="14"/>
      <c r="AD436" s="12"/>
      <c r="AE436" s="12"/>
      <c r="AF436" s="12"/>
      <c r="AG436" s="78">
        <v>45551.0</v>
      </c>
      <c r="AH436" s="12"/>
      <c r="AI436" s="12"/>
      <c r="AJ436" s="12"/>
      <c r="AK436" s="11" t="s">
        <v>45</v>
      </c>
      <c r="AL436" s="12"/>
      <c r="AM436" s="12"/>
      <c r="AN436" s="11"/>
      <c r="AO436" s="8" t="b">
        <v>1</v>
      </c>
      <c r="AP436" s="8"/>
    </row>
    <row r="437">
      <c r="A437" s="11" t="s">
        <v>36</v>
      </c>
      <c r="B437" s="9">
        <v>45548.44521334491</v>
      </c>
      <c r="C437" s="10" t="s">
        <v>1242</v>
      </c>
      <c r="D437" s="11" t="s">
        <v>142</v>
      </c>
      <c r="E437" s="11" t="s">
        <v>52</v>
      </c>
      <c r="F437" s="11" t="s">
        <v>65</v>
      </c>
      <c r="G437" s="11" t="s">
        <v>54</v>
      </c>
      <c r="H437" s="11" t="s">
        <v>833</v>
      </c>
      <c r="I437" s="71">
        <v>950.0</v>
      </c>
      <c r="J437" s="11" t="s">
        <v>1243</v>
      </c>
      <c r="K437" s="24" t="s">
        <v>1244</v>
      </c>
      <c r="L437" s="24" t="s">
        <v>1245</v>
      </c>
      <c r="M437" s="11" t="s">
        <v>71</v>
      </c>
      <c r="N437" s="11" t="s">
        <v>96</v>
      </c>
      <c r="O437" s="11" t="s">
        <v>1246</v>
      </c>
      <c r="P437" s="14"/>
      <c r="Q437" s="14"/>
      <c r="R437" s="14"/>
      <c r="S437" s="14"/>
      <c r="T437" s="14"/>
      <c r="U437" s="14"/>
      <c r="V437" s="14"/>
      <c r="W437" s="14"/>
      <c r="X437" s="14"/>
      <c r="Y437" s="14"/>
      <c r="Z437" s="14"/>
      <c r="AA437" s="14"/>
      <c r="AB437" s="14"/>
      <c r="AC437" s="14"/>
      <c r="AD437" s="12"/>
      <c r="AE437" s="12"/>
      <c r="AF437" s="12"/>
      <c r="AG437" s="78">
        <v>45551.0</v>
      </c>
      <c r="AH437" s="12"/>
      <c r="AI437" s="12"/>
      <c r="AJ437" s="12"/>
      <c r="AK437" s="11" t="s">
        <v>45</v>
      </c>
      <c r="AL437" s="12"/>
      <c r="AM437" s="12"/>
      <c r="AN437" s="11"/>
      <c r="AO437" s="140"/>
      <c r="AP437" s="140"/>
    </row>
    <row r="438">
      <c r="A438" s="11" t="s">
        <v>36</v>
      </c>
      <c r="B438" s="9">
        <v>45548.5632118287</v>
      </c>
      <c r="C438" s="10" t="s">
        <v>516</v>
      </c>
      <c r="D438" s="11" t="s">
        <v>800</v>
      </c>
      <c r="E438" s="11" t="s">
        <v>800</v>
      </c>
      <c r="F438" s="11" t="s">
        <v>800</v>
      </c>
      <c r="G438" s="11" t="s">
        <v>800</v>
      </c>
      <c r="H438" s="11" t="s">
        <v>625</v>
      </c>
      <c r="I438" s="71">
        <v>225.0</v>
      </c>
      <c r="J438" s="11" t="s">
        <v>383</v>
      </c>
      <c r="K438" s="12"/>
      <c r="L438" s="24" t="s">
        <v>1247</v>
      </c>
      <c r="M438" s="11" t="s">
        <v>71</v>
      </c>
      <c r="N438" s="11" t="s">
        <v>96</v>
      </c>
      <c r="O438" s="11" t="s">
        <v>1248</v>
      </c>
      <c r="P438" s="14"/>
      <c r="Q438" s="14"/>
      <c r="R438" s="14"/>
      <c r="S438" s="14"/>
      <c r="T438" s="14"/>
      <c r="U438" s="14"/>
      <c r="V438" s="14"/>
      <c r="W438" s="14"/>
      <c r="X438" s="14"/>
      <c r="Y438" s="14"/>
      <c r="Z438" s="14"/>
      <c r="AA438" s="14"/>
      <c r="AB438" s="14"/>
      <c r="AC438" s="14"/>
      <c r="AD438" s="12"/>
      <c r="AE438" s="12"/>
      <c r="AF438" s="12"/>
      <c r="AG438" s="78">
        <v>45551.0</v>
      </c>
      <c r="AH438" s="12"/>
      <c r="AI438" s="12"/>
      <c r="AJ438" s="12"/>
      <c r="AK438" s="11" t="s">
        <v>45</v>
      </c>
      <c r="AL438" s="12"/>
      <c r="AM438" s="12"/>
      <c r="AN438" s="11"/>
      <c r="AO438" s="140"/>
      <c r="AP438" s="140"/>
    </row>
    <row r="439">
      <c r="A439" s="11" t="s">
        <v>36</v>
      </c>
      <c r="B439" s="9">
        <v>45548.678083425926</v>
      </c>
      <c r="C439" s="10" t="s">
        <v>219</v>
      </c>
      <c r="D439" s="11" t="s">
        <v>800</v>
      </c>
      <c r="E439" s="11" t="s">
        <v>800</v>
      </c>
      <c r="F439" s="11" t="s">
        <v>800</v>
      </c>
      <c r="G439" s="11" t="s">
        <v>800</v>
      </c>
      <c r="H439" s="11" t="s">
        <v>625</v>
      </c>
      <c r="I439" s="11" t="s">
        <v>1249</v>
      </c>
      <c r="J439" s="11" t="s">
        <v>184</v>
      </c>
      <c r="K439" s="28" t="s">
        <v>1250</v>
      </c>
      <c r="L439" s="11" t="s">
        <v>1251</v>
      </c>
      <c r="M439" s="11" t="s">
        <v>71</v>
      </c>
      <c r="N439" s="11" t="s">
        <v>96</v>
      </c>
      <c r="O439" s="11" t="s">
        <v>1252</v>
      </c>
      <c r="P439" s="14"/>
      <c r="Q439" s="14"/>
      <c r="R439" s="14"/>
      <c r="S439" s="14"/>
      <c r="T439" s="14"/>
      <c r="U439" s="14"/>
      <c r="V439" s="14"/>
      <c r="W439" s="14"/>
      <c r="X439" s="14"/>
      <c r="Y439" s="14"/>
      <c r="Z439" s="14"/>
      <c r="AA439" s="14"/>
      <c r="AB439" s="14"/>
      <c r="AC439" s="14"/>
      <c r="AD439" s="12"/>
      <c r="AE439" s="12"/>
      <c r="AF439" s="12"/>
      <c r="AG439" s="78">
        <v>45551.0</v>
      </c>
      <c r="AH439" s="12"/>
      <c r="AI439" s="12"/>
      <c r="AJ439" s="12"/>
      <c r="AK439" s="11" t="s">
        <v>45</v>
      </c>
      <c r="AL439" s="12"/>
      <c r="AM439" s="12"/>
      <c r="AN439" s="11"/>
      <c r="AO439" s="140"/>
      <c r="AP439" s="140"/>
    </row>
    <row r="440">
      <c r="A440" s="11" t="s">
        <v>36</v>
      </c>
      <c r="B440" s="9">
        <v>45548.73962457176</v>
      </c>
      <c r="C440" s="10" t="s">
        <v>1253</v>
      </c>
      <c r="D440" s="11" t="s">
        <v>51</v>
      </c>
      <c r="E440" s="11" t="s">
        <v>138</v>
      </c>
      <c r="F440" s="11" t="s">
        <v>40</v>
      </c>
      <c r="G440" s="11" t="s">
        <v>54</v>
      </c>
      <c r="H440" s="11" t="s">
        <v>625</v>
      </c>
      <c r="I440" s="11" t="s">
        <v>1254</v>
      </c>
      <c r="J440" s="11" t="s">
        <v>967</v>
      </c>
      <c r="K440" s="12"/>
      <c r="L440" s="24" t="s">
        <v>849</v>
      </c>
      <c r="M440" s="11" t="s">
        <v>71</v>
      </c>
      <c r="N440" s="11" t="s">
        <v>68</v>
      </c>
      <c r="O440" s="11" t="s">
        <v>1255</v>
      </c>
      <c r="P440" s="14"/>
      <c r="Q440" s="14"/>
      <c r="R440" s="14"/>
      <c r="S440" s="14"/>
      <c r="T440" s="14"/>
      <c r="U440" s="14"/>
      <c r="V440" s="14"/>
      <c r="W440" s="14"/>
      <c r="X440" s="14"/>
      <c r="Y440" s="14"/>
      <c r="Z440" s="14"/>
      <c r="AA440" s="14"/>
      <c r="AB440" s="14"/>
      <c r="AC440" s="14"/>
      <c r="AD440" s="12"/>
      <c r="AE440" s="12"/>
      <c r="AF440" s="12"/>
      <c r="AG440" s="78">
        <v>45551.0</v>
      </c>
      <c r="AH440" s="12"/>
      <c r="AI440" s="12"/>
      <c r="AJ440" s="12"/>
      <c r="AK440" s="11" t="s">
        <v>45</v>
      </c>
      <c r="AL440" s="12"/>
      <c r="AM440" s="12"/>
      <c r="AN440" s="11"/>
      <c r="AO440" s="140"/>
      <c r="AP440" s="140"/>
    </row>
    <row r="441">
      <c r="A441" s="11" t="s">
        <v>36</v>
      </c>
      <c r="B441" s="9">
        <v>45551.641798055556</v>
      </c>
      <c r="C441" s="10" t="s">
        <v>374</v>
      </c>
      <c r="D441" s="11" t="s">
        <v>142</v>
      </c>
      <c r="E441" s="11" t="s">
        <v>52</v>
      </c>
      <c r="F441" s="11" t="s">
        <v>40</v>
      </c>
      <c r="G441" s="11" t="s">
        <v>41</v>
      </c>
      <c r="H441" s="11" t="s">
        <v>607</v>
      </c>
      <c r="I441" s="71">
        <v>66.0</v>
      </c>
      <c r="J441" s="11" t="s">
        <v>102</v>
      </c>
      <c r="K441" s="28" t="s">
        <v>1256</v>
      </c>
      <c r="L441" s="11" t="s">
        <v>1257</v>
      </c>
      <c r="M441" s="11" t="s">
        <v>71</v>
      </c>
      <c r="N441" s="11" t="s">
        <v>96</v>
      </c>
      <c r="O441" s="11" t="s">
        <v>1148</v>
      </c>
      <c r="P441" s="14"/>
      <c r="Q441" s="14"/>
      <c r="R441" s="14"/>
      <c r="S441" s="14"/>
      <c r="T441" s="14"/>
      <c r="U441" s="14"/>
      <c r="V441" s="14"/>
      <c r="W441" s="14"/>
      <c r="X441" s="14"/>
      <c r="Y441" s="14"/>
      <c r="Z441" s="14"/>
      <c r="AA441" s="14"/>
      <c r="AB441" s="14"/>
      <c r="AC441" s="14"/>
      <c r="AD441" s="12"/>
      <c r="AE441" s="12"/>
      <c r="AF441" s="12"/>
      <c r="AG441" s="78">
        <v>45553.0</v>
      </c>
      <c r="AH441" s="12"/>
      <c r="AI441" s="12"/>
      <c r="AJ441" s="12"/>
      <c r="AK441" s="11" t="s">
        <v>45</v>
      </c>
      <c r="AL441" s="12"/>
      <c r="AM441" s="12"/>
      <c r="AN441" s="11"/>
      <c r="AO441" s="140"/>
      <c r="AP441" s="140"/>
    </row>
    <row r="442">
      <c r="A442" s="11" t="s">
        <v>36</v>
      </c>
      <c r="B442" s="9">
        <v>45552.41247407407</v>
      </c>
      <c r="C442" s="10" t="s">
        <v>366</v>
      </c>
      <c r="D442" s="11" t="s">
        <v>142</v>
      </c>
      <c r="E442" s="11" t="s">
        <v>52</v>
      </c>
      <c r="F442" s="11" t="s">
        <v>65</v>
      </c>
      <c r="G442" s="11" t="s">
        <v>54</v>
      </c>
      <c r="H442" s="11" t="s">
        <v>625</v>
      </c>
      <c r="I442" s="77">
        <v>145.0</v>
      </c>
      <c r="J442" s="11" t="s">
        <v>102</v>
      </c>
      <c r="K442" s="28" t="s">
        <v>1258</v>
      </c>
      <c r="L442" s="24" t="s">
        <v>1259</v>
      </c>
      <c r="M442" s="11" t="s">
        <v>71</v>
      </c>
      <c r="N442" s="11" t="s">
        <v>96</v>
      </c>
      <c r="O442" s="11" t="s">
        <v>1201</v>
      </c>
      <c r="P442" s="14"/>
      <c r="Q442" s="14"/>
      <c r="R442" s="14"/>
      <c r="S442" s="14"/>
      <c r="T442" s="14"/>
      <c r="U442" s="14"/>
      <c r="V442" s="14"/>
      <c r="W442" s="14"/>
      <c r="X442" s="14"/>
      <c r="Y442" s="14"/>
      <c r="Z442" s="14"/>
      <c r="AA442" s="14"/>
      <c r="AB442" s="14"/>
      <c r="AC442" s="14"/>
      <c r="AD442" s="12"/>
      <c r="AE442" s="12"/>
      <c r="AF442" s="12"/>
      <c r="AG442" s="78">
        <v>45553.0</v>
      </c>
      <c r="AH442" s="12"/>
      <c r="AI442" s="12"/>
      <c r="AJ442" s="12"/>
      <c r="AK442" s="11" t="s">
        <v>45</v>
      </c>
      <c r="AL442" s="12"/>
      <c r="AM442" s="12"/>
      <c r="AN442" s="11"/>
      <c r="AO442" s="140"/>
      <c r="AP442" s="140"/>
    </row>
    <row r="443">
      <c r="A443" s="11" t="s">
        <v>36</v>
      </c>
      <c r="B443" s="9">
        <v>45552.47873533565</v>
      </c>
      <c r="C443" s="10" t="s">
        <v>516</v>
      </c>
      <c r="D443" s="11" t="s">
        <v>800</v>
      </c>
      <c r="E443" s="11" t="s">
        <v>800</v>
      </c>
      <c r="F443" s="11" t="s">
        <v>800</v>
      </c>
      <c r="G443" s="11" t="s">
        <v>800</v>
      </c>
      <c r="H443" s="11" t="s">
        <v>625</v>
      </c>
      <c r="I443" s="77">
        <v>1176.82</v>
      </c>
      <c r="J443" s="11" t="s">
        <v>383</v>
      </c>
      <c r="K443" s="12"/>
      <c r="L443" s="24" t="s">
        <v>1260</v>
      </c>
      <c r="M443" s="11" t="s">
        <v>71</v>
      </c>
      <c r="N443" s="11" t="s">
        <v>96</v>
      </c>
      <c r="O443" s="11" t="s">
        <v>1261</v>
      </c>
      <c r="P443" s="14"/>
      <c r="Q443" s="14"/>
      <c r="R443" s="14"/>
      <c r="S443" s="14"/>
      <c r="T443" s="14"/>
      <c r="U443" s="14"/>
      <c r="V443" s="14"/>
      <c r="W443" s="14"/>
      <c r="X443" s="14"/>
      <c r="Y443" s="14"/>
      <c r="Z443" s="14"/>
      <c r="AA443" s="14"/>
      <c r="AB443" s="14"/>
      <c r="AC443" s="14"/>
      <c r="AD443" s="12"/>
      <c r="AE443" s="12"/>
      <c r="AF443" s="12"/>
      <c r="AG443" s="78">
        <v>45553.0</v>
      </c>
      <c r="AH443" s="12"/>
      <c r="AI443" s="12"/>
      <c r="AJ443" s="12"/>
      <c r="AK443" s="11" t="s">
        <v>45</v>
      </c>
      <c r="AL443" s="12"/>
      <c r="AM443" s="12"/>
      <c r="AN443" s="11"/>
      <c r="AO443" s="140"/>
      <c r="AP443" s="140"/>
    </row>
    <row r="444">
      <c r="A444" s="11" t="s">
        <v>36</v>
      </c>
      <c r="B444" s="9">
        <v>45552.617914780094</v>
      </c>
      <c r="C444" s="10" t="s">
        <v>201</v>
      </c>
      <c r="D444" s="11" t="s">
        <v>202</v>
      </c>
      <c r="E444" s="11" t="s">
        <v>52</v>
      </c>
      <c r="F444" s="11" t="s">
        <v>65</v>
      </c>
      <c r="G444" s="11" t="s">
        <v>54</v>
      </c>
      <c r="H444" s="11" t="s">
        <v>833</v>
      </c>
      <c r="I444" s="11" t="s">
        <v>1262</v>
      </c>
      <c r="J444" s="11" t="s">
        <v>102</v>
      </c>
      <c r="K444" s="28" t="s">
        <v>1263</v>
      </c>
      <c r="L444" s="11" t="s">
        <v>1264</v>
      </c>
      <c r="M444" s="11" t="s">
        <v>71</v>
      </c>
      <c r="N444" s="11" t="s">
        <v>96</v>
      </c>
      <c r="O444" s="11" t="s">
        <v>1265</v>
      </c>
      <c r="P444" s="14"/>
      <c r="Q444" s="14"/>
      <c r="R444" s="14"/>
      <c r="S444" s="14"/>
      <c r="T444" s="14"/>
      <c r="U444" s="14"/>
      <c r="V444" s="14"/>
      <c r="W444" s="14"/>
      <c r="X444" s="14"/>
      <c r="Y444" s="14"/>
      <c r="Z444" s="14"/>
      <c r="AA444" s="14"/>
      <c r="AB444" s="14"/>
      <c r="AC444" s="14"/>
      <c r="AD444" s="12"/>
      <c r="AE444" s="12"/>
      <c r="AF444" s="12"/>
      <c r="AG444" s="78">
        <v>45553.0</v>
      </c>
      <c r="AH444" s="12"/>
      <c r="AI444" s="12"/>
      <c r="AJ444" s="12"/>
      <c r="AK444" s="11" t="s">
        <v>1266</v>
      </c>
      <c r="AL444" s="12"/>
      <c r="AM444" s="12"/>
      <c r="AN444" s="11"/>
      <c r="AO444" s="140"/>
      <c r="AP444" s="140"/>
    </row>
    <row r="445">
      <c r="A445" s="11" t="s">
        <v>36</v>
      </c>
      <c r="B445" s="9">
        <v>45553.45163506945</v>
      </c>
      <c r="C445" s="10" t="s">
        <v>1267</v>
      </c>
      <c r="D445" s="11" t="s">
        <v>109</v>
      </c>
      <c r="E445" s="11" t="s">
        <v>52</v>
      </c>
      <c r="F445" s="11" t="s">
        <v>40</v>
      </c>
      <c r="G445" s="11" t="s">
        <v>54</v>
      </c>
      <c r="H445" s="11" t="s">
        <v>607</v>
      </c>
      <c r="I445" s="11">
        <v>105.0</v>
      </c>
      <c r="J445" s="11" t="s">
        <v>102</v>
      </c>
      <c r="K445" s="28" t="s">
        <v>1268</v>
      </c>
      <c r="L445" s="11" t="s">
        <v>1269</v>
      </c>
      <c r="M445" s="11" t="s">
        <v>71</v>
      </c>
      <c r="N445" s="11" t="s">
        <v>96</v>
      </c>
      <c r="O445" s="11" t="s">
        <v>1270</v>
      </c>
      <c r="P445" s="14"/>
      <c r="Q445" s="14"/>
      <c r="R445" s="14"/>
      <c r="S445" s="14"/>
      <c r="T445" s="14"/>
      <c r="U445" s="14"/>
      <c r="V445" s="14"/>
      <c r="W445" s="14"/>
      <c r="X445" s="14"/>
      <c r="Y445" s="14"/>
      <c r="Z445" s="14"/>
      <c r="AA445" s="14"/>
      <c r="AB445" s="14"/>
      <c r="AC445" s="14"/>
      <c r="AD445" s="12"/>
      <c r="AE445" s="12"/>
      <c r="AF445" s="12"/>
      <c r="AG445" s="78">
        <v>45559.0</v>
      </c>
      <c r="AH445" s="12"/>
      <c r="AI445" s="12"/>
      <c r="AJ445" s="12"/>
      <c r="AK445" s="11" t="s">
        <v>1271</v>
      </c>
      <c r="AL445" s="12"/>
      <c r="AM445" s="12"/>
      <c r="AN445" s="11"/>
      <c r="AO445" s="140"/>
      <c r="AP445" s="140"/>
    </row>
    <row r="446">
      <c r="A446" s="11" t="s">
        <v>36</v>
      </c>
      <c r="B446" s="9">
        <v>45554.23576840278</v>
      </c>
      <c r="C446" s="10" t="s">
        <v>168</v>
      </c>
      <c r="D446" s="11" t="s">
        <v>109</v>
      </c>
      <c r="E446" s="11" t="s">
        <v>52</v>
      </c>
      <c r="F446" s="11" t="s">
        <v>65</v>
      </c>
      <c r="G446" s="11" t="s">
        <v>131</v>
      </c>
      <c r="H446" s="11" t="s">
        <v>833</v>
      </c>
      <c r="I446" s="77">
        <v>590.0</v>
      </c>
      <c r="J446" s="11" t="s">
        <v>100</v>
      </c>
      <c r="K446" s="12"/>
      <c r="L446" s="24" t="s">
        <v>1272</v>
      </c>
      <c r="M446" s="11" t="s">
        <v>71</v>
      </c>
      <c r="N446" s="11" t="s">
        <v>96</v>
      </c>
      <c r="O446" s="11" t="s">
        <v>1273</v>
      </c>
      <c r="P446" s="14"/>
      <c r="Q446" s="14"/>
      <c r="R446" s="14"/>
      <c r="S446" s="14"/>
      <c r="T446" s="14"/>
      <c r="U446" s="14"/>
      <c r="V446" s="14"/>
      <c r="W446" s="14"/>
      <c r="X446" s="14"/>
      <c r="Y446" s="14"/>
      <c r="Z446" s="14"/>
      <c r="AA446" s="14"/>
      <c r="AB446" s="14"/>
      <c r="AC446" s="14"/>
      <c r="AD446" s="12"/>
      <c r="AE446" s="12"/>
      <c r="AF446" s="12"/>
      <c r="AG446" s="78">
        <v>45559.0</v>
      </c>
      <c r="AH446" s="12"/>
      <c r="AI446" s="12"/>
      <c r="AJ446" s="12"/>
      <c r="AK446" s="11" t="s">
        <v>1274</v>
      </c>
      <c r="AL446" s="12"/>
      <c r="AM446" s="12"/>
      <c r="AN446" s="11"/>
      <c r="AO446" s="140"/>
      <c r="AP446" s="140"/>
    </row>
    <row r="447">
      <c r="A447" s="11" t="s">
        <v>36</v>
      </c>
      <c r="B447" s="9">
        <v>45554.52265479167</v>
      </c>
      <c r="C447" s="10" t="s">
        <v>487</v>
      </c>
      <c r="D447" s="11" t="s">
        <v>142</v>
      </c>
      <c r="E447" s="11" t="s">
        <v>52</v>
      </c>
      <c r="F447" s="11" t="s">
        <v>65</v>
      </c>
      <c r="G447" s="11" t="s">
        <v>54</v>
      </c>
      <c r="H447" s="11" t="s">
        <v>833</v>
      </c>
      <c r="I447" s="77">
        <v>39.95</v>
      </c>
      <c r="J447" s="11" t="s">
        <v>189</v>
      </c>
      <c r="K447" s="12"/>
      <c r="L447" s="24" t="s">
        <v>1275</v>
      </c>
      <c r="M447" s="11" t="s">
        <v>71</v>
      </c>
      <c r="N447" s="11" t="s">
        <v>96</v>
      </c>
      <c r="O447" s="11" t="s">
        <v>1276</v>
      </c>
      <c r="P447" s="14"/>
      <c r="Q447" s="14"/>
      <c r="R447" s="14"/>
      <c r="S447" s="14"/>
      <c r="T447" s="14"/>
      <c r="U447" s="14"/>
      <c r="V447" s="14"/>
      <c r="W447" s="14"/>
      <c r="X447" s="14"/>
      <c r="Y447" s="14"/>
      <c r="Z447" s="14"/>
      <c r="AA447" s="14"/>
      <c r="AB447" s="14"/>
      <c r="AC447" s="14"/>
      <c r="AD447" s="12"/>
      <c r="AE447" s="12"/>
      <c r="AF447" s="12"/>
      <c r="AG447" s="78">
        <v>45559.0</v>
      </c>
      <c r="AH447" s="12"/>
      <c r="AI447" s="12"/>
      <c r="AJ447" s="12"/>
      <c r="AK447" s="11" t="s">
        <v>1271</v>
      </c>
      <c r="AL447" s="12"/>
      <c r="AM447" s="12"/>
      <c r="AN447" s="11"/>
      <c r="AO447" s="140"/>
      <c r="AP447" s="140"/>
    </row>
    <row r="448">
      <c r="A448" s="11" t="s">
        <v>36</v>
      </c>
      <c r="B448" s="9">
        <v>45554.52507697917</v>
      </c>
      <c r="C448" s="10" t="s">
        <v>487</v>
      </c>
      <c r="D448" s="11" t="s">
        <v>142</v>
      </c>
      <c r="E448" s="11" t="s">
        <v>52</v>
      </c>
      <c r="F448" s="11" t="s">
        <v>65</v>
      </c>
      <c r="G448" s="11" t="s">
        <v>54</v>
      </c>
      <c r="H448" s="11" t="s">
        <v>625</v>
      </c>
      <c r="I448" s="71">
        <v>225.0</v>
      </c>
      <c r="J448" s="11" t="s">
        <v>189</v>
      </c>
      <c r="K448" s="12"/>
      <c r="L448" s="11" t="s">
        <v>1277</v>
      </c>
      <c r="M448" s="11" t="s">
        <v>71</v>
      </c>
      <c r="N448" s="11" t="s">
        <v>96</v>
      </c>
      <c r="O448" s="11" t="s">
        <v>1276</v>
      </c>
      <c r="P448" s="14"/>
      <c r="Q448" s="14"/>
      <c r="R448" s="14"/>
      <c r="S448" s="14"/>
      <c r="T448" s="14"/>
      <c r="U448" s="14"/>
      <c r="V448" s="14"/>
      <c r="W448" s="14"/>
      <c r="X448" s="14"/>
      <c r="Y448" s="14"/>
      <c r="Z448" s="14"/>
      <c r="AA448" s="14"/>
      <c r="AB448" s="14"/>
      <c r="AC448" s="14"/>
      <c r="AD448" s="12"/>
      <c r="AE448" s="12"/>
      <c r="AF448" s="12"/>
      <c r="AG448" s="78">
        <v>45559.0</v>
      </c>
      <c r="AH448" s="12"/>
      <c r="AI448" s="12"/>
      <c r="AJ448" s="12"/>
      <c r="AK448" s="11" t="s">
        <v>1271</v>
      </c>
      <c r="AL448" s="12"/>
      <c r="AM448" s="12"/>
      <c r="AN448" s="11"/>
      <c r="AO448" s="140"/>
      <c r="AP448" s="140"/>
    </row>
    <row r="449">
      <c r="A449" s="11" t="s">
        <v>36</v>
      </c>
      <c r="B449" s="9">
        <v>45554.58106115741</v>
      </c>
      <c r="C449" s="10" t="s">
        <v>276</v>
      </c>
      <c r="D449" s="11" t="s">
        <v>202</v>
      </c>
      <c r="E449" s="11" t="s">
        <v>52</v>
      </c>
      <c r="F449" s="11" t="s">
        <v>65</v>
      </c>
      <c r="G449" s="11" t="s">
        <v>54</v>
      </c>
      <c r="H449" s="11" t="s">
        <v>625</v>
      </c>
      <c r="I449" s="11" t="s">
        <v>1278</v>
      </c>
      <c r="J449" s="11" t="s">
        <v>1279</v>
      </c>
      <c r="K449" s="12"/>
      <c r="L449" s="11" t="s">
        <v>1128</v>
      </c>
      <c r="M449" s="11" t="s">
        <v>71</v>
      </c>
      <c r="N449" s="11" t="s">
        <v>96</v>
      </c>
      <c r="O449" s="11" t="s">
        <v>910</v>
      </c>
      <c r="P449" s="14"/>
      <c r="Q449" s="14"/>
      <c r="R449" s="14"/>
      <c r="S449" s="14"/>
      <c r="T449" s="14"/>
      <c r="U449" s="14"/>
      <c r="V449" s="14"/>
      <c r="W449" s="14"/>
      <c r="X449" s="14"/>
      <c r="Y449" s="14"/>
      <c r="Z449" s="14"/>
      <c r="AA449" s="14"/>
      <c r="AB449" s="14"/>
      <c r="AC449" s="14"/>
      <c r="AD449" s="12"/>
      <c r="AE449" s="12"/>
      <c r="AF449" s="12"/>
      <c r="AG449" s="12"/>
      <c r="AH449" s="12"/>
      <c r="AI449" s="12"/>
      <c r="AJ449" s="12"/>
      <c r="AK449" s="12"/>
      <c r="AL449" s="12"/>
      <c r="AM449" s="12"/>
      <c r="AN449" s="11"/>
      <c r="AO449" s="140"/>
      <c r="AP449" s="140"/>
    </row>
    <row r="450">
      <c r="A450" s="11" t="s">
        <v>36</v>
      </c>
      <c r="B450" s="9">
        <v>45555.568364074075</v>
      </c>
      <c r="C450" s="10" t="s">
        <v>1280</v>
      </c>
      <c r="D450" s="11" t="s">
        <v>51</v>
      </c>
      <c r="E450" s="11" t="s">
        <v>149</v>
      </c>
      <c r="F450" s="11" t="s">
        <v>549</v>
      </c>
      <c r="G450" s="11" t="s">
        <v>131</v>
      </c>
      <c r="H450" s="11" t="s">
        <v>625</v>
      </c>
      <c r="I450" s="71">
        <v>159.0</v>
      </c>
      <c r="J450" s="11" t="s">
        <v>184</v>
      </c>
      <c r="K450" s="24" t="s">
        <v>1281</v>
      </c>
      <c r="L450" s="11" t="s">
        <v>1282</v>
      </c>
      <c r="M450" s="11" t="s">
        <v>71</v>
      </c>
      <c r="N450" s="11" t="s">
        <v>96</v>
      </c>
      <c r="O450" s="11" t="s">
        <v>1283</v>
      </c>
      <c r="P450" s="14"/>
      <c r="Q450" s="14"/>
      <c r="R450" s="14"/>
      <c r="S450" s="14"/>
      <c r="T450" s="14"/>
      <c r="U450" s="14"/>
      <c r="V450" s="14"/>
      <c r="W450" s="14"/>
      <c r="X450" s="14"/>
      <c r="Y450" s="14"/>
      <c r="Z450" s="14"/>
      <c r="AA450" s="14"/>
      <c r="AB450" s="14"/>
      <c r="AC450" s="14"/>
      <c r="AD450" s="12"/>
      <c r="AE450" s="12"/>
      <c r="AF450" s="12"/>
      <c r="AG450" s="78">
        <v>45559.0</v>
      </c>
      <c r="AH450" s="12"/>
      <c r="AI450" s="12"/>
      <c r="AJ450" s="12"/>
      <c r="AK450" s="11" t="s">
        <v>1271</v>
      </c>
      <c r="AL450" s="12"/>
      <c r="AM450" s="12"/>
      <c r="AN450" s="11"/>
      <c r="AO450" s="140"/>
      <c r="AP450" s="140"/>
    </row>
    <row r="451">
      <c r="A451" s="11" t="s">
        <v>36</v>
      </c>
      <c r="B451" s="9">
        <v>45558.51466763889</v>
      </c>
      <c r="C451" s="10" t="s">
        <v>1284</v>
      </c>
      <c r="D451" s="11" t="s">
        <v>51</v>
      </c>
      <c r="E451" s="11" t="s">
        <v>52</v>
      </c>
      <c r="F451" s="11" t="s">
        <v>40</v>
      </c>
      <c r="G451" s="11" t="s">
        <v>54</v>
      </c>
      <c r="H451" s="11" t="s">
        <v>625</v>
      </c>
      <c r="I451" s="11">
        <v>384.99</v>
      </c>
      <c r="J451" s="11" t="s">
        <v>102</v>
      </c>
      <c r="K451" s="12"/>
      <c r="L451" s="24" t="s">
        <v>1285</v>
      </c>
      <c r="M451" s="11" t="s">
        <v>71</v>
      </c>
      <c r="N451" s="11" t="s">
        <v>96</v>
      </c>
      <c r="O451" s="11" t="s">
        <v>1286</v>
      </c>
      <c r="P451" s="14"/>
      <c r="Q451" s="14"/>
      <c r="R451" s="14"/>
      <c r="S451" s="14"/>
      <c r="T451" s="14"/>
      <c r="U451" s="14"/>
      <c r="V451" s="14"/>
      <c r="W451" s="14"/>
      <c r="X451" s="14"/>
      <c r="Y451" s="14"/>
      <c r="Z451" s="14"/>
      <c r="AA451" s="14"/>
      <c r="AB451" s="14"/>
      <c r="AC451" s="14"/>
      <c r="AD451" s="12"/>
      <c r="AE451" s="12"/>
      <c r="AF451" s="12"/>
      <c r="AG451" s="78">
        <v>45559.0</v>
      </c>
      <c r="AH451" s="12"/>
      <c r="AI451" s="12"/>
      <c r="AJ451" s="12"/>
      <c r="AK451" s="11" t="s">
        <v>1271</v>
      </c>
      <c r="AL451" s="12"/>
      <c r="AM451" s="12"/>
      <c r="AN451" s="11"/>
      <c r="AO451" s="140"/>
      <c r="AP451" s="140"/>
    </row>
    <row r="452">
      <c r="A452" s="11" t="s">
        <v>36</v>
      </c>
      <c r="B452" s="9">
        <v>45558.64489700232</v>
      </c>
      <c r="C452" s="10" t="s">
        <v>333</v>
      </c>
      <c r="D452" s="11" t="s">
        <v>38</v>
      </c>
      <c r="E452" s="11" t="s">
        <v>40</v>
      </c>
      <c r="F452" s="11" t="s">
        <v>40</v>
      </c>
      <c r="G452" s="11" t="s">
        <v>41</v>
      </c>
      <c r="H452" s="11" t="s">
        <v>833</v>
      </c>
      <c r="I452" s="11" t="s">
        <v>1287</v>
      </c>
      <c r="J452" s="11" t="s">
        <v>102</v>
      </c>
      <c r="K452" s="12"/>
      <c r="L452" s="24" t="s">
        <v>1288</v>
      </c>
      <c r="M452" s="11" t="s">
        <v>71</v>
      </c>
      <c r="N452" s="11" t="s">
        <v>96</v>
      </c>
      <c r="O452" s="11" t="s">
        <v>1289</v>
      </c>
      <c r="P452" s="14"/>
      <c r="Q452" s="14"/>
      <c r="R452" s="14"/>
      <c r="S452" s="14"/>
      <c r="T452" s="14"/>
      <c r="U452" s="14"/>
      <c r="V452" s="14"/>
      <c r="W452" s="14"/>
      <c r="X452" s="14"/>
      <c r="Y452" s="14"/>
      <c r="Z452" s="14"/>
      <c r="AA452" s="14"/>
      <c r="AB452" s="14"/>
      <c r="AC452" s="14"/>
      <c r="AD452" s="12"/>
      <c r="AE452" s="12"/>
      <c r="AF452" s="12"/>
      <c r="AG452" s="78">
        <v>45560.0</v>
      </c>
      <c r="AH452" s="12"/>
      <c r="AI452" s="12"/>
      <c r="AJ452" s="12"/>
      <c r="AK452" s="11" t="s">
        <v>1271</v>
      </c>
      <c r="AL452" s="12"/>
      <c r="AM452" s="12"/>
      <c r="AN452" s="11"/>
      <c r="AO452" s="140"/>
      <c r="AP452" s="140"/>
    </row>
    <row r="453">
      <c r="A453" s="11" t="s">
        <v>36</v>
      </c>
      <c r="B453" s="9">
        <v>45559.59071408564</v>
      </c>
      <c r="C453" s="10" t="s">
        <v>37</v>
      </c>
      <c r="D453" s="11" t="s">
        <v>51</v>
      </c>
      <c r="E453" s="11" t="s">
        <v>52</v>
      </c>
      <c r="F453" s="11" t="s">
        <v>65</v>
      </c>
      <c r="G453" s="11" t="s">
        <v>41</v>
      </c>
      <c r="H453" s="11" t="s">
        <v>1117</v>
      </c>
      <c r="I453" s="71">
        <v>3600.0</v>
      </c>
      <c r="J453" s="11" t="s">
        <v>128</v>
      </c>
      <c r="K453" s="12"/>
      <c r="L453" s="12"/>
      <c r="M453" s="11" t="s">
        <v>71</v>
      </c>
      <c r="N453" s="11" t="s">
        <v>68</v>
      </c>
      <c r="O453" s="11" t="s">
        <v>1290</v>
      </c>
      <c r="P453" s="14"/>
      <c r="Q453" s="14"/>
      <c r="R453" s="14"/>
      <c r="S453" s="14"/>
      <c r="T453" s="14"/>
      <c r="U453" s="14"/>
      <c r="V453" s="14"/>
      <c r="W453" s="14"/>
      <c r="X453" s="14"/>
      <c r="Y453" s="14"/>
      <c r="Z453" s="14"/>
      <c r="AA453" s="14"/>
      <c r="AB453" s="14"/>
      <c r="AC453" s="14"/>
      <c r="AD453" s="12"/>
      <c r="AE453" s="12"/>
      <c r="AF453" s="12"/>
      <c r="AG453" s="78">
        <v>45560.0</v>
      </c>
      <c r="AH453" s="12"/>
      <c r="AI453" s="12"/>
      <c r="AJ453" s="12"/>
      <c r="AK453" s="11" t="s">
        <v>1271</v>
      </c>
      <c r="AL453" s="12"/>
      <c r="AM453" s="12"/>
      <c r="AN453" s="11"/>
      <c r="AO453" s="8" t="b">
        <v>1</v>
      </c>
      <c r="AP453" s="8"/>
    </row>
    <row r="454">
      <c r="A454" s="11" t="s">
        <v>36</v>
      </c>
      <c r="B454" s="9">
        <v>45559.592653831016</v>
      </c>
      <c r="C454" s="10" t="s">
        <v>37</v>
      </c>
      <c r="D454" s="11" t="s">
        <v>51</v>
      </c>
      <c r="E454" s="11" t="s">
        <v>52</v>
      </c>
      <c r="F454" s="11" t="s">
        <v>65</v>
      </c>
      <c r="G454" s="11" t="s">
        <v>41</v>
      </c>
      <c r="H454" s="11" t="s">
        <v>1098</v>
      </c>
      <c r="I454" s="71">
        <v>55000.0</v>
      </c>
      <c r="J454" s="11" t="s">
        <v>128</v>
      </c>
      <c r="K454" s="12"/>
      <c r="L454" s="12"/>
      <c r="M454" s="11" t="s">
        <v>71</v>
      </c>
      <c r="N454" s="11" t="s">
        <v>68</v>
      </c>
      <c r="O454" s="11" t="s">
        <v>1291</v>
      </c>
      <c r="P454" s="14"/>
      <c r="Q454" s="14"/>
      <c r="R454" s="14"/>
      <c r="S454" s="14"/>
      <c r="T454" s="14"/>
      <c r="U454" s="14"/>
      <c r="V454" s="14"/>
      <c r="W454" s="14"/>
      <c r="X454" s="14"/>
      <c r="Y454" s="14"/>
      <c r="Z454" s="14"/>
      <c r="AA454" s="14"/>
      <c r="AB454" s="14"/>
      <c r="AC454" s="14"/>
      <c r="AD454" s="12"/>
      <c r="AE454" s="12"/>
      <c r="AF454" s="12"/>
      <c r="AG454" s="78">
        <v>45560.0</v>
      </c>
      <c r="AH454" s="12"/>
      <c r="AI454" s="12"/>
      <c r="AJ454" s="12"/>
      <c r="AK454" s="11" t="s">
        <v>1271</v>
      </c>
      <c r="AL454" s="12"/>
      <c r="AM454" s="12"/>
      <c r="AN454" s="11"/>
      <c r="AO454" s="140" t="b">
        <v>0</v>
      </c>
      <c r="AP454" s="140"/>
    </row>
    <row r="455">
      <c r="A455" s="11" t="s">
        <v>36</v>
      </c>
      <c r="B455" s="9">
        <v>45559.59326314815</v>
      </c>
      <c r="C455" s="10" t="s">
        <v>37</v>
      </c>
      <c r="D455" s="11" t="s">
        <v>51</v>
      </c>
      <c r="E455" s="11" t="s">
        <v>52</v>
      </c>
      <c r="F455" s="11" t="s">
        <v>65</v>
      </c>
      <c r="G455" s="11" t="s">
        <v>41</v>
      </c>
      <c r="H455" s="11" t="s">
        <v>1098</v>
      </c>
      <c r="I455" s="71">
        <v>55000.0</v>
      </c>
      <c r="J455" s="11" t="s">
        <v>128</v>
      </c>
      <c r="K455" s="12"/>
      <c r="L455" s="12"/>
      <c r="M455" s="11" t="s">
        <v>71</v>
      </c>
      <c r="N455" s="11" t="s">
        <v>68</v>
      </c>
      <c r="O455" s="11" t="s">
        <v>1291</v>
      </c>
      <c r="P455" s="14"/>
      <c r="Q455" s="14"/>
      <c r="R455" s="14"/>
      <c r="S455" s="14"/>
      <c r="T455" s="14"/>
      <c r="U455" s="14"/>
      <c r="V455" s="14"/>
      <c r="W455" s="14"/>
      <c r="X455" s="14"/>
      <c r="Y455" s="14"/>
      <c r="Z455" s="14"/>
      <c r="AA455" s="14"/>
      <c r="AB455" s="14"/>
      <c r="AC455" s="14"/>
      <c r="AD455" s="12"/>
      <c r="AE455" s="12"/>
      <c r="AF455" s="12"/>
      <c r="AG455" s="78">
        <v>45560.0</v>
      </c>
      <c r="AH455" s="12"/>
      <c r="AI455" s="12"/>
      <c r="AJ455" s="12"/>
      <c r="AK455" s="11" t="s">
        <v>1292</v>
      </c>
      <c r="AL455" s="12"/>
      <c r="AM455" s="12"/>
      <c r="AN455" s="11"/>
      <c r="AO455" s="140" t="b">
        <v>0</v>
      </c>
      <c r="AP455" s="140"/>
    </row>
    <row r="456">
      <c r="A456" s="11" t="s">
        <v>36</v>
      </c>
      <c r="B456" s="9">
        <v>45559.6250741088</v>
      </c>
      <c r="C456" s="10" t="s">
        <v>482</v>
      </c>
      <c r="D456" s="11" t="s">
        <v>109</v>
      </c>
      <c r="E456" s="11" t="s">
        <v>138</v>
      </c>
      <c r="F456" s="11" t="s">
        <v>65</v>
      </c>
      <c r="G456" s="11" t="s">
        <v>131</v>
      </c>
      <c r="H456" s="11" t="s">
        <v>607</v>
      </c>
      <c r="I456" s="71">
        <v>175.0</v>
      </c>
      <c r="J456" s="11" t="s">
        <v>967</v>
      </c>
      <c r="K456" s="12"/>
      <c r="L456" s="11" t="s">
        <v>1293</v>
      </c>
      <c r="M456" s="11" t="s">
        <v>71</v>
      </c>
      <c r="N456" s="11" t="s">
        <v>96</v>
      </c>
      <c r="O456" s="11" t="s">
        <v>1294</v>
      </c>
      <c r="P456" s="14"/>
      <c r="Q456" s="14"/>
      <c r="R456" s="14"/>
      <c r="S456" s="14"/>
      <c r="T456" s="14"/>
      <c r="U456" s="14"/>
      <c r="V456" s="14"/>
      <c r="W456" s="14"/>
      <c r="X456" s="14"/>
      <c r="Y456" s="14"/>
      <c r="Z456" s="14"/>
      <c r="AA456" s="14"/>
      <c r="AB456" s="14"/>
      <c r="AC456" s="14"/>
      <c r="AD456" s="12"/>
      <c r="AE456" s="12"/>
      <c r="AF456" s="12"/>
      <c r="AG456" s="78">
        <v>45560.0</v>
      </c>
      <c r="AH456" s="12"/>
      <c r="AI456" s="12"/>
      <c r="AJ456" s="12"/>
      <c r="AK456" s="11" t="s">
        <v>1271</v>
      </c>
      <c r="AL456" s="12"/>
      <c r="AM456" s="12"/>
      <c r="AN456" s="11"/>
      <c r="AO456" s="140"/>
      <c r="AP456" s="140"/>
    </row>
    <row r="457">
      <c r="A457" s="11" t="s">
        <v>36</v>
      </c>
      <c r="B457" s="9">
        <v>45560.410561805555</v>
      </c>
      <c r="C457" s="10" t="s">
        <v>414</v>
      </c>
      <c r="D457" s="11" t="s">
        <v>109</v>
      </c>
      <c r="E457" s="11" t="s">
        <v>52</v>
      </c>
      <c r="F457" s="11" t="s">
        <v>40</v>
      </c>
      <c r="G457" s="11" t="s">
        <v>54</v>
      </c>
      <c r="H457" s="11" t="s">
        <v>607</v>
      </c>
      <c r="I457" s="11">
        <v>260.0</v>
      </c>
      <c r="J457" s="11" t="s">
        <v>102</v>
      </c>
      <c r="K457" s="28" t="s">
        <v>1295</v>
      </c>
      <c r="L457" s="11" t="s">
        <v>1296</v>
      </c>
      <c r="M457" s="11" t="s">
        <v>71</v>
      </c>
      <c r="N457" s="11" t="s">
        <v>96</v>
      </c>
      <c r="O457" s="11" t="s">
        <v>1297</v>
      </c>
      <c r="P457" s="14"/>
      <c r="Q457" s="14"/>
      <c r="R457" s="14"/>
      <c r="S457" s="14"/>
      <c r="T457" s="14"/>
      <c r="U457" s="14"/>
      <c r="V457" s="14"/>
      <c r="W457" s="14"/>
      <c r="X457" s="14"/>
      <c r="Y457" s="14"/>
      <c r="Z457" s="14"/>
      <c r="AA457" s="14"/>
      <c r="AB457" s="14"/>
      <c r="AC457" s="14"/>
      <c r="AD457" s="12"/>
      <c r="AE457" s="12"/>
      <c r="AF457" s="12"/>
      <c r="AG457" s="78">
        <v>45560.0</v>
      </c>
      <c r="AH457" s="12"/>
      <c r="AI457" s="12"/>
      <c r="AJ457" s="12"/>
      <c r="AK457" s="11" t="s">
        <v>1271</v>
      </c>
      <c r="AL457" s="12"/>
      <c r="AM457" s="12"/>
      <c r="AN457" s="11"/>
      <c r="AO457" s="140"/>
      <c r="AP457" s="140"/>
    </row>
    <row r="458">
      <c r="A458" s="11" t="s">
        <v>36</v>
      </c>
      <c r="B458" s="9">
        <v>45560.46625932871</v>
      </c>
      <c r="C458" s="10" t="s">
        <v>245</v>
      </c>
      <c r="D458" s="11" t="s">
        <v>142</v>
      </c>
      <c r="E458" s="11" t="s">
        <v>52</v>
      </c>
      <c r="F458" s="11" t="s">
        <v>65</v>
      </c>
      <c r="G458" s="11" t="s">
        <v>54</v>
      </c>
      <c r="H458" s="11" t="s">
        <v>833</v>
      </c>
      <c r="I458" s="11" t="s">
        <v>1298</v>
      </c>
      <c r="J458" s="11" t="s">
        <v>102</v>
      </c>
      <c r="K458" s="12"/>
      <c r="L458" s="11" t="s">
        <v>1299</v>
      </c>
      <c r="M458" s="11" t="s">
        <v>71</v>
      </c>
      <c r="N458" s="11" t="s">
        <v>96</v>
      </c>
      <c r="O458" s="11" t="s">
        <v>1115</v>
      </c>
      <c r="P458" s="14"/>
      <c r="Q458" s="14"/>
      <c r="R458" s="14"/>
      <c r="S458" s="14"/>
      <c r="T458" s="14"/>
      <c r="U458" s="14"/>
      <c r="V458" s="14"/>
      <c r="W458" s="14"/>
      <c r="X458" s="14"/>
      <c r="Y458" s="14"/>
      <c r="Z458" s="14"/>
      <c r="AA458" s="14"/>
      <c r="AB458" s="14"/>
      <c r="AC458" s="14"/>
      <c r="AD458" s="12"/>
      <c r="AE458" s="12"/>
      <c r="AF458" s="12"/>
      <c r="AG458" s="78">
        <v>45560.0</v>
      </c>
      <c r="AH458" s="12"/>
      <c r="AI458" s="12"/>
      <c r="AJ458" s="12"/>
      <c r="AK458" s="11" t="s">
        <v>1271</v>
      </c>
      <c r="AL458" s="12"/>
      <c r="AM458" s="12"/>
      <c r="AN458" s="11"/>
      <c r="AO458" s="140"/>
      <c r="AP458" s="140"/>
    </row>
    <row r="459">
      <c r="A459" s="11" t="s">
        <v>36</v>
      </c>
      <c r="B459" s="9">
        <v>45560.62782034722</v>
      </c>
      <c r="C459" s="10" t="s">
        <v>195</v>
      </c>
      <c r="D459" s="11" t="s">
        <v>51</v>
      </c>
      <c r="E459" s="11" t="s">
        <v>1300</v>
      </c>
      <c r="F459" s="11" t="s">
        <v>80</v>
      </c>
      <c r="G459" s="11" t="s">
        <v>131</v>
      </c>
      <c r="H459" s="11" t="s">
        <v>625</v>
      </c>
      <c r="I459" s="11" t="s">
        <v>1301</v>
      </c>
      <c r="J459" s="11" t="s">
        <v>189</v>
      </c>
      <c r="K459" s="12"/>
      <c r="L459" s="24" t="s">
        <v>1302</v>
      </c>
      <c r="M459" s="11" t="s">
        <v>71</v>
      </c>
      <c r="N459" s="11" t="s">
        <v>96</v>
      </c>
      <c r="O459" s="11" t="s">
        <v>1303</v>
      </c>
      <c r="P459" s="14"/>
      <c r="Q459" s="14"/>
      <c r="R459" s="14"/>
      <c r="S459" s="14"/>
      <c r="T459" s="14"/>
      <c r="U459" s="14"/>
      <c r="V459" s="14"/>
      <c r="W459" s="14"/>
      <c r="X459" s="14"/>
      <c r="Y459" s="14"/>
      <c r="Z459" s="14"/>
      <c r="AA459" s="14"/>
      <c r="AB459" s="14"/>
      <c r="AC459" s="14"/>
      <c r="AD459" s="12"/>
      <c r="AE459" s="12"/>
      <c r="AF459" s="12"/>
      <c r="AG459" s="78">
        <v>45562.0</v>
      </c>
      <c r="AH459" s="12"/>
      <c r="AI459" s="12"/>
      <c r="AJ459" s="12"/>
      <c r="AK459" s="11" t="s">
        <v>1271</v>
      </c>
      <c r="AL459" s="12"/>
      <c r="AM459" s="12"/>
      <c r="AN459" s="11"/>
      <c r="AO459" s="140"/>
      <c r="AP459" s="140"/>
    </row>
    <row r="460">
      <c r="A460" s="11" t="s">
        <v>36</v>
      </c>
      <c r="B460" s="9">
        <v>45560.62902060185</v>
      </c>
      <c r="C460" s="10" t="s">
        <v>1304</v>
      </c>
      <c r="D460" s="11" t="s">
        <v>142</v>
      </c>
      <c r="E460" s="11" t="s">
        <v>138</v>
      </c>
      <c r="F460" s="11" t="s">
        <v>65</v>
      </c>
      <c r="G460" s="11" t="s">
        <v>54</v>
      </c>
      <c r="H460" s="11" t="s">
        <v>466</v>
      </c>
      <c r="I460" s="71">
        <v>1000.0</v>
      </c>
      <c r="J460" s="11" t="s">
        <v>128</v>
      </c>
      <c r="K460" s="12"/>
      <c r="L460" s="12"/>
      <c r="M460" s="11" t="s">
        <v>71</v>
      </c>
      <c r="N460" s="11" t="s">
        <v>68</v>
      </c>
      <c r="O460" s="11" t="s">
        <v>1305</v>
      </c>
      <c r="P460" s="14"/>
      <c r="Q460" s="14"/>
      <c r="R460" s="14"/>
      <c r="S460" s="14"/>
      <c r="T460" s="14"/>
      <c r="U460" s="14"/>
      <c r="V460" s="14"/>
      <c r="W460" s="14"/>
      <c r="X460" s="14"/>
      <c r="Y460" s="14"/>
      <c r="Z460" s="14"/>
      <c r="AA460" s="14"/>
      <c r="AB460" s="14"/>
      <c r="AC460" s="14"/>
      <c r="AD460" s="12"/>
      <c r="AE460" s="12"/>
      <c r="AF460" s="12"/>
      <c r="AG460" s="78">
        <v>45562.0</v>
      </c>
      <c r="AH460" s="12"/>
      <c r="AI460" s="12"/>
      <c r="AJ460" s="12"/>
      <c r="AK460" s="11" t="s">
        <v>1271</v>
      </c>
      <c r="AL460" s="12"/>
      <c r="AM460" s="12"/>
      <c r="AN460" s="11"/>
      <c r="AO460" s="8" t="b">
        <v>1</v>
      </c>
      <c r="AP460" s="8"/>
    </row>
    <row r="461">
      <c r="A461" s="11" t="s">
        <v>36</v>
      </c>
      <c r="B461" s="9">
        <v>45560.67869104167</v>
      </c>
      <c r="C461" s="10" t="s">
        <v>1306</v>
      </c>
      <c r="D461" s="11" t="s">
        <v>142</v>
      </c>
      <c r="E461" s="11" t="s">
        <v>138</v>
      </c>
      <c r="F461" s="11" t="s">
        <v>65</v>
      </c>
      <c r="G461" s="11" t="s">
        <v>54</v>
      </c>
      <c r="H461" s="11" t="s">
        <v>833</v>
      </c>
      <c r="I461" s="11" t="s">
        <v>1307</v>
      </c>
      <c r="J461" s="11" t="s">
        <v>43</v>
      </c>
      <c r="K461" s="24" t="s">
        <v>1308</v>
      </c>
      <c r="L461" s="11" t="s">
        <v>1309</v>
      </c>
      <c r="M461" s="11" t="s">
        <v>71</v>
      </c>
      <c r="N461" s="11" t="s">
        <v>96</v>
      </c>
      <c r="O461" s="11" t="s">
        <v>1310</v>
      </c>
      <c r="P461" s="14"/>
      <c r="Q461" s="14"/>
      <c r="R461" s="14"/>
      <c r="S461" s="14"/>
      <c r="T461" s="14"/>
      <c r="U461" s="14"/>
      <c r="V461" s="14"/>
      <c r="W461" s="14"/>
      <c r="X461" s="14"/>
      <c r="Y461" s="14"/>
      <c r="Z461" s="14"/>
      <c r="AA461" s="14"/>
      <c r="AB461" s="14"/>
      <c r="AC461" s="14"/>
      <c r="AD461" s="12"/>
      <c r="AE461" s="12"/>
      <c r="AF461" s="12"/>
      <c r="AG461" s="78">
        <v>45562.0</v>
      </c>
      <c r="AH461" s="12"/>
      <c r="AI461" s="12"/>
      <c r="AJ461" s="12"/>
      <c r="AK461" s="11" t="s">
        <v>1271</v>
      </c>
      <c r="AL461" s="12"/>
      <c r="AM461" s="12"/>
      <c r="AN461" s="11"/>
      <c r="AO461" s="140"/>
      <c r="AP461" s="140"/>
    </row>
    <row r="462">
      <c r="A462" s="11" t="s">
        <v>36</v>
      </c>
      <c r="B462" s="9">
        <v>45561.473392037035</v>
      </c>
      <c r="C462" s="10" t="s">
        <v>195</v>
      </c>
      <c r="D462" s="11" t="s">
        <v>51</v>
      </c>
      <c r="E462" s="11" t="s">
        <v>1300</v>
      </c>
      <c r="F462" s="11" t="s">
        <v>80</v>
      </c>
      <c r="G462" s="11" t="s">
        <v>131</v>
      </c>
      <c r="H462" s="11" t="s">
        <v>1098</v>
      </c>
      <c r="I462" s="11" t="s">
        <v>1311</v>
      </c>
      <c r="J462" s="11" t="s">
        <v>189</v>
      </c>
      <c r="K462" s="12"/>
      <c r="L462" s="12"/>
      <c r="M462" s="11" t="s">
        <v>71</v>
      </c>
      <c r="N462" s="11" t="s">
        <v>96</v>
      </c>
      <c r="O462" s="11" t="s">
        <v>1312</v>
      </c>
      <c r="P462" s="14"/>
      <c r="Q462" s="14"/>
      <c r="R462" s="14"/>
      <c r="S462" s="14"/>
      <c r="T462" s="14"/>
      <c r="U462" s="14"/>
      <c r="V462" s="14"/>
      <c r="W462" s="14"/>
      <c r="X462" s="14"/>
      <c r="Y462" s="14"/>
      <c r="Z462" s="14"/>
      <c r="AA462" s="14"/>
      <c r="AB462" s="14"/>
      <c r="AC462" s="14"/>
      <c r="AD462" s="12"/>
      <c r="AE462" s="12"/>
      <c r="AF462" s="12"/>
      <c r="AG462" s="78">
        <v>45562.0</v>
      </c>
      <c r="AH462" s="12"/>
      <c r="AI462" s="12"/>
      <c r="AJ462" s="12"/>
      <c r="AK462" s="11" t="s">
        <v>1271</v>
      </c>
      <c r="AL462" s="12"/>
      <c r="AM462" s="12"/>
      <c r="AN462" s="11"/>
      <c r="AO462" s="140"/>
      <c r="AP462" s="140"/>
    </row>
    <row r="463">
      <c r="A463" s="11" t="s">
        <v>36</v>
      </c>
      <c r="B463" s="9">
        <v>45561.49794973379</v>
      </c>
      <c r="C463" s="10" t="s">
        <v>94</v>
      </c>
      <c r="D463" s="11" t="s">
        <v>51</v>
      </c>
      <c r="E463" s="11" t="s">
        <v>52</v>
      </c>
      <c r="F463" s="11" t="s">
        <v>65</v>
      </c>
      <c r="G463" s="11" t="s">
        <v>54</v>
      </c>
      <c r="H463" s="11" t="s">
        <v>625</v>
      </c>
      <c r="I463" s="71">
        <v>299.0</v>
      </c>
      <c r="J463" s="11" t="s">
        <v>73</v>
      </c>
      <c r="K463" s="12"/>
      <c r="L463" s="24" t="s">
        <v>1313</v>
      </c>
      <c r="M463" s="11" t="s">
        <v>71</v>
      </c>
      <c r="N463" s="11" t="s">
        <v>96</v>
      </c>
      <c r="O463" s="11" t="s">
        <v>1314</v>
      </c>
      <c r="P463" s="14"/>
      <c r="Q463" s="14"/>
      <c r="R463" s="14"/>
      <c r="S463" s="14"/>
      <c r="T463" s="14"/>
      <c r="U463" s="14"/>
      <c r="V463" s="14"/>
      <c r="W463" s="14"/>
      <c r="X463" s="14"/>
      <c r="Y463" s="14"/>
      <c r="Z463" s="14"/>
      <c r="AA463" s="14"/>
      <c r="AB463" s="14"/>
      <c r="AC463" s="14"/>
      <c r="AD463" s="12"/>
      <c r="AE463" s="12"/>
      <c r="AF463" s="12"/>
      <c r="AG463" s="78">
        <v>45562.0</v>
      </c>
      <c r="AH463" s="12"/>
      <c r="AI463" s="12"/>
      <c r="AJ463" s="12"/>
      <c r="AK463" s="11" t="s">
        <v>1315</v>
      </c>
      <c r="AL463" s="12"/>
      <c r="AM463" s="12"/>
      <c r="AN463" s="11"/>
      <c r="AO463" s="8" t="b">
        <v>1</v>
      </c>
      <c r="AP463" s="8"/>
    </row>
    <row r="464">
      <c r="A464" s="11" t="s">
        <v>36</v>
      </c>
      <c r="B464" s="9">
        <v>45561.61980185185</v>
      </c>
      <c r="C464" s="10" t="s">
        <v>760</v>
      </c>
      <c r="D464" s="11" t="s">
        <v>51</v>
      </c>
      <c r="E464" s="11" t="s">
        <v>52</v>
      </c>
      <c r="F464" s="11" t="s">
        <v>80</v>
      </c>
      <c r="G464" s="11" t="s">
        <v>131</v>
      </c>
      <c r="H464" s="11" t="s">
        <v>833</v>
      </c>
      <c r="I464" s="11" t="s">
        <v>1316</v>
      </c>
      <c r="J464" s="11" t="s">
        <v>1046</v>
      </c>
      <c r="K464" s="12"/>
      <c r="L464" s="24" t="s">
        <v>1317</v>
      </c>
      <c r="M464" s="11" t="s">
        <v>71</v>
      </c>
      <c r="N464" s="11" t="s">
        <v>96</v>
      </c>
      <c r="O464" s="11" t="s">
        <v>764</v>
      </c>
      <c r="P464" s="14"/>
      <c r="Q464" s="14"/>
      <c r="R464" s="14"/>
      <c r="S464" s="14"/>
      <c r="T464" s="14"/>
      <c r="U464" s="14"/>
      <c r="V464" s="14"/>
      <c r="W464" s="14"/>
      <c r="X464" s="14"/>
      <c r="Y464" s="14"/>
      <c r="Z464" s="14"/>
      <c r="AA464" s="14"/>
      <c r="AB464" s="14"/>
      <c r="AC464" s="14"/>
      <c r="AD464" s="12"/>
      <c r="AE464" s="12"/>
      <c r="AF464" s="12"/>
      <c r="AG464" s="78">
        <v>45562.0</v>
      </c>
      <c r="AH464" s="12"/>
      <c r="AI464" s="12"/>
      <c r="AJ464" s="12"/>
      <c r="AK464" s="11" t="s">
        <v>1271</v>
      </c>
      <c r="AL464" s="12"/>
      <c r="AM464" s="12"/>
      <c r="AN464" s="11"/>
      <c r="AO464" s="8" t="b">
        <v>1</v>
      </c>
      <c r="AP464" s="8"/>
    </row>
    <row r="465">
      <c r="A465" s="11" t="s">
        <v>36</v>
      </c>
      <c r="B465" s="9">
        <v>45561.628844039355</v>
      </c>
      <c r="C465" s="10" t="s">
        <v>1318</v>
      </c>
      <c r="D465" s="11" t="s">
        <v>142</v>
      </c>
      <c r="E465" s="11" t="s">
        <v>52</v>
      </c>
      <c r="F465" s="11" t="s">
        <v>65</v>
      </c>
      <c r="G465" s="11" t="s">
        <v>54</v>
      </c>
      <c r="H465" s="11" t="s">
        <v>625</v>
      </c>
      <c r="I465" s="77">
        <v>2500.0</v>
      </c>
      <c r="J465" s="11" t="s">
        <v>128</v>
      </c>
      <c r="K465" s="12"/>
      <c r="L465" s="24" t="s">
        <v>1319</v>
      </c>
      <c r="M465" s="11" t="s">
        <v>71</v>
      </c>
      <c r="N465" s="11" t="s">
        <v>96</v>
      </c>
      <c r="O465" s="11" t="s">
        <v>1320</v>
      </c>
      <c r="P465" s="14"/>
      <c r="Q465" s="14"/>
      <c r="R465" s="14"/>
      <c r="S465" s="14"/>
      <c r="T465" s="14"/>
      <c r="U465" s="14"/>
      <c r="V465" s="14"/>
      <c r="W465" s="14"/>
      <c r="X465" s="14"/>
      <c r="Y465" s="14"/>
      <c r="Z465" s="14"/>
      <c r="AA465" s="14"/>
      <c r="AB465" s="14"/>
      <c r="AC465" s="14"/>
      <c r="AD465" s="12"/>
      <c r="AE465" s="12"/>
      <c r="AF465" s="12"/>
      <c r="AG465" s="78">
        <v>45562.0</v>
      </c>
      <c r="AH465" s="12"/>
      <c r="AI465" s="12"/>
      <c r="AJ465" s="12"/>
      <c r="AK465" s="11" t="s">
        <v>435</v>
      </c>
      <c r="AL465" s="12"/>
      <c r="AM465" s="12"/>
      <c r="AN465" s="11"/>
      <c r="AO465" s="8" t="b">
        <v>1</v>
      </c>
      <c r="AP465" s="8"/>
    </row>
    <row r="466">
      <c r="A466" s="11" t="s">
        <v>36</v>
      </c>
      <c r="B466" s="9">
        <v>45562.42991219908</v>
      </c>
      <c r="C466" s="10" t="s">
        <v>37</v>
      </c>
      <c r="D466" s="11" t="s">
        <v>51</v>
      </c>
      <c r="E466" s="11" t="s">
        <v>52</v>
      </c>
      <c r="F466" s="11" t="s">
        <v>65</v>
      </c>
      <c r="G466" s="11" t="s">
        <v>41</v>
      </c>
      <c r="H466" s="11" t="s">
        <v>466</v>
      </c>
      <c r="I466" s="71">
        <v>2000.0</v>
      </c>
      <c r="J466" s="11" t="s">
        <v>62</v>
      </c>
      <c r="K466" s="12"/>
      <c r="L466" s="12"/>
      <c r="M466" s="11" t="s">
        <v>71</v>
      </c>
      <c r="N466" s="11" t="s">
        <v>68</v>
      </c>
      <c r="O466" s="11" t="s">
        <v>1321</v>
      </c>
      <c r="P466" s="14"/>
      <c r="Q466" s="14"/>
      <c r="R466" s="14"/>
      <c r="S466" s="14"/>
      <c r="T466" s="14"/>
      <c r="U466" s="14"/>
      <c r="V466" s="14"/>
      <c r="W466" s="14"/>
      <c r="X466" s="14"/>
      <c r="Y466" s="14"/>
      <c r="Z466" s="14"/>
      <c r="AA466" s="14"/>
      <c r="AB466" s="14"/>
      <c r="AC466" s="14"/>
      <c r="AD466" s="12"/>
      <c r="AE466" s="12"/>
      <c r="AF466" s="12"/>
      <c r="AG466" s="78">
        <v>45568.0</v>
      </c>
      <c r="AH466" s="12"/>
      <c r="AI466" s="12"/>
      <c r="AJ466" s="12"/>
      <c r="AK466" s="11" t="s">
        <v>1315</v>
      </c>
      <c r="AL466" s="12"/>
      <c r="AM466" s="12"/>
      <c r="AN466" s="11"/>
      <c r="AO466" s="8" t="b">
        <v>1</v>
      </c>
      <c r="AP466" s="8"/>
    </row>
    <row r="467">
      <c r="A467" s="11" t="s">
        <v>36</v>
      </c>
      <c r="B467" s="9">
        <v>45562.52392821759</v>
      </c>
      <c r="C467" s="10" t="s">
        <v>1322</v>
      </c>
      <c r="D467" s="11" t="s">
        <v>800</v>
      </c>
      <c r="E467" s="11" t="s">
        <v>800</v>
      </c>
      <c r="F467" s="11" t="s">
        <v>800</v>
      </c>
      <c r="G467" s="11" t="s">
        <v>800</v>
      </c>
      <c r="H467" s="11" t="s">
        <v>1117</v>
      </c>
      <c r="I467" s="11" t="s">
        <v>1323</v>
      </c>
      <c r="J467" s="11" t="s">
        <v>967</v>
      </c>
      <c r="K467" s="12"/>
      <c r="L467" s="12"/>
      <c r="M467" s="11" t="s">
        <v>71</v>
      </c>
      <c r="N467" s="11" t="s">
        <v>96</v>
      </c>
      <c r="O467" s="11" t="s">
        <v>1324</v>
      </c>
      <c r="P467" s="14"/>
      <c r="Q467" s="14"/>
      <c r="R467" s="14"/>
      <c r="S467" s="14"/>
      <c r="T467" s="14"/>
      <c r="U467" s="14"/>
      <c r="V467" s="14"/>
      <c r="W467" s="14"/>
      <c r="X467" s="14"/>
      <c r="Y467" s="14"/>
      <c r="Z467" s="14"/>
      <c r="AA467" s="14"/>
      <c r="AB467" s="14"/>
      <c r="AC467" s="14"/>
      <c r="AD467" s="12"/>
      <c r="AE467" s="12"/>
      <c r="AF467" s="12"/>
      <c r="AG467" s="78">
        <v>45568.0</v>
      </c>
      <c r="AH467" s="12"/>
      <c r="AI467" s="12"/>
      <c r="AJ467" s="12"/>
      <c r="AK467" s="11" t="s">
        <v>1315</v>
      </c>
      <c r="AL467" s="12"/>
      <c r="AM467" s="12"/>
      <c r="AN467" s="11"/>
      <c r="AO467" s="140"/>
      <c r="AP467" s="140"/>
    </row>
    <row r="468">
      <c r="A468" s="11" t="s">
        <v>36</v>
      </c>
      <c r="B468" s="9">
        <v>45565.525315023144</v>
      </c>
      <c r="C468" s="10" t="s">
        <v>240</v>
      </c>
      <c r="D468" s="11" t="s">
        <v>142</v>
      </c>
      <c r="E468" s="11" t="s">
        <v>149</v>
      </c>
      <c r="F468" s="11" t="s">
        <v>139</v>
      </c>
      <c r="G468" s="11" t="s">
        <v>54</v>
      </c>
      <c r="H468" s="11" t="s">
        <v>833</v>
      </c>
      <c r="I468" s="71">
        <v>100.0</v>
      </c>
      <c r="J468" s="11" t="s">
        <v>102</v>
      </c>
      <c r="K468" s="12"/>
      <c r="L468" s="24" t="s">
        <v>1325</v>
      </c>
      <c r="M468" s="11" t="s">
        <v>71</v>
      </c>
      <c r="N468" s="11" t="s">
        <v>96</v>
      </c>
      <c r="O468" s="11" t="s">
        <v>1151</v>
      </c>
      <c r="P468" s="14"/>
      <c r="Q468" s="14"/>
      <c r="R468" s="14"/>
      <c r="S468" s="14"/>
      <c r="T468" s="14"/>
      <c r="U468" s="14"/>
      <c r="V468" s="14"/>
      <c r="W468" s="14"/>
      <c r="X468" s="14"/>
      <c r="Y468" s="14"/>
      <c r="Z468" s="14"/>
      <c r="AA468" s="14"/>
      <c r="AB468" s="14"/>
      <c r="AC468" s="14"/>
      <c r="AD468" s="12"/>
      <c r="AE468" s="12"/>
      <c r="AF468" s="12"/>
      <c r="AG468" s="78">
        <v>45568.0</v>
      </c>
      <c r="AH468" s="12"/>
      <c r="AI468" s="12"/>
      <c r="AJ468" s="12"/>
      <c r="AK468" s="11" t="s">
        <v>1315</v>
      </c>
      <c r="AL468" s="12"/>
      <c r="AM468" s="12"/>
      <c r="AN468" s="11"/>
      <c r="AO468" s="140"/>
      <c r="AP468" s="140"/>
    </row>
    <row r="469">
      <c r="A469" s="11" t="s">
        <v>36</v>
      </c>
      <c r="B469" s="9">
        <v>45565.55908502315</v>
      </c>
      <c r="C469" s="10" t="s">
        <v>368</v>
      </c>
      <c r="D469" s="11" t="s">
        <v>142</v>
      </c>
      <c r="E469" s="11" t="s">
        <v>52</v>
      </c>
      <c r="F469" s="11" t="s">
        <v>40</v>
      </c>
      <c r="G469" s="11" t="s">
        <v>54</v>
      </c>
      <c r="H469" s="11" t="s">
        <v>833</v>
      </c>
      <c r="I469" s="11">
        <v>175.0</v>
      </c>
      <c r="J469" s="11" t="s">
        <v>102</v>
      </c>
      <c r="K469" s="12"/>
      <c r="L469" s="24" t="s">
        <v>1326</v>
      </c>
      <c r="M469" s="11" t="s">
        <v>71</v>
      </c>
      <c r="N469" s="11" t="s">
        <v>96</v>
      </c>
      <c r="O469" s="11" t="s">
        <v>1327</v>
      </c>
      <c r="P469" s="14"/>
      <c r="Q469" s="14"/>
      <c r="R469" s="14"/>
      <c r="S469" s="14"/>
      <c r="T469" s="14"/>
      <c r="U469" s="14"/>
      <c r="V469" s="14"/>
      <c r="W469" s="14"/>
      <c r="X469" s="14"/>
      <c r="Y469" s="14"/>
      <c r="Z469" s="14"/>
      <c r="AA469" s="14"/>
      <c r="AB469" s="14"/>
      <c r="AC469" s="14"/>
      <c r="AD469" s="12"/>
      <c r="AE469" s="12"/>
      <c r="AF469" s="12"/>
      <c r="AG469" s="78">
        <v>45568.0</v>
      </c>
      <c r="AH469" s="12"/>
      <c r="AI469" s="12"/>
      <c r="AJ469" s="12"/>
      <c r="AK469" s="11" t="s">
        <v>1315</v>
      </c>
      <c r="AL469" s="12"/>
      <c r="AM469" s="12"/>
      <c r="AN469" s="11"/>
      <c r="AO469" s="140"/>
      <c r="AP469" s="140"/>
    </row>
    <row r="470">
      <c r="A470" s="11" t="s">
        <v>36</v>
      </c>
      <c r="B470" s="9">
        <v>45566.65703590278</v>
      </c>
      <c r="C470" s="10" t="s">
        <v>1060</v>
      </c>
      <c r="D470" s="11" t="s">
        <v>109</v>
      </c>
      <c r="E470" s="11" t="s">
        <v>52</v>
      </c>
      <c r="F470" s="11" t="s">
        <v>65</v>
      </c>
      <c r="G470" s="11" t="s">
        <v>54</v>
      </c>
      <c r="H470" s="11" t="s">
        <v>833</v>
      </c>
      <c r="I470" s="71">
        <v>695.0</v>
      </c>
      <c r="J470" s="11" t="s">
        <v>383</v>
      </c>
      <c r="K470" s="12"/>
      <c r="L470" s="24" t="s">
        <v>1328</v>
      </c>
      <c r="M470" s="11" t="s">
        <v>71</v>
      </c>
      <c r="N470" s="11" t="s">
        <v>96</v>
      </c>
      <c r="O470" s="11" t="s">
        <v>1212</v>
      </c>
      <c r="P470" s="14"/>
      <c r="Q470" s="14"/>
      <c r="R470" s="14"/>
      <c r="S470" s="14"/>
      <c r="T470" s="14"/>
      <c r="U470" s="14"/>
      <c r="V470" s="14"/>
      <c r="W470" s="14"/>
      <c r="X470" s="14"/>
      <c r="Y470" s="14"/>
      <c r="Z470" s="14"/>
      <c r="AA470" s="14"/>
      <c r="AB470" s="14"/>
      <c r="AC470" s="14"/>
      <c r="AD470" s="12"/>
      <c r="AE470" s="12"/>
      <c r="AF470" s="12"/>
      <c r="AG470" s="78">
        <v>45568.0</v>
      </c>
      <c r="AH470" s="12"/>
      <c r="AI470" s="12"/>
      <c r="AJ470" s="12"/>
      <c r="AK470" s="11" t="s">
        <v>1315</v>
      </c>
      <c r="AL470" s="12"/>
      <c r="AM470" s="12"/>
      <c r="AN470" s="11"/>
      <c r="AO470" s="140"/>
      <c r="AP470" s="140"/>
    </row>
    <row r="471">
      <c r="A471" s="11" t="s">
        <v>36</v>
      </c>
      <c r="B471" s="9">
        <v>45568.42908078704</v>
      </c>
      <c r="C471" s="10" t="s">
        <v>94</v>
      </c>
      <c r="D471" s="11" t="s">
        <v>51</v>
      </c>
      <c r="E471" s="11" t="s">
        <v>52</v>
      </c>
      <c r="F471" s="11" t="s">
        <v>65</v>
      </c>
      <c r="G471" s="11" t="s">
        <v>54</v>
      </c>
      <c r="H471" s="11" t="s">
        <v>625</v>
      </c>
      <c r="I471" s="11" t="s">
        <v>1329</v>
      </c>
      <c r="J471" s="11" t="s">
        <v>433</v>
      </c>
      <c r="K471" s="12"/>
      <c r="L471" s="11" t="s">
        <v>1330</v>
      </c>
      <c r="M471" s="11" t="s">
        <v>71</v>
      </c>
      <c r="N471" s="11" t="s">
        <v>96</v>
      </c>
      <c r="O471" s="11" t="s">
        <v>1331</v>
      </c>
      <c r="P471" s="14"/>
      <c r="Q471" s="14"/>
      <c r="R471" s="14"/>
      <c r="S471" s="14"/>
      <c r="T471" s="14"/>
      <c r="U471" s="14"/>
      <c r="V471" s="14"/>
      <c r="W471" s="14"/>
      <c r="X471" s="14"/>
      <c r="Y471" s="14"/>
      <c r="Z471" s="14"/>
      <c r="AA471" s="14"/>
      <c r="AB471" s="14"/>
      <c r="AC471" s="14"/>
      <c r="AD471" s="12"/>
      <c r="AE471" s="12"/>
      <c r="AF471" s="12"/>
      <c r="AG471" s="78">
        <v>45568.0</v>
      </c>
      <c r="AH471" s="12"/>
      <c r="AI471" s="12"/>
      <c r="AJ471" s="12"/>
      <c r="AK471" s="11" t="s">
        <v>1315</v>
      </c>
      <c r="AL471" s="12"/>
      <c r="AM471" s="12"/>
      <c r="AN471" s="11"/>
      <c r="AO471" s="140"/>
      <c r="AP471" s="140"/>
    </row>
    <row r="472">
      <c r="A472" s="11" t="s">
        <v>36</v>
      </c>
      <c r="B472" s="9">
        <v>45568.59000972222</v>
      </c>
      <c r="C472" s="10" t="s">
        <v>366</v>
      </c>
      <c r="D472" s="11" t="s">
        <v>142</v>
      </c>
      <c r="E472" s="11" t="s">
        <v>52</v>
      </c>
      <c r="F472" s="11" t="s">
        <v>65</v>
      </c>
      <c r="G472" s="11" t="s">
        <v>54</v>
      </c>
      <c r="H472" s="11" t="s">
        <v>439</v>
      </c>
      <c r="I472" s="11" t="s">
        <v>1332</v>
      </c>
      <c r="J472" s="11" t="s">
        <v>102</v>
      </c>
      <c r="K472" s="12"/>
      <c r="L472" s="24" t="s">
        <v>1333</v>
      </c>
      <c r="M472" s="11" t="s">
        <v>71</v>
      </c>
      <c r="N472" s="11" t="s">
        <v>96</v>
      </c>
      <c r="O472" s="11" t="s">
        <v>1334</v>
      </c>
      <c r="P472" s="14"/>
      <c r="Q472" s="14"/>
      <c r="R472" s="14"/>
      <c r="S472" s="14"/>
      <c r="T472" s="14"/>
      <c r="U472" s="14"/>
      <c r="V472" s="14"/>
      <c r="W472" s="14"/>
      <c r="X472" s="14"/>
      <c r="Y472" s="14"/>
      <c r="Z472" s="14"/>
      <c r="AA472" s="14"/>
      <c r="AB472" s="14"/>
      <c r="AC472" s="14"/>
      <c r="AD472" s="12"/>
      <c r="AE472" s="12"/>
      <c r="AF472" s="12"/>
      <c r="AG472" s="78">
        <v>45572.0</v>
      </c>
      <c r="AH472" s="12"/>
      <c r="AI472" s="12"/>
      <c r="AJ472" s="12"/>
      <c r="AK472" s="11" t="s">
        <v>1315</v>
      </c>
      <c r="AL472" s="12"/>
      <c r="AM472" s="12"/>
      <c r="AN472" s="11"/>
      <c r="AO472" s="140"/>
      <c r="AP472" s="140"/>
    </row>
    <row r="473">
      <c r="A473" s="11" t="s">
        <v>36</v>
      </c>
      <c r="B473" s="9">
        <v>45568.648325104165</v>
      </c>
      <c r="C473" s="10" t="s">
        <v>94</v>
      </c>
      <c r="D473" s="11" t="s">
        <v>51</v>
      </c>
      <c r="E473" s="11" t="s">
        <v>52</v>
      </c>
      <c r="F473" s="11" t="s">
        <v>65</v>
      </c>
      <c r="G473" s="11" t="s">
        <v>54</v>
      </c>
      <c r="H473" s="11" t="s">
        <v>42</v>
      </c>
      <c r="I473" s="71">
        <v>2000.0</v>
      </c>
      <c r="J473" s="11" t="s">
        <v>433</v>
      </c>
      <c r="K473" s="12"/>
      <c r="L473" s="12"/>
      <c r="M473" s="11" t="s">
        <v>71</v>
      </c>
      <c r="N473" s="11" t="s">
        <v>96</v>
      </c>
      <c r="O473" s="11" t="s">
        <v>1335</v>
      </c>
      <c r="P473" s="14"/>
      <c r="Q473" s="14"/>
      <c r="R473" s="14"/>
      <c r="S473" s="14"/>
      <c r="T473" s="14"/>
      <c r="U473" s="14"/>
      <c r="V473" s="14"/>
      <c r="W473" s="14"/>
      <c r="X473" s="14"/>
      <c r="Y473" s="14"/>
      <c r="Z473" s="14"/>
      <c r="AA473" s="14"/>
      <c r="AB473" s="14"/>
      <c r="AC473" s="14"/>
      <c r="AD473" s="12"/>
      <c r="AE473" s="12"/>
      <c r="AF473" s="12"/>
      <c r="AG473" s="78">
        <v>45572.0</v>
      </c>
      <c r="AH473" s="12"/>
      <c r="AI473" s="12"/>
      <c r="AJ473" s="12"/>
      <c r="AK473" s="11" t="s">
        <v>1315</v>
      </c>
      <c r="AL473" s="12"/>
      <c r="AM473" s="12"/>
      <c r="AN473" s="11"/>
      <c r="AO473" s="140"/>
      <c r="AP473" s="140"/>
    </row>
    <row r="474">
      <c r="A474" s="166" t="s">
        <v>1037</v>
      </c>
      <c r="B474" s="167">
        <v>45568.70067438658</v>
      </c>
      <c r="C474" s="168" t="s">
        <v>487</v>
      </c>
      <c r="D474" s="166" t="s">
        <v>142</v>
      </c>
      <c r="E474" s="166" t="s">
        <v>52</v>
      </c>
      <c r="F474" s="166" t="s">
        <v>65</v>
      </c>
      <c r="G474" s="166" t="s">
        <v>54</v>
      </c>
      <c r="H474" s="166" t="s">
        <v>679</v>
      </c>
      <c r="I474" s="166" t="s">
        <v>1336</v>
      </c>
      <c r="J474" s="166" t="s">
        <v>189</v>
      </c>
      <c r="K474" s="169"/>
      <c r="L474" s="170" t="s">
        <v>1337</v>
      </c>
      <c r="M474" s="166" t="s">
        <v>71</v>
      </c>
      <c r="N474" s="166" t="s">
        <v>96</v>
      </c>
      <c r="O474" s="166" t="s">
        <v>1276</v>
      </c>
      <c r="P474" s="171"/>
      <c r="Q474" s="171"/>
      <c r="R474" s="171"/>
      <c r="S474" s="171"/>
      <c r="T474" s="171"/>
      <c r="U474" s="171"/>
      <c r="V474" s="171"/>
      <c r="W474" s="171"/>
      <c r="X474" s="171"/>
      <c r="Y474" s="171"/>
      <c r="Z474" s="171"/>
      <c r="AA474" s="171"/>
      <c r="AB474" s="171"/>
      <c r="AC474" s="171"/>
      <c r="AD474" s="169"/>
      <c r="AE474" s="169"/>
      <c r="AF474" s="169"/>
      <c r="AG474" s="169"/>
      <c r="AH474" s="166" t="s">
        <v>1338</v>
      </c>
      <c r="AI474" s="169"/>
      <c r="AJ474" s="169"/>
      <c r="AK474" s="166" t="s">
        <v>1339</v>
      </c>
      <c r="AL474" s="169"/>
      <c r="AM474" s="169"/>
      <c r="AN474" s="166"/>
      <c r="AO474" s="172"/>
      <c r="AP474" s="15"/>
    </row>
    <row r="475">
      <c r="A475" s="11" t="s">
        <v>36</v>
      </c>
      <c r="B475" s="9">
        <v>45569.53466805555</v>
      </c>
      <c r="C475" s="10" t="s">
        <v>94</v>
      </c>
      <c r="D475" s="11" t="s">
        <v>51</v>
      </c>
      <c r="E475" s="11" t="s">
        <v>52</v>
      </c>
      <c r="F475" s="11" t="s">
        <v>65</v>
      </c>
      <c r="G475" s="11" t="s">
        <v>54</v>
      </c>
      <c r="H475" s="11" t="s">
        <v>1340</v>
      </c>
      <c r="I475" s="71">
        <v>2000.0</v>
      </c>
      <c r="J475" s="11" t="s">
        <v>433</v>
      </c>
      <c r="K475" s="12"/>
      <c r="L475" s="12"/>
      <c r="M475" s="11" t="s">
        <v>71</v>
      </c>
      <c r="N475" s="11" t="s">
        <v>96</v>
      </c>
      <c r="O475" s="11" t="s">
        <v>1341</v>
      </c>
      <c r="P475" s="14"/>
      <c r="Q475" s="14"/>
      <c r="R475" s="14"/>
      <c r="S475" s="14"/>
      <c r="T475" s="14"/>
      <c r="U475" s="14"/>
      <c r="V475" s="14"/>
      <c r="W475" s="14"/>
      <c r="X475" s="14"/>
      <c r="Y475" s="14"/>
      <c r="Z475" s="14"/>
      <c r="AA475" s="14"/>
      <c r="AB475" s="14"/>
      <c r="AC475" s="14"/>
      <c r="AD475" s="12"/>
      <c r="AE475" s="12"/>
      <c r="AF475" s="12"/>
      <c r="AG475" s="78">
        <v>45572.0</v>
      </c>
      <c r="AH475" s="12"/>
      <c r="AI475" s="12"/>
      <c r="AJ475" s="12"/>
      <c r="AK475" s="11" t="s">
        <v>1315</v>
      </c>
      <c r="AL475" s="12"/>
      <c r="AM475" s="12"/>
      <c r="AN475" s="11"/>
      <c r="AO475" s="140"/>
      <c r="AP475" s="140"/>
    </row>
    <row r="476">
      <c r="A476" s="11" t="s">
        <v>36</v>
      </c>
      <c r="B476" s="9">
        <v>45572.40367804398</v>
      </c>
      <c r="C476" s="10" t="s">
        <v>574</v>
      </c>
      <c r="D476" s="11" t="s">
        <v>142</v>
      </c>
      <c r="E476" s="11" t="s">
        <v>52</v>
      </c>
      <c r="F476" s="11" t="s">
        <v>65</v>
      </c>
      <c r="G476" s="11" t="s">
        <v>54</v>
      </c>
      <c r="H476" s="11" t="s">
        <v>625</v>
      </c>
      <c r="I476" s="71">
        <v>2995.0</v>
      </c>
      <c r="J476" s="11" t="s">
        <v>86</v>
      </c>
      <c r="K476" s="12"/>
      <c r="L476" s="24" t="s">
        <v>1342</v>
      </c>
      <c r="M476" s="11" t="s">
        <v>71</v>
      </c>
      <c r="N476" s="11" t="s">
        <v>96</v>
      </c>
      <c r="O476" s="11" t="s">
        <v>1343</v>
      </c>
      <c r="P476" s="14"/>
      <c r="Q476" s="14"/>
      <c r="R476" s="14"/>
      <c r="S476" s="14"/>
      <c r="T476" s="14"/>
      <c r="U476" s="14"/>
      <c r="V476" s="14"/>
      <c r="W476" s="14"/>
      <c r="X476" s="14"/>
      <c r="Y476" s="14"/>
      <c r="Z476" s="14"/>
      <c r="AA476" s="14"/>
      <c r="AB476" s="14"/>
      <c r="AC476" s="14"/>
      <c r="AD476" s="12"/>
      <c r="AE476" s="12"/>
      <c r="AF476" s="12"/>
      <c r="AG476" s="78">
        <v>45579.0</v>
      </c>
      <c r="AH476" s="12"/>
      <c r="AI476" s="12"/>
      <c r="AJ476" s="12"/>
      <c r="AK476" s="11" t="s">
        <v>1315</v>
      </c>
      <c r="AL476" s="12"/>
      <c r="AM476" s="12"/>
      <c r="AN476" s="11"/>
      <c r="AO476" s="140"/>
      <c r="AP476" s="140"/>
    </row>
    <row r="477">
      <c r="A477" s="75" t="s">
        <v>177</v>
      </c>
      <c r="B477" s="73">
        <v>45572.52041858796</v>
      </c>
      <c r="C477" s="74" t="s">
        <v>366</v>
      </c>
      <c r="D477" s="75" t="s">
        <v>142</v>
      </c>
      <c r="E477" s="75" t="s">
        <v>52</v>
      </c>
      <c r="F477" s="75" t="s">
        <v>65</v>
      </c>
      <c r="G477" s="75" t="s">
        <v>54</v>
      </c>
      <c r="H477" s="75" t="s">
        <v>42</v>
      </c>
      <c r="I477" s="121">
        <v>110.0</v>
      </c>
      <c r="J477" s="75" t="s">
        <v>102</v>
      </c>
      <c r="K477" s="114"/>
      <c r="L477" s="114"/>
      <c r="M477" s="75" t="s">
        <v>71</v>
      </c>
      <c r="N477" s="75" t="s">
        <v>96</v>
      </c>
      <c r="O477" s="75" t="s">
        <v>1201</v>
      </c>
      <c r="P477" s="129"/>
      <c r="Q477" s="129"/>
      <c r="R477" s="129"/>
      <c r="S477" s="129"/>
      <c r="T477" s="129"/>
      <c r="U477" s="129"/>
      <c r="V477" s="129"/>
      <c r="W477" s="129"/>
      <c r="X477" s="129"/>
      <c r="Y477" s="129"/>
      <c r="Z477" s="129"/>
      <c r="AA477" s="129"/>
      <c r="AB477" s="129"/>
      <c r="AC477" s="129"/>
      <c r="AD477" s="114"/>
      <c r="AE477" s="114"/>
      <c r="AF477" s="114"/>
      <c r="AG477" s="114"/>
      <c r="AH477" s="114"/>
      <c r="AI477" s="114"/>
      <c r="AJ477" s="114"/>
      <c r="AK477" s="75" t="s">
        <v>1344</v>
      </c>
      <c r="AL477" s="114"/>
      <c r="AM477" s="114"/>
      <c r="AN477" s="75"/>
      <c r="AO477" s="141"/>
      <c r="AP477" s="141"/>
    </row>
    <row r="478">
      <c r="A478" s="11" t="s">
        <v>36</v>
      </c>
      <c r="B478" s="9">
        <v>45572.622214849536</v>
      </c>
      <c r="C478" s="10" t="s">
        <v>1345</v>
      </c>
      <c r="D478" s="11" t="s">
        <v>51</v>
      </c>
      <c r="E478" s="11" t="s">
        <v>52</v>
      </c>
      <c r="F478" s="11" t="s">
        <v>80</v>
      </c>
      <c r="G478" s="11" t="s">
        <v>131</v>
      </c>
      <c r="H478" s="11" t="s">
        <v>625</v>
      </c>
      <c r="I478" s="71">
        <v>90.0</v>
      </c>
      <c r="J478" s="11" t="s">
        <v>538</v>
      </c>
      <c r="K478" s="150" t="s">
        <v>1346</v>
      </c>
      <c r="L478" s="11" t="s">
        <v>1347</v>
      </c>
      <c r="M478" s="11" t="s">
        <v>71</v>
      </c>
      <c r="N478" s="11" t="s">
        <v>96</v>
      </c>
      <c r="O478" s="11" t="s">
        <v>1348</v>
      </c>
      <c r="P478" s="14"/>
      <c r="Q478" s="14"/>
      <c r="R478" s="14"/>
      <c r="S478" s="14"/>
      <c r="T478" s="14"/>
      <c r="U478" s="14"/>
      <c r="V478" s="14"/>
      <c r="W478" s="14"/>
      <c r="X478" s="14"/>
      <c r="Y478" s="14"/>
      <c r="Z478" s="14"/>
      <c r="AA478" s="14"/>
      <c r="AB478" s="14"/>
      <c r="AC478" s="14"/>
      <c r="AD478" s="12"/>
      <c r="AE478" s="12"/>
      <c r="AF478" s="12"/>
      <c r="AG478" s="78">
        <v>45576.0</v>
      </c>
      <c r="AH478" s="12"/>
      <c r="AI478" s="12"/>
      <c r="AJ478" s="12"/>
      <c r="AK478" s="11" t="s">
        <v>1349</v>
      </c>
      <c r="AL478" s="12"/>
      <c r="AM478" s="12"/>
      <c r="AN478" s="11"/>
      <c r="AO478" s="140"/>
      <c r="AP478" s="140"/>
    </row>
    <row r="479">
      <c r="A479" s="11" t="s">
        <v>36</v>
      </c>
      <c r="B479" s="9">
        <v>45572.652925532406</v>
      </c>
      <c r="C479" s="10" t="s">
        <v>780</v>
      </c>
      <c r="D479" s="11" t="s">
        <v>202</v>
      </c>
      <c r="E479" s="11" t="s">
        <v>52</v>
      </c>
      <c r="F479" s="11" t="s">
        <v>65</v>
      </c>
      <c r="G479" s="11" t="s">
        <v>54</v>
      </c>
      <c r="H479" s="11" t="s">
        <v>625</v>
      </c>
      <c r="I479" s="11" t="s">
        <v>1350</v>
      </c>
      <c r="J479" s="11" t="s">
        <v>82</v>
      </c>
      <c r="K479" s="12"/>
      <c r="L479" s="11" t="s">
        <v>1351</v>
      </c>
      <c r="M479" s="11" t="s">
        <v>71</v>
      </c>
      <c r="N479" s="11" t="s">
        <v>96</v>
      </c>
      <c r="O479" s="11" t="s">
        <v>847</v>
      </c>
      <c r="P479" s="14"/>
      <c r="Q479" s="14"/>
      <c r="R479" s="14"/>
      <c r="S479" s="14"/>
      <c r="T479" s="14"/>
      <c r="U479" s="14"/>
      <c r="V479" s="14"/>
      <c r="W479" s="14"/>
      <c r="X479" s="14"/>
      <c r="Y479" s="14"/>
      <c r="Z479" s="14"/>
      <c r="AA479" s="14"/>
      <c r="AB479" s="14"/>
      <c r="AC479" s="14"/>
      <c r="AD479" s="12"/>
      <c r="AE479" s="12"/>
      <c r="AF479" s="12"/>
      <c r="AG479" s="78">
        <v>45576.0</v>
      </c>
      <c r="AH479" s="12"/>
      <c r="AI479" s="12"/>
      <c r="AJ479" s="12"/>
      <c r="AK479" s="11" t="s">
        <v>1352</v>
      </c>
      <c r="AL479" s="12"/>
      <c r="AM479" s="12"/>
      <c r="AN479" s="11"/>
      <c r="AO479" s="140"/>
      <c r="AP479" s="140"/>
    </row>
    <row r="480">
      <c r="A480" s="124" t="s">
        <v>535</v>
      </c>
      <c r="B480" s="125">
        <v>45574.51710483796</v>
      </c>
      <c r="C480" s="126" t="s">
        <v>760</v>
      </c>
      <c r="D480" s="124" t="s">
        <v>51</v>
      </c>
      <c r="E480" s="124" t="s">
        <v>52</v>
      </c>
      <c r="F480" s="124" t="s">
        <v>80</v>
      </c>
      <c r="G480" s="124" t="s">
        <v>131</v>
      </c>
      <c r="H480" s="124" t="s">
        <v>625</v>
      </c>
      <c r="I480" s="124" t="s">
        <v>1353</v>
      </c>
      <c r="J480" s="124" t="s">
        <v>1354</v>
      </c>
      <c r="K480" s="132"/>
      <c r="L480" s="146" t="s">
        <v>1355</v>
      </c>
      <c r="M480" s="124" t="s">
        <v>71</v>
      </c>
      <c r="N480" s="124" t="s">
        <v>96</v>
      </c>
      <c r="O480" s="124" t="s">
        <v>764</v>
      </c>
      <c r="P480" s="133"/>
      <c r="Q480" s="133"/>
      <c r="R480" s="133"/>
      <c r="S480" s="133"/>
      <c r="T480" s="133"/>
      <c r="U480" s="133"/>
      <c r="V480" s="133"/>
      <c r="W480" s="133"/>
      <c r="X480" s="133"/>
      <c r="Y480" s="133"/>
      <c r="Z480" s="133"/>
      <c r="AA480" s="133"/>
      <c r="AB480" s="133"/>
      <c r="AC480" s="133"/>
      <c r="AD480" s="132"/>
      <c r="AE480" s="132"/>
      <c r="AF480" s="132"/>
      <c r="AG480" s="132"/>
      <c r="AH480" s="124" t="s">
        <v>1356</v>
      </c>
      <c r="AI480" s="132"/>
      <c r="AJ480" s="132"/>
      <c r="AK480" s="124" t="s">
        <v>1357</v>
      </c>
      <c r="AL480" s="132"/>
      <c r="AM480" s="132"/>
      <c r="AN480" s="124"/>
      <c r="AO480" s="142"/>
      <c r="AP480" s="142"/>
    </row>
    <row r="481">
      <c r="A481" s="11" t="s">
        <v>36</v>
      </c>
      <c r="B481" s="9">
        <v>45574.5724108912</v>
      </c>
      <c r="C481" s="10" t="s">
        <v>938</v>
      </c>
      <c r="D481" s="11" t="s">
        <v>51</v>
      </c>
      <c r="E481" s="11" t="s">
        <v>52</v>
      </c>
      <c r="F481" s="11" t="s">
        <v>65</v>
      </c>
      <c r="G481" s="11" t="s">
        <v>54</v>
      </c>
      <c r="H481" s="11" t="s">
        <v>625</v>
      </c>
      <c r="I481" s="71">
        <v>2995.0</v>
      </c>
      <c r="J481" s="11" t="s">
        <v>86</v>
      </c>
      <c r="K481" s="28" t="s">
        <v>1358</v>
      </c>
      <c r="L481" s="11" t="s">
        <v>1359</v>
      </c>
      <c r="M481" s="11" t="s">
        <v>71</v>
      </c>
      <c r="N481" s="11" t="s">
        <v>68</v>
      </c>
      <c r="O481" s="11" t="s">
        <v>941</v>
      </c>
      <c r="P481" s="14"/>
      <c r="Q481" s="14"/>
      <c r="R481" s="14"/>
      <c r="S481" s="14"/>
      <c r="T481" s="14"/>
      <c r="U481" s="14"/>
      <c r="V481" s="14"/>
      <c r="W481" s="14"/>
      <c r="X481" s="14"/>
      <c r="Y481" s="14"/>
      <c r="Z481" s="14"/>
      <c r="AA481" s="14"/>
      <c r="AB481" s="14"/>
      <c r="AC481" s="14"/>
      <c r="AD481" s="12"/>
      <c r="AE481" s="12"/>
      <c r="AF481" s="12"/>
      <c r="AG481" s="78">
        <v>45579.0</v>
      </c>
      <c r="AH481" s="12"/>
      <c r="AI481" s="12"/>
      <c r="AJ481" s="12"/>
      <c r="AK481" s="11" t="s">
        <v>1360</v>
      </c>
      <c r="AL481" s="12"/>
      <c r="AM481" s="12"/>
      <c r="AN481" s="11"/>
      <c r="AO481" s="140"/>
      <c r="AP481" s="140"/>
    </row>
    <row r="482">
      <c r="A482" s="124" t="s">
        <v>1037</v>
      </c>
      <c r="B482" s="125">
        <v>45574.628505925924</v>
      </c>
      <c r="C482" s="126" t="s">
        <v>201</v>
      </c>
      <c r="D482" s="124" t="s">
        <v>202</v>
      </c>
      <c r="E482" s="124" t="s">
        <v>52</v>
      </c>
      <c r="F482" s="124" t="s">
        <v>65</v>
      </c>
      <c r="G482" s="124" t="s">
        <v>60</v>
      </c>
      <c r="H482" s="124" t="s">
        <v>833</v>
      </c>
      <c r="I482" s="124">
        <v>150.0</v>
      </c>
      <c r="J482" s="124" t="s">
        <v>102</v>
      </c>
      <c r="K482" s="146" t="s">
        <v>1361</v>
      </c>
      <c r="L482" s="124" t="s">
        <v>1362</v>
      </c>
      <c r="M482" s="124" t="s">
        <v>71</v>
      </c>
      <c r="N482" s="124" t="s">
        <v>96</v>
      </c>
      <c r="O482" s="124" t="s">
        <v>1265</v>
      </c>
      <c r="P482" s="133"/>
      <c r="Q482" s="133"/>
      <c r="R482" s="133"/>
      <c r="S482" s="133"/>
      <c r="T482" s="133"/>
      <c r="U482" s="133"/>
      <c r="V482" s="133"/>
      <c r="W482" s="133"/>
      <c r="X482" s="133"/>
      <c r="Y482" s="133"/>
      <c r="Z482" s="133"/>
      <c r="AA482" s="133"/>
      <c r="AB482" s="133"/>
      <c r="AC482" s="133"/>
      <c r="AD482" s="132"/>
      <c r="AE482" s="132"/>
      <c r="AF482" s="132"/>
      <c r="AG482" s="161">
        <v>45576.0</v>
      </c>
      <c r="AH482" s="132"/>
      <c r="AI482" s="132"/>
      <c r="AJ482" s="132"/>
      <c r="AK482" s="124" t="s">
        <v>1363</v>
      </c>
      <c r="AL482" s="132"/>
      <c r="AM482" s="132"/>
      <c r="AN482" s="124"/>
      <c r="AO482" s="142"/>
      <c r="AP482" s="142"/>
    </row>
    <row r="483">
      <c r="A483" s="11" t="s">
        <v>36</v>
      </c>
      <c r="B483" s="9">
        <v>45574.69987762731</v>
      </c>
      <c r="C483" s="10" t="s">
        <v>427</v>
      </c>
      <c r="D483" s="11" t="s">
        <v>51</v>
      </c>
      <c r="E483" s="11" t="s">
        <v>52</v>
      </c>
      <c r="F483" s="11" t="s">
        <v>65</v>
      </c>
      <c r="G483" s="11" t="s">
        <v>131</v>
      </c>
      <c r="H483" s="11" t="s">
        <v>625</v>
      </c>
      <c r="I483" s="11">
        <v>85.0</v>
      </c>
      <c r="J483" s="11" t="s">
        <v>184</v>
      </c>
      <c r="K483" s="12"/>
      <c r="L483" s="11" t="s">
        <v>1364</v>
      </c>
      <c r="M483" s="11" t="s">
        <v>71</v>
      </c>
      <c r="N483" s="11" t="s">
        <v>96</v>
      </c>
      <c r="O483" s="11" t="s">
        <v>1365</v>
      </c>
      <c r="P483" s="14"/>
      <c r="Q483" s="14"/>
      <c r="R483" s="14"/>
      <c r="S483" s="14"/>
      <c r="T483" s="14"/>
      <c r="U483" s="14"/>
      <c r="V483" s="14"/>
      <c r="W483" s="14"/>
      <c r="X483" s="14"/>
      <c r="Y483" s="14"/>
      <c r="Z483" s="14"/>
      <c r="AA483" s="14"/>
      <c r="AB483" s="14"/>
      <c r="AC483" s="14"/>
      <c r="AD483" s="12"/>
      <c r="AE483" s="12"/>
      <c r="AF483" s="12"/>
      <c r="AG483" s="78">
        <v>45576.0</v>
      </c>
      <c r="AH483" s="12"/>
      <c r="AI483" s="12"/>
      <c r="AJ483" s="12"/>
      <c r="AK483" s="11" t="s">
        <v>1360</v>
      </c>
      <c r="AL483" s="12"/>
      <c r="AM483" s="12"/>
      <c r="AN483" s="11"/>
      <c r="AO483" s="140"/>
      <c r="AP483" s="140"/>
    </row>
    <row r="484">
      <c r="A484" s="11" t="s">
        <v>36</v>
      </c>
      <c r="B484" s="9">
        <v>45575.48977209491</v>
      </c>
      <c r="C484" s="10" t="s">
        <v>1366</v>
      </c>
      <c r="D484" s="11" t="s">
        <v>51</v>
      </c>
      <c r="E484" s="11" t="s">
        <v>52</v>
      </c>
      <c r="F484" s="11" t="s">
        <v>65</v>
      </c>
      <c r="G484" s="11" t="s">
        <v>54</v>
      </c>
      <c r="H484" s="11" t="s">
        <v>607</v>
      </c>
      <c r="I484" s="71">
        <v>960.0</v>
      </c>
      <c r="J484" s="11" t="s">
        <v>626</v>
      </c>
      <c r="K484" s="24" t="s">
        <v>1367</v>
      </c>
      <c r="L484" s="11" t="s">
        <v>1368</v>
      </c>
      <c r="M484" s="11" t="s">
        <v>71</v>
      </c>
      <c r="N484" s="11" t="s">
        <v>96</v>
      </c>
      <c r="O484" s="11" t="s">
        <v>1369</v>
      </c>
      <c r="P484" s="14"/>
      <c r="Q484" s="14"/>
      <c r="R484" s="14"/>
      <c r="S484" s="14"/>
      <c r="T484" s="14"/>
      <c r="U484" s="14"/>
      <c r="V484" s="14"/>
      <c r="W484" s="14"/>
      <c r="X484" s="14"/>
      <c r="Y484" s="14"/>
      <c r="Z484" s="14"/>
      <c r="AA484" s="14"/>
      <c r="AB484" s="14"/>
      <c r="AC484" s="14"/>
      <c r="AD484" s="12"/>
      <c r="AE484" s="12"/>
      <c r="AF484" s="12"/>
      <c r="AG484" s="78">
        <v>45579.0</v>
      </c>
      <c r="AH484" s="12"/>
      <c r="AI484" s="12"/>
      <c r="AJ484" s="12"/>
      <c r="AK484" s="11" t="s">
        <v>1360</v>
      </c>
      <c r="AL484" s="12"/>
      <c r="AM484" s="12"/>
      <c r="AN484" s="11"/>
      <c r="AO484" s="140"/>
      <c r="AP484" s="140"/>
    </row>
    <row r="485">
      <c r="A485" s="11" t="s">
        <v>36</v>
      </c>
      <c r="B485" s="9">
        <v>45576.506477800925</v>
      </c>
      <c r="C485" s="10" t="s">
        <v>636</v>
      </c>
      <c r="D485" s="11" t="s">
        <v>109</v>
      </c>
      <c r="E485" s="11" t="s">
        <v>52</v>
      </c>
      <c r="F485" s="11" t="s">
        <v>65</v>
      </c>
      <c r="G485" s="11" t="s">
        <v>54</v>
      </c>
      <c r="H485" s="11" t="s">
        <v>833</v>
      </c>
      <c r="I485" s="11" t="s">
        <v>1370</v>
      </c>
      <c r="J485" s="11" t="s">
        <v>226</v>
      </c>
      <c r="K485" s="28" t="s">
        <v>1371</v>
      </c>
      <c r="L485" s="11" t="s">
        <v>1372</v>
      </c>
      <c r="M485" s="11" t="s">
        <v>71</v>
      </c>
      <c r="N485" s="11" t="s">
        <v>96</v>
      </c>
      <c r="O485" s="11" t="s">
        <v>1373</v>
      </c>
      <c r="P485" s="14"/>
      <c r="Q485" s="14"/>
      <c r="R485" s="14"/>
      <c r="S485" s="14"/>
      <c r="T485" s="14"/>
      <c r="U485" s="14"/>
      <c r="V485" s="14"/>
      <c r="W485" s="14"/>
      <c r="X485" s="14"/>
      <c r="Y485" s="14"/>
      <c r="Z485" s="14"/>
      <c r="AA485" s="14"/>
      <c r="AB485" s="14"/>
      <c r="AC485" s="14"/>
      <c r="AD485" s="12"/>
      <c r="AE485" s="12"/>
      <c r="AF485" s="12"/>
      <c r="AG485" s="78">
        <v>45579.0</v>
      </c>
      <c r="AH485" s="12"/>
      <c r="AI485" s="12"/>
      <c r="AJ485" s="12"/>
      <c r="AK485" s="11" t="s">
        <v>1360</v>
      </c>
      <c r="AL485" s="12"/>
      <c r="AM485" s="12"/>
      <c r="AN485" s="11"/>
      <c r="AO485" s="140"/>
      <c r="AP485" s="140"/>
    </row>
    <row r="486">
      <c r="A486" s="11" t="s">
        <v>36</v>
      </c>
      <c r="B486" s="9">
        <v>45576.511649629625</v>
      </c>
      <c r="C486" s="10" t="s">
        <v>636</v>
      </c>
      <c r="D486" s="11" t="s">
        <v>109</v>
      </c>
      <c r="E486" s="11" t="s">
        <v>52</v>
      </c>
      <c r="F486" s="11" t="s">
        <v>65</v>
      </c>
      <c r="G486" s="11" t="s">
        <v>54</v>
      </c>
      <c r="H486" s="11" t="s">
        <v>833</v>
      </c>
      <c r="I486" s="77">
        <v>200.0</v>
      </c>
      <c r="J486" s="11" t="s">
        <v>226</v>
      </c>
      <c r="K486" s="24" t="s">
        <v>1374</v>
      </c>
      <c r="L486" s="11" t="s">
        <v>1375</v>
      </c>
      <c r="M486" s="11" t="s">
        <v>71</v>
      </c>
      <c r="N486" s="11" t="s">
        <v>96</v>
      </c>
      <c r="O486" s="11" t="s">
        <v>1376</v>
      </c>
      <c r="P486" s="14"/>
      <c r="Q486" s="14"/>
      <c r="R486" s="14"/>
      <c r="S486" s="14"/>
      <c r="T486" s="14"/>
      <c r="U486" s="14"/>
      <c r="V486" s="14"/>
      <c r="W486" s="14"/>
      <c r="X486" s="14"/>
      <c r="Y486" s="14"/>
      <c r="Z486" s="14"/>
      <c r="AA486" s="14"/>
      <c r="AB486" s="14"/>
      <c r="AC486" s="14"/>
      <c r="AD486" s="12"/>
      <c r="AE486" s="12"/>
      <c r="AF486" s="12"/>
      <c r="AG486" s="78">
        <v>45579.0</v>
      </c>
      <c r="AH486" s="12"/>
      <c r="AI486" s="12"/>
      <c r="AJ486" s="12"/>
      <c r="AK486" s="11" t="s">
        <v>1360</v>
      </c>
      <c r="AL486" s="12"/>
      <c r="AM486" s="12"/>
      <c r="AN486" s="11"/>
      <c r="AO486" s="140"/>
      <c r="AP486" s="140"/>
    </row>
    <row r="487">
      <c r="A487" s="124" t="s">
        <v>177</v>
      </c>
      <c r="B487" s="125">
        <v>45576.51531962963</v>
      </c>
      <c r="C487" s="126" t="s">
        <v>636</v>
      </c>
      <c r="D487" s="124" t="s">
        <v>109</v>
      </c>
      <c r="E487" s="124" t="s">
        <v>52</v>
      </c>
      <c r="F487" s="124" t="s">
        <v>65</v>
      </c>
      <c r="G487" s="124" t="s">
        <v>54</v>
      </c>
      <c r="H487" s="124" t="s">
        <v>833</v>
      </c>
      <c r="I487" s="151">
        <v>200.0</v>
      </c>
      <c r="J487" s="124" t="s">
        <v>226</v>
      </c>
      <c r="K487" s="146" t="s">
        <v>1377</v>
      </c>
      <c r="L487" s="124" t="s">
        <v>1378</v>
      </c>
      <c r="M487" s="124" t="s">
        <v>71</v>
      </c>
      <c r="N487" s="124" t="s">
        <v>96</v>
      </c>
      <c r="O487" s="124" t="s">
        <v>1379</v>
      </c>
      <c r="P487" s="133"/>
      <c r="Q487" s="133"/>
      <c r="R487" s="133"/>
      <c r="S487" s="133"/>
      <c r="T487" s="133"/>
      <c r="U487" s="133"/>
      <c r="V487" s="133"/>
      <c r="W487" s="133"/>
      <c r="X487" s="133"/>
      <c r="Y487" s="133"/>
      <c r="Z487" s="133"/>
      <c r="AA487" s="133"/>
      <c r="AB487" s="133"/>
      <c r="AC487" s="133"/>
      <c r="AD487" s="132"/>
      <c r="AE487" s="132"/>
      <c r="AF487" s="132"/>
      <c r="AG487" s="132"/>
      <c r="AH487" s="132"/>
      <c r="AI487" s="132"/>
      <c r="AJ487" s="132"/>
      <c r="AK487" s="124" t="s">
        <v>1380</v>
      </c>
      <c r="AL487" s="132"/>
      <c r="AM487" s="132"/>
      <c r="AN487" s="124"/>
      <c r="AO487" s="142"/>
      <c r="AP487" s="142"/>
    </row>
    <row r="488">
      <c r="A488" s="11" t="s">
        <v>36</v>
      </c>
      <c r="B488" s="9">
        <v>45576.587389884255</v>
      </c>
      <c r="C488" s="10" t="s">
        <v>272</v>
      </c>
      <c r="D488" s="11" t="s">
        <v>734</v>
      </c>
      <c r="E488" s="11" t="s">
        <v>735</v>
      </c>
      <c r="F488" s="11" t="s">
        <v>735</v>
      </c>
      <c r="G488" s="11" t="s">
        <v>800</v>
      </c>
      <c r="H488" s="11" t="s">
        <v>625</v>
      </c>
      <c r="I488" s="71">
        <v>3616.0</v>
      </c>
      <c r="J488" s="11" t="s">
        <v>189</v>
      </c>
      <c r="K488" s="28" t="s">
        <v>1381</v>
      </c>
      <c r="L488" s="11" t="s">
        <v>1382</v>
      </c>
      <c r="M488" s="11" t="s">
        <v>71</v>
      </c>
      <c r="N488" s="11" t="s">
        <v>96</v>
      </c>
      <c r="O488" s="11" t="s">
        <v>1383</v>
      </c>
      <c r="P488" s="14"/>
      <c r="Q488" s="14"/>
      <c r="R488" s="14"/>
      <c r="S488" s="14"/>
      <c r="T488" s="14"/>
      <c r="U488" s="14"/>
      <c r="V488" s="14"/>
      <c r="W488" s="14"/>
      <c r="X488" s="14"/>
      <c r="Y488" s="14"/>
      <c r="Z488" s="14"/>
      <c r="AA488" s="14"/>
      <c r="AB488" s="14"/>
      <c r="AC488" s="14"/>
      <c r="AD488" s="12"/>
      <c r="AE488" s="12"/>
      <c r="AF488" s="12"/>
      <c r="AG488" s="78">
        <v>45579.0</v>
      </c>
      <c r="AH488" s="12"/>
      <c r="AI488" s="12"/>
      <c r="AJ488" s="12"/>
      <c r="AK488" s="11" t="s">
        <v>1384</v>
      </c>
      <c r="AL488" s="12"/>
      <c r="AM488" s="12"/>
      <c r="AN488" s="11"/>
      <c r="AO488" s="140"/>
      <c r="AP488" s="140"/>
    </row>
    <row r="489">
      <c r="A489" s="11" t="s">
        <v>36</v>
      </c>
      <c r="B489" s="9">
        <v>45576.6428924537</v>
      </c>
      <c r="C489" s="10" t="s">
        <v>272</v>
      </c>
      <c r="D489" s="11" t="s">
        <v>800</v>
      </c>
      <c r="E489" s="11" t="s">
        <v>800</v>
      </c>
      <c r="F489" s="11" t="s">
        <v>800</v>
      </c>
      <c r="G489" s="11" t="s">
        <v>800</v>
      </c>
      <c r="H489" s="11" t="s">
        <v>1117</v>
      </c>
      <c r="I489" s="11" t="s">
        <v>1385</v>
      </c>
      <c r="J489" s="11" t="s">
        <v>189</v>
      </c>
      <c r="K489" s="12"/>
      <c r="L489" s="12"/>
      <c r="M489" s="11" t="s">
        <v>71</v>
      </c>
      <c r="N489" s="11" t="s">
        <v>96</v>
      </c>
      <c r="O489" s="11" t="s">
        <v>1386</v>
      </c>
      <c r="P489" s="14"/>
      <c r="Q489" s="14"/>
      <c r="R489" s="14"/>
      <c r="S489" s="14"/>
      <c r="T489" s="14"/>
      <c r="U489" s="14"/>
      <c r="V489" s="14"/>
      <c r="W489" s="14"/>
      <c r="X489" s="14"/>
      <c r="Y489" s="14"/>
      <c r="Z489" s="14"/>
      <c r="AA489" s="14"/>
      <c r="AB489" s="14"/>
      <c r="AC489" s="14"/>
      <c r="AD489" s="12"/>
      <c r="AE489" s="12"/>
      <c r="AF489" s="12"/>
      <c r="AG489" s="78">
        <v>45579.0</v>
      </c>
      <c r="AH489" s="12"/>
      <c r="AI489" s="12"/>
      <c r="AJ489" s="12"/>
      <c r="AK489" s="11" t="s">
        <v>1360</v>
      </c>
      <c r="AL489" s="12"/>
      <c r="AM489" s="12"/>
      <c r="AN489" s="11"/>
      <c r="AO489" s="140"/>
      <c r="AP489" s="140"/>
    </row>
    <row r="490" ht="87.0" customHeight="1">
      <c r="A490" s="11" t="s">
        <v>36</v>
      </c>
      <c r="B490" s="9">
        <v>45578.723749259254</v>
      </c>
      <c r="C490" s="10" t="s">
        <v>78</v>
      </c>
      <c r="D490" s="11" t="s">
        <v>800</v>
      </c>
      <c r="E490" s="11" t="s">
        <v>800</v>
      </c>
      <c r="F490" s="11" t="s">
        <v>800</v>
      </c>
      <c r="G490" s="11" t="s">
        <v>800</v>
      </c>
      <c r="H490" s="11" t="s">
        <v>625</v>
      </c>
      <c r="I490" s="11" t="s">
        <v>1387</v>
      </c>
      <c r="J490" s="11" t="s">
        <v>82</v>
      </c>
      <c r="K490" s="24" t="s">
        <v>1388</v>
      </c>
      <c r="L490" s="11" t="s">
        <v>1389</v>
      </c>
      <c r="M490" s="11" t="s">
        <v>71</v>
      </c>
      <c r="N490" s="11" t="s">
        <v>96</v>
      </c>
      <c r="O490" s="11" t="s">
        <v>1390</v>
      </c>
      <c r="P490" s="14"/>
      <c r="Q490" s="14"/>
      <c r="R490" s="14"/>
      <c r="S490" s="14"/>
      <c r="T490" s="14"/>
      <c r="U490" s="14"/>
      <c r="V490" s="14"/>
      <c r="W490" s="14"/>
      <c r="X490" s="14"/>
      <c r="Y490" s="14"/>
      <c r="Z490" s="14"/>
      <c r="AA490" s="14"/>
      <c r="AB490" s="14"/>
      <c r="AC490" s="14"/>
      <c r="AD490" s="12"/>
      <c r="AE490" s="12"/>
      <c r="AF490" s="12"/>
      <c r="AG490" s="78">
        <v>45579.0</v>
      </c>
      <c r="AH490" s="12"/>
      <c r="AI490" s="12"/>
      <c r="AJ490" s="12"/>
      <c r="AK490" s="11" t="s">
        <v>1360</v>
      </c>
      <c r="AL490" s="12"/>
      <c r="AM490" s="12"/>
      <c r="AN490" s="11"/>
      <c r="AO490" s="140"/>
      <c r="AP490" s="140"/>
    </row>
    <row r="491">
      <c r="A491" s="11" t="s">
        <v>36</v>
      </c>
      <c r="B491" s="9">
        <v>45579.01305363426</v>
      </c>
      <c r="C491" s="10" t="s">
        <v>111</v>
      </c>
      <c r="D491" s="11" t="s">
        <v>51</v>
      </c>
      <c r="E491" s="11" t="s">
        <v>52</v>
      </c>
      <c r="F491" s="11" t="s">
        <v>65</v>
      </c>
      <c r="G491" s="11" t="s">
        <v>54</v>
      </c>
      <c r="H491" s="11" t="s">
        <v>625</v>
      </c>
      <c r="I491" s="11" t="s">
        <v>1391</v>
      </c>
      <c r="J491" s="11" t="s">
        <v>100</v>
      </c>
      <c r="K491" s="24" t="s">
        <v>1392</v>
      </c>
      <c r="L491" s="11" t="s">
        <v>1393</v>
      </c>
      <c r="M491" s="11" t="s">
        <v>71</v>
      </c>
      <c r="N491" s="11" t="s">
        <v>96</v>
      </c>
      <c r="O491" s="11" t="s">
        <v>1394</v>
      </c>
      <c r="P491" s="14"/>
      <c r="Q491" s="14"/>
      <c r="R491" s="14"/>
      <c r="S491" s="14"/>
      <c r="T491" s="14"/>
      <c r="U491" s="14"/>
      <c r="V491" s="14"/>
      <c r="W491" s="14"/>
      <c r="X491" s="14"/>
      <c r="Y491" s="14"/>
      <c r="Z491" s="14"/>
      <c r="AA491" s="14"/>
      <c r="AB491" s="14"/>
      <c r="AC491" s="14"/>
      <c r="AD491" s="12"/>
      <c r="AE491" s="12"/>
      <c r="AF491" s="12"/>
      <c r="AG491" s="78">
        <v>45579.0</v>
      </c>
      <c r="AH491" s="12"/>
      <c r="AI491" s="12"/>
      <c r="AJ491" s="12"/>
      <c r="AK491" s="11" t="s">
        <v>1360</v>
      </c>
      <c r="AL491" s="12"/>
      <c r="AM491" s="12"/>
      <c r="AN491" s="11"/>
      <c r="AO491" s="140"/>
      <c r="AP491" s="140"/>
    </row>
    <row r="492">
      <c r="A492" s="153" t="s">
        <v>1037</v>
      </c>
      <c r="B492" s="154">
        <v>45580.43406414352</v>
      </c>
      <c r="C492" s="155" t="s">
        <v>1395</v>
      </c>
      <c r="D492" s="153" t="s">
        <v>51</v>
      </c>
      <c r="E492" s="153" t="s">
        <v>52</v>
      </c>
      <c r="F492" s="153" t="s">
        <v>65</v>
      </c>
      <c r="G492" s="153" t="s">
        <v>54</v>
      </c>
      <c r="H492" s="153" t="s">
        <v>625</v>
      </c>
      <c r="I492" s="153">
        <v>3000.0</v>
      </c>
      <c r="J492" s="153" t="s">
        <v>336</v>
      </c>
      <c r="K492" s="157"/>
      <c r="L492" s="153" t="s">
        <v>1396</v>
      </c>
      <c r="M492" s="153" t="s">
        <v>71</v>
      </c>
      <c r="N492" s="153" t="s">
        <v>96</v>
      </c>
      <c r="O492" s="153" t="s">
        <v>1397</v>
      </c>
      <c r="P492" s="158"/>
      <c r="Q492" s="158"/>
      <c r="R492" s="158"/>
      <c r="S492" s="158"/>
      <c r="T492" s="158"/>
      <c r="U492" s="158"/>
      <c r="V492" s="158"/>
      <c r="W492" s="158"/>
      <c r="X492" s="158"/>
      <c r="Y492" s="158"/>
      <c r="Z492" s="158"/>
      <c r="AA492" s="158"/>
      <c r="AB492" s="158"/>
      <c r="AC492" s="158"/>
      <c r="AD492" s="157"/>
      <c r="AE492" s="157"/>
      <c r="AF492" s="157"/>
      <c r="AG492" s="157"/>
      <c r="AH492" s="157"/>
      <c r="AI492" s="157"/>
      <c r="AJ492" s="157"/>
      <c r="AK492" s="153" t="s">
        <v>1398</v>
      </c>
      <c r="AL492" s="157"/>
      <c r="AM492" s="157"/>
      <c r="AN492" s="153"/>
      <c r="AO492" s="173" t="b">
        <v>1</v>
      </c>
      <c r="AP492" s="173" t="b">
        <v>0</v>
      </c>
    </row>
    <row r="493">
      <c r="A493" s="11" t="s">
        <v>36</v>
      </c>
      <c r="B493" s="9">
        <v>45580.55509105324</v>
      </c>
      <c r="C493" s="10" t="s">
        <v>586</v>
      </c>
      <c r="D493" s="11" t="s">
        <v>51</v>
      </c>
      <c r="E493" s="11" t="s">
        <v>52</v>
      </c>
      <c r="F493" s="11" t="s">
        <v>40</v>
      </c>
      <c r="G493" s="11" t="s">
        <v>131</v>
      </c>
      <c r="H493" s="11" t="s">
        <v>625</v>
      </c>
      <c r="I493" s="71">
        <v>3400.0</v>
      </c>
      <c r="J493" s="11" t="s">
        <v>102</v>
      </c>
      <c r="K493" s="12"/>
      <c r="L493" s="24" t="s">
        <v>1399</v>
      </c>
      <c r="M493" s="11" t="s">
        <v>71</v>
      </c>
      <c r="N493" s="11" t="s">
        <v>96</v>
      </c>
      <c r="O493" s="11" t="s">
        <v>1097</v>
      </c>
      <c r="P493" s="14"/>
      <c r="Q493" s="14"/>
      <c r="R493" s="14"/>
      <c r="S493" s="14"/>
      <c r="T493" s="14"/>
      <c r="U493" s="14"/>
      <c r="V493" s="14"/>
      <c r="W493" s="14"/>
      <c r="X493" s="14"/>
      <c r="Y493" s="14"/>
      <c r="Z493" s="14"/>
      <c r="AA493" s="14"/>
      <c r="AB493" s="14"/>
      <c r="AC493" s="14"/>
      <c r="AD493" s="12"/>
      <c r="AE493" s="12"/>
      <c r="AF493" s="12"/>
      <c r="AG493" s="78">
        <v>45588.0</v>
      </c>
      <c r="AH493" s="12"/>
      <c r="AI493" s="12"/>
      <c r="AJ493" s="12"/>
      <c r="AK493" s="11" t="s">
        <v>1360</v>
      </c>
      <c r="AL493" s="12"/>
      <c r="AM493" s="12"/>
      <c r="AN493" s="11"/>
      <c r="AO493" s="140"/>
      <c r="AP493" s="140"/>
    </row>
    <row r="494">
      <c r="A494" s="11" t="s">
        <v>36</v>
      </c>
      <c r="B494" s="9">
        <v>45581.545202650464</v>
      </c>
      <c r="C494" s="10" t="s">
        <v>771</v>
      </c>
      <c r="D494" s="11" t="s">
        <v>51</v>
      </c>
      <c r="E494" s="11" t="s">
        <v>52</v>
      </c>
      <c r="F494" s="11" t="s">
        <v>40</v>
      </c>
      <c r="G494" s="11" t="s">
        <v>54</v>
      </c>
      <c r="H494" s="11" t="s">
        <v>625</v>
      </c>
      <c r="I494" s="11" t="s">
        <v>1400</v>
      </c>
      <c r="J494" s="11" t="s">
        <v>1401</v>
      </c>
      <c r="K494" s="11" t="s">
        <v>1402</v>
      </c>
      <c r="L494" s="11" t="s">
        <v>1403</v>
      </c>
      <c r="M494" s="11" t="s">
        <v>71</v>
      </c>
      <c r="N494" s="11" t="s">
        <v>96</v>
      </c>
      <c r="O494" s="11" t="s">
        <v>774</v>
      </c>
      <c r="P494" s="11" t="s">
        <v>1404</v>
      </c>
      <c r="Q494" s="14"/>
      <c r="R494" s="14"/>
      <c r="S494" s="14"/>
      <c r="T494" s="14"/>
      <c r="U494" s="14"/>
      <c r="V494" s="14"/>
      <c r="W494" s="14"/>
      <c r="X494" s="14"/>
      <c r="Y494" s="14"/>
      <c r="Z494" s="14"/>
      <c r="AA494" s="14"/>
      <c r="AB494" s="14"/>
      <c r="AC494" s="12"/>
      <c r="AD494" s="12"/>
      <c r="AE494" s="12"/>
      <c r="AF494" s="12"/>
      <c r="AG494" s="78">
        <v>45588.0</v>
      </c>
      <c r="AH494" s="12"/>
      <c r="AI494" s="12"/>
      <c r="AJ494" s="12"/>
      <c r="AK494" s="11" t="s">
        <v>1405</v>
      </c>
      <c r="AL494" s="12"/>
      <c r="AM494" s="12"/>
      <c r="AN494" s="11"/>
      <c r="AO494" s="140"/>
      <c r="AP494" s="140"/>
    </row>
    <row r="495">
      <c r="A495" s="11" t="s">
        <v>36</v>
      </c>
      <c r="B495" s="9">
        <v>45581.673091805555</v>
      </c>
      <c r="C495" s="10" t="s">
        <v>1406</v>
      </c>
      <c r="D495" s="11" t="s">
        <v>109</v>
      </c>
      <c r="E495" s="11" t="s">
        <v>52</v>
      </c>
      <c r="F495" s="11" t="s">
        <v>65</v>
      </c>
      <c r="G495" s="11" t="s">
        <v>54</v>
      </c>
      <c r="H495" s="11" t="s">
        <v>625</v>
      </c>
      <c r="I495" s="77">
        <v>25.95</v>
      </c>
      <c r="J495" s="11" t="s">
        <v>383</v>
      </c>
      <c r="K495" s="12"/>
      <c r="L495" s="11" t="s">
        <v>1407</v>
      </c>
      <c r="M495" s="11" t="s">
        <v>71</v>
      </c>
      <c r="N495" s="11" t="s">
        <v>68</v>
      </c>
      <c r="O495" s="11" t="s">
        <v>1408</v>
      </c>
      <c r="P495" s="174" t="s">
        <v>1409</v>
      </c>
      <c r="Q495" s="14"/>
      <c r="R495" s="14"/>
      <c r="S495" s="14"/>
      <c r="T495" s="14"/>
      <c r="U495" s="14"/>
      <c r="V495" s="14"/>
      <c r="W495" s="14"/>
      <c r="X495" s="14"/>
      <c r="Y495" s="14"/>
      <c r="Z495" s="14"/>
      <c r="AA495" s="14"/>
      <c r="AB495" s="14"/>
      <c r="AC495" s="12"/>
      <c r="AD495" s="12"/>
      <c r="AE495" s="12"/>
      <c r="AF495" s="12"/>
      <c r="AG495" s="78">
        <v>45588.0</v>
      </c>
      <c r="AH495" s="12"/>
      <c r="AI495" s="12"/>
      <c r="AJ495" s="12"/>
      <c r="AK495" s="11" t="s">
        <v>1360</v>
      </c>
      <c r="AL495" s="12"/>
      <c r="AM495" s="12"/>
      <c r="AN495" s="11"/>
      <c r="AO495" s="140"/>
      <c r="AP495" s="140"/>
    </row>
    <row r="496">
      <c r="A496" s="11" t="s">
        <v>36</v>
      </c>
      <c r="B496" s="9">
        <v>45583.60441363426</v>
      </c>
      <c r="C496" s="10" t="s">
        <v>237</v>
      </c>
      <c r="D496" s="11" t="s">
        <v>51</v>
      </c>
      <c r="E496" s="11" t="s">
        <v>52</v>
      </c>
      <c r="F496" s="11" t="s">
        <v>65</v>
      </c>
      <c r="G496" s="11" t="s">
        <v>54</v>
      </c>
      <c r="H496" s="11" t="s">
        <v>625</v>
      </c>
      <c r="I496" s="28" t="s">
        <v>1410</v>
      </c>
      <c r="J496" s="11" t="s">
        <v>100</v>
      </c>
      <c r="K496" s="12"/>
      <c r="L496" s="11" t="s">
        <v>1393</v>
      </c>
      <c r="M496" s="11" t="s">
        <v>71</v>
      </c>
      <c r="N496" s="11" t="s">
        <v>96</v>
      </c>
      <c r="O496" s="11" t="s">
        <v>1411</v>
      </c>
      <c r="P496" s="11" t="s">
        <v>1412</v>
      </c>
      <c r="Q496" s="14"/>
      <c r="R496" s="14"/>
      <c r="S496" s="14"/>
      <c r="T496" s="14"/>
      <c r="U496" s="14"/>
      <c r="V496" s="14"/>
      <c r="W496" s="14"/>
      <c r="X496" s="14"/>
      <c r="Y496" s="14"/>
      <c r="Z496" s="14"/>
      <c r="AA496" s="14"/>
      <c r="AB496" s="14"/>
      <c r="AC496" s="12"/>
      <c r="AD496" s="12"/>
      <c r="AE496" s="12"/>
      <c r="AF496" s="12"/>
      <c r="AG496" s="78">
        <v>45588.0</v>
      </c>
      <c r="AH496" s="12"/>
      <c r="AI496" s="12"/>
      <c r="AJ496" s="12"/>
      <c r="AK496" s="11" t="s">
        <v>1360</v>
      </c>
      <c r="AL496" s="12"/>
      <c r="AM496" s="12"/>
      <c r="AN496" s="11"/>
      <c r="AO496" s="140"/>
      <c r="AP496" s="140"/>
    </row>
    <row r="497">
      <c r="A497" s="11" t="s">
        <v>36</v>
      </c>
      <c r="B497" s="9">
        <v>45586.353551064814</v>
      </c>
      <c r="C497" s="10" t="s">
        <v>123</v>
      </c>
      <c r="D497" s="11" t="s">
        <v>800</v>
      </c>
      <c r="E497" s="11" t="s">
        <v>800</v>
      </c>
      <c r="F497" s="11" t="s">
        <v>800</v>
      </c>
      <c r="G497" s="11" t="s">
        <v>800</v>
      </c>
      <c r="H497" s="11" t="s">
        <v>42</v>
      </c>
      <c r="I497" s="11" t="s">
        <v>1413</v>
      </c>
      <c r="J497" s="11" t="s">
        <v>1134</v>
      </c>
      <c r="K497" s="12"/>
      <c r="L497" s="12"/>
      <c r="M497" s="11" t="s">
        <v>71</v>
      </c>
      <c r="N497" s="11" t="s">
        <v>68</v>
      </c>
      <c r="O497" s="11" t="s">
        <v>1134</v>
      </c>
      <c r="P497" s="11" t="s">
        <v>1414</v>
      </c>
      <c r="Q497" s="14"/>
      <c r="R497" s="14"/>
      <c r="S497" s="14"/>
      <c r="T497" s="14"/>
      <c r="U497" s="14"/>
      <c r="V497" s="14"/>
      <c r="W497" s="14"/>
      <c r="X497" s="14"/>
      <c r="Y497" s="14"/>
      <c r="Z497" s="14"/>
      <c r="AA497" s="14"/>
      <c r="AB497" s="14"/>
      <c r="AC497" s="12"/>
      <c r="AD497" s="12"/>
      <c r="AE497" s="12"/>
      <c r="AF497" s="12"/>
      <c r="AG497" s="78">
        <v>45588.0</v>
      </c>
      <c r="AH497" s="12"/>
      <c r="AI497" s="12"/>
      <c r="AJ497" s="12"/>
      <c r="AK497" s="11" t="s">
        <v>1360</v>
      </c>
      <c r="AL497" s="12"/>
      <c r="AM497" s="12"/>
      <c r="AN497" s="11"/>
      <c r="AO497" s="140"/>
      <c r="AP497" s="140"/>
    </row>
    <row r="498">
      <c r="A498" s="11" t="s">
        <v>36</v>
      </c>
      <c r="B498" s="9">
        <v>45586.42500935185</v>
      </c>
      <c r="C498" s="10" t="s">
        <v>293</v>
      </c>
      <c r="D498" s="11" t="s">
        <v>1217</v>
      </c>
      <c r="E498" s="11" t="s">
        <v>52</v>
      </c>
      <c r="F498" s="11" t="s">
        <v>65</v>
      </c>
      <c r="G498" s="11" t="s">
        <v>54</v>
      </c>
      <c r="H498" s="11" t="s">
        <v>833</v>
      </c>
      <c r="I498" s="71">
        <v>360.0</v>
      </c>
      <c r="J498" s="11" t="s">
        <v>157</v>
      </c>
      <c r="K498" s="12"/>
      <c r="L498" s="11" t="s">
        <v>1415</v>
      </c>
      <c r="M498" s="11" t="s">
        <v>71</v>
      </c>
      <c r="N498" s="11" t="s">
        <v>96</v>
      </c>
      <c r="O498" s="11" t="s">
        <v>952</v>
      </c>
      <c r="P498" s="174" t="s">
        <v>1416</v>
      </c>
      <c r="Q498" s="14"/>
      <c r="R498" s="14"/>
      <c r="S498" s="14"/>
      <c r="T498" s="14"/>
      <c r="U498" s="14"/>
      <c r="V498" s="14"/>
      <c r="W498" s="14"/>
      <c r="X498" s="14"/>
      <c r="Y498" s="14"/>
      <c r="Z498" s="14"/>
      <c r="AA498" s="14"/>
      <c r="AB498" s="14"/>
      <c r="AC498" s="12"/>
      <c r="AD498" s="12"/>
      <c r="AE498" s="12"/>
      <c r="AF498" s="12"/>
      <c r="AG498" s="78"/>
      <c r="AH498" s="12"/>
      <c r="AI498" s="12"/>
      <c r="AJ498" s="12"/>
      <c r="AK498" s="175" t="s">
        <v>1417</v>
      </c>
      <c r="AL498" s="12"/>
      <c r="AM498" s="12"/>
      <c r="AN498" s="11"/>
      <c r="AO498" s="140"/>
      <c r="AP498" s="140"/>
    </row>
    <row r="499">
      <c r="A499" s="11" t="s">
        <v>36</v>
      </c>
      <c r="B499" s="9">
        <v>45586.513568229166</v>
      </c>
      <c r="C499" s="10" t="s">
        <v>1045</v>
      </c>
      <c r="D499" s="11" t="s">
        <v>109</v>
      </c>
      <c r="E499" s="11" t="s">
        <v>52</v>
      </c>
      <c r="F499" s="11" t="s">
        <v>65</v>
      </c>
      <c r="G499" s="11" t="s">
        <v>54</v>
      </c>
      <c r="H499" s="11" t="s">
        <v>607</v>
      </c>
      <c r="I499" s="71">
        <v>65.0</v>
      </c>
      <c r="J499" s="11" t="s">
        <v>1046</v>
      </c>
      <c r="K499" s="28" t="s">
        <v>1418</v>
      </c>
      <c r="L499" s="11" t="s">
        <v>1419</v>
      </c>
      <c r="M499" s="11" t="s">
        <v>71</v>
      </c>
      <c r="N499" s="11" t="s">
        <v>96</v>
      </c>
      <c r="O499" s="11" t="s">
        <v>1420</v>
      </c>
      <c r="P499" s="11" t="s">
        <v>1421</v>
      </c>
      <c r="Q499" s="14"/>
      <c r="R499" s="14"/>
      <c r="S499" s="14"/>
      <c r="T499" s="14"/>
      <c r="U499" s="14"/>
      <c r="V499" s="14"/>
      <c r="W499" s="14"/>
      <c r="X499" s="14"/>
      <c r="Y499" s="14"/>
      <c r="Z499" s="14"/>
      <c r="AA499" s="14"/>
      <c r="AB499" s="14"/>
      <c r="AC499" s="12"/>
      <c r="AD499" s="12"/>
      <c r="AE499" s="12"/>
      <c r="AF499" s="12"/>
      <c r="AG499" s="78">
        <v>45593.0</v>
      </c>
      <c r="AH499" s="12"/>
      <c r="AI499" s="12"/>
      <c r="AJ499" s="12"/>
      <c r="AK499" s="11" t="s">
        <v>1360</v>
      </c>
      <c r="AL499" s="12"/>
      <c r="AM499" s="12"/>
      <c r="AN499" s="11"/>
      <c r="AO499" s="140"/>
      <c r="AP499" s="140"/>
    </row>
    <row r="500">
      <c r="A500" s="11" t="s">
        <v>36</v>
      </c>
      <c r="B500" s="9">
        <v>45586.611911493055</v>
      </c>
      <c r="C500" s="10" t="s">
        <v>1106</v>
      </c>
      <c r="D500" s="11" t="s">
        <v>109</v>
      </c>
      <c r="E500" s="11" t="s">
        <v>52</v>
      </c>
      <c r="F500" s="11" t="s">
        <v>65</v>
      </c>
      <c r="G500" s="11" t="s">
        <v>800</v>
      </c>
      <c r="H500" s="11" t="s">
        <v>625</v>
      </c>
      <c r="I500" s="77">
        <v>120.0</v>
      </c>
      <c r="J500" s="11" t="s">
        <v>157</v>
      </c>
      <c r="K500" s="12"/>
      <c r="L500" s="11" t="s">
        <v>1422</v>
      </c>
      <c r="M500" s="11" t="s">
        <v>71</v>
      </c>
      <c r="N500" s="11" t="s">
        <v>96</v>
      </c>
      <c r="O500" s="11" t="s">
        <v>1423</v>
      </c>
      <c r="P500" s="174" t="s">
        <v>1424</v>
      </c>
      <c r="Q500" s="14"/>
      <c r="R500" s="14"/>
      <c r="S500" s="14"/>
      <c r="T500" s="14"/>
      <c r="U500" s="14"/>
      <c r="V500" s="14"/>
      <c r="W500" s="14"/>
      <c r="X500" s="14"/>
      <c r="Y500" s="14"/>
      <c r="Z500" s="14"/>
      <c r="AA500" s="14"/>
      <c r="AB500" s="14"/>
      <c r="AC500" s="12"/>
      <c r="AD500" s="12"/>
      <c r="AE500" s="12"/>
      <c r="AF500" s="12"/>
      <c r="AG500" s="78">
        <v>45593.0</v>
      </c>
      <c r="AH500" s="12"/>
      <c r="AI500" s="12"/>
      <c r="AJ500" s="12"/>
      <c r="AK500" s="11" t="s">
        <v>1360</v>
      </c>
      <c r="AL500" s="12"/>
      <c r="AM500" s="12"/>
      <c r="AN500" s="11"/>
      <c r="AO500" s="140"/>
      <c r="AP500" s="140"/>
    </row>
    <row r="501">
      <c r="A501" s="11" t="s">
        <v>36</v>
      </c>
      <c r="B501" s="9">
        <v>45586.78178939815</v>
      </c>
      <c r="C501" s="10" t="s">
        <v>1425</v>
      </c>
      <c r="D501" s="11" t="s">
        <v>109</v>
      </c>
      <c r="E501" s="11" t="s">
        <v>52</v>
      </c>
      <c r="F501" s="11" t="s">
        <v>65</v>
      </c>
      <c r="G501" s="11" t="s">
        <v>54</v>
      </c>
      <c r="H501" s="11" t="s">
        <v>833</v>
      </c>
      <c r="I501" s="11">
        <v>625.0</v>
      </c>
      <c r="J501" s="11" t="s">
        <v>1426</v>
      </c>
      <c r="K501" s="12"/>
      <c r="L501" s="24" t="s">
        <v>1427</v>
      </c>
      <c r="M501" s="11" t="s">
        <v>71</v>
      </c>
      <c r="N501" s="11" t="s">
        <v>96</v>
      </c>
      <c r="O501" s="11" t="s">
        <v>1428</v>
      </c>
      <c r="P501" s="11" t="s">
        <v>1429</v>
      </c>
      <c r="Q501" s="14"/>
      <c r="R501" s="14"/>
      <c r="S501" s="14"/>
      <c r="T501" s="14"/>
      <c r="U501" s="14"/>
      <c r="V501" s="14"/>
      <c r="W501" s="14"/>
      <c r="X501" s="14"/>
      <c r="Y501" s="14"/>
      <c r="Z501" s="14"/>
      <c r="AA501" s="14"/>
      <c r="AB501" s="14"/>
      <c r="AC501" s="12"/>
      <c r="AD501" s="12"/>
      <c r="AE501" s="12"/>
      <c r="AF501" s="12"/>
      <c r="AG501" s="78">
        <v>45593.0</v>
      </c>
      <c r="AH501" s="12"/>
      <c r="AI501" s="12"/>
      <c r="AJ501" s="12"/>
      <c r="AK501" s="11" t="s">
        <v>1360</v>
      </c>
      <c r="AL501" s="12"/>
      <c r="AM501" s="12"/>
      <c r="AN501" s="11"/>
      <c r="AO501" s="140"/>
      <c r="AP501" s="140"/>
    </row>
    <row r="502">
      <c r="A502" s="176" t="s">
        <v>177</v>
      </c>
      <c r="B502" s="177">
        <v>45587.611759120366</v>
      </c>
      <c r="C502" s="178" t="s">
        <v>385</v>
      </c>
      <c r="D502" s="176" t="s">
        <v>109</v>
      </c>
      <c r="E502" s="176" t="s">
        <v>52</v>
      </c>
      <c r="F502" s="176" t="s">
        <v>65</v>
      </c>
      <c r="G502" s="176" t="s">
        <v>54</v>
      </c>
      <c r="H502" s="176" t="s">
        <v>833</v>
      </c>
      <c r="I502" s="176" t="s">
        <v>1430</v>
      </c>
      <c r="J502" s="176" t="s">
        <v>102</v>
      </c>
      <c r="K502" s="176" t="s">
        <v>1431</v>
      </c>
      <c r="L502" s="179" t="s">
        <v>1432</v>
      </c>
      <c r="M502" s="176" t="s">
        <v>71</v>
      </c>
      <c r="N502" s="176" t="s">
        <v>96</v>
      </c>
      <c r="O502" s="176" t="s">
        <v>1059</v>
      </c>
      <c r="P502" s="176" t="s">
        <v>1433</v>
      </c>
      <c r="Q502" s="180"/>
      <c r="R502" s="180"/>
      <c r="S502" s="180"/>
      <c r="T502" s="180"/>
      <c r="U502" s="180"/>
      <c r="V502" s="180"/>
      <c r="W502" s="180"/>
      <c r="X502" s="180"/>
      <c r="Y502" s="180"/>
      <c r="Z502" s="180"/>
      <c r="AA502" s="180"/>
      <c r="AB502" s="180"/>
      <c r="AC502" s="181"/>
      <c r="AD502" s="181"/>
      <c r="AE502" s="181"/>
      <c r="AF502" s="181"/>
      <c r="AG502" s="181"/>
      <c r="AH502" s="181"/>
      <c r="AI502" s="181"/>
      <c r="AJ502" s="181"/>
      <c r="AK502" s="176" t="s">
        <v>1434</v>
      </c>
      <c r="AL502" s="181"/>
      <c r="AM502" s="181"/>
      <c r="AN502" s="176"/>
      <c r="AO502" s="182"/>
      <c r="AP502" s="182"/>
    </row>
    <row r="503">
      <c r="A503" s="11" t="s">
        <v>36</v>
      </c>
      <c r="B503" s="9">
        <v>45589.519299328706</v>
      </c>
      <c r="C503" s="10" t="s">
        <v>123</v>
      </c>
      <c r="D503" s="11" t="s">
        <v>800</v>
      </c>
      <c r="E503" s="11" t="s">
        <v>800</v>
      </c>
      <c r="F503" s="11" t="s">
        <v>800</v>
      </c>
      <c r="G503" s="11" t="s">
        <v>800</v>
      </c>
      <c r="H503" s="11" t="s">
        <v>625</v>
      </c>
      <c r="I503" s="71">
        <v>195.0</v>
      </c>
      <c r="J503" s="162" t="s">
        <v>1435</v>
      </c>
      <c r="K503" s="12"/>
      <c r="L503" s="24" t="s">
        <v>1436</v>
      </c>
      <c r="M503" s="11" t="s">
        <v>71</v>
      </c>
      <c r="N503" s="11" t="s">
        <v>96</v>
      </c>
      <c r="O503" s="11" t="s">
        <v>1198</v>
      </c>
      <c r="P503" s="174" t="s">
        <v>1437</v>
      </c>
      <c r="Q503" s="11" t="s">
        <v>1438</v>
      </c>
      <c r="R503" s="14"/>
      <c r="S503" s="14"/>
      <c r="T503" s="14"/>
      <c r="U503" s="14"/>
      <c r="V503" s="14"/>
      <c r="W503" s="14"/>
      <c r="X503" s="14"/>
      <c r="Y503" s="14"/>
      <c r="Z503" s="14"/>
      <c r="AA503" s="14"/>
      <c r="AB503" s="12"/>
      <c r="AC503" s="12"/>
      <c r="AD503" s="12"/>
      <c r="AE503" s="12"/>
      <c r="AF503" s="12"/>
      <c r="AG503" s="78">
        <v>45593.0</v>
      </c>
      <c r="AH503" s="12"/>
      <c r="AI503" s="12"/>
      <c r="AJ503" s="12"/>
      <c r="AK503" s="11" t="s">
        <v>1360</v>
      </c>
      <c r="AL503" s="12"/>
      <c r="AM503" s="12"/>
      <c r="AN503" s="162"/>
      <c r="AO503" s="12"/>
      <c r="AP503" s="140"/>
    </row>
    <row r="504">
      <c r="A504" s="11" t="s">
        <v>36</v>
      </c>
      <c r="B504" s="9">
        <v>45590.75963518518</v>
      </c>
      <c r="C504" s="10" t="s">
        <v>219</v>
      </c>
      <c r="D504" s="11" t="s">
        <v>800</v>
      </c>
      <c r="E504" s="11" t="s">
        <v>800</v>
      </c>
      <c r="F504" s="11" t="s">
        <v>800</v>
      </c>
      <c r="G504" s="11" t="s">
        <v>800</v>
      </c>
      <c r="H504" s="11" t="s">
        <v>625</v>
      </c>
      <c r="I504" s="71">
        <v>200.0</v>
      </c>
      <c r="J504" s="11" t="s">
        <v>184</v>
      </c>
      <c r="K504" s="12"/>
      <c r="L504" s="11" t="s">
        <v>1439</v>
      </c>
      <c r="M504" s="11" t="s">
        <v>71</v>
      </c>
      <c r="N504" s="11" t="s">
        <v>96</v>
      </c>
      <c r="O504" s="11" t="s">
        <v>1440</v>
      </c>
      <c r="P504" s="11" t="s">
        <v>1441</v>
      </c>
      <c r="Q504" s="11" t="s">
        <v>1438</v>
      </c>
      <c r="R504" s="14"/>
      <c r="S504" s="14"/>
      <c r="T504" s="14"/>
      <c r="U504" s="14"/>
      <c r="V504" s="14"/>
      <c r="W504" s="14"/>
      <c r="X504" s="14"/>
      <c r="Y504" s="14"/>
      <c r="Z504" s="14"/>
      <c r="AA504" s="14"/>
      <c r="AB504" s="12"/>
      <c r="AC504" s="12"/>
      <c r="AD504" s="12"/>
      <c r="AE504" s="12"/>
      <c r="AF504" s="12"/>
      <c r="AG504" s="183">
        <v>45597.0</v>
      </c>
      <c r="AH504" s="12"/>
      <c r="AI504" s="12"/>
      <c r="AJ504" s="12"/>
      <c r="AK504" s="11" t="s">
        <v>1360</v>
      </c>
      <c r="AL504" s="12"/>
      <c r="AM504" s="12"/>
      <c r="AN504" s="11"/>
      <c r="AO504" s="12"/>
      <c r="AP504" s="140"/>
    </row>
    <row r="505">
      <c r="A505" s="11" t="s">
        <v>36</v>
      </c>
      <c r="B505" s="9">
        <v>45594.78746211805</v>
      </c>
      <c r="C505" s="10" t="s">
        <v>595</v>
      </c>
      <c r="D505" s="11" t="s">
        <v>109</v>
      </c>
      <c r="E505" s="11" t="s">
        <v>138</v>
      </c>
      <c r="F505" s="11" t="s">
        <v>65</v>
      </c>
      <c r="G505" s="11" t="s">
        <v>54</v>
      </c>
      <c r="H505" s="11" t="s">
        <v>439</v>
      </c>
      <c r="I505" s="77">
        <v>2000.0</v>
      </c>
      <c r="J505" s="11" t="s">
        <v>189</v>
      </c>
      <c r="K505" s="12"/>
      <c r="L505" s="12"/>
      <c r="M505" s="11" t="s">
        <v>71</v>
      </c>
      <c r="N505" s="11" t="s">
        <v>68</v>
      </c>
      <c r="O505" s="11" t="s">
        <v>1442</v>
      </c>
      <c r="P505" s="11" t="s">
        <v>1443</v>
      </c>
      <c r="Q505" s="11" t="s">
        <v>1438</v>
      </c>
      <c r="R505" s="14"/>
      <c r="S505" s="14"/>
      <c r="T505" s="14"/>
      <c r="U505" s="14"/>
      <c r="V505" s="14"/>
      <c r="W505" s="14"/>
      <c r="X505" s="14"/>
      <c r="Y505" s="14"/>
      <c r="Z505" s="14"/>
      <c r="AA505" s="14"/>
      <c r="AB505" s="12"/>
      <c r="AC505" s="12"/>
      <c r="AD505" s="12"/>
      <c r="AE505" s="12"/>
      <c r="AF505" s="12"/>
      <c r="AG505" s="183">
        <v>45597.0</v>
      </c>
      <c r="AH505" s="12"/>
      <c r="AI505" s="12"/>
      <c r="AJ505" s="12"/>
      <c r="AK505" s="11" t="s">
        <v>1360</v>
      </c>
      <c r="AL505" s="12"/>
      <c r="AM505" s="12"/>
      <c r="AN505" s="11"/>
      <c r="AO505" s="12"/>
      <c r="AP505" s="140"/>
    </row>
    <row r="506">
      <c r="A506" s="11" t="s">
        <v>36</v>
      </c>
      <c r="B506" s="9">
        <v>45596.67223082176</v>
      </c>
      <c r="C506" s="10" t="s">
        <v>1242</v>
      </c>
      <c r="D506" s="11" t="s">
        <v>142</v>
      </c>
      <c r="E506" s="11" t="s">
        <v>52</v>
      </c>
      <c r="F506" s="11" t="s">
        <v>65</v>
      </c>
      <c r="G506" s="11" t="s">
        <v>54</v>
      </c>
      <c r="H506" s="11" t="s">
        <v>833</v>
      </c>
      <c r="I506" s="71">
        <v>45.0</v>
      </c>
      <c r="J506" s="11" t="s">
        <v>1444</v>
      </c>
      <c r="K506" s="12"/>
      <c r="L506" s="28" t="s">
        <v>1445</v>
      </c>
      <c r="M506" s="11" t="s">
        <v>71</v>
      </c>
      <c r="N506" s="11" t="s">
        <v>96</v>
      </c>
      <c r="O506" s="11" t="s">
        <v>1446</v>
      </c>
      <c r="P506" s="174" t="s">
        <v>1447</v>
      </c>
      <c r="Q506" s="11" t="s">
        <v>1438</v>
      </c>
      <c r="R506" s="14"/>
      <c r="S506" s="14"/>
      <c r="T506" s="14"/>
      <c r="U506" s="14"/>
      <c r="V506" s="14"/>
      <c r="W506" s="14"/>
      <c r="X506" s="14"/>
      <c r="Y506" s="14"/>
      <c r="Z506" s="14"/>
      <c r="AA506" s="14"/>
      <c r="AB506" s="12"/>
      <c r="AC506" s="12"/>
      <c r="AD506" s="12"/>
      <c r="AE506" s="12"/>
      <c r="AF506" s="12"/>
      <c r="AG506" s="183">
        <v>45597.0</v>
      </c>
      <c r="AH506" s="12"/>
      <c r="AI506" s="12"/>
      <c r="AJ506" s="12"/>
      <c r="AK506" s="11" t="s">
        <v>1360</v>
      </c>
      <c r="AL506" s="12"/>
      <c r="AM506" s="12"/>
      <c r="AN506" s="11"/>
      <c r="AO506" s="12"/>
      <c r="AP506" s="140"/>
    </row>
    <row r="507">
      <c r="A507" s="11" t="s">
        <v>36</v>
      </c>
      <c r="B507" s="9">
        <v>45598.45082902777</v>
      </c>
      <c r="C507" s="10" t="s">
        <v>1425</v>
      </c>
      <c r="D507" s="11" t="s">
        <v>109</v>
      </c>
      <c r="E507" s="11" t="s">
        <v>52</v>
      </c>
      <c r="F507" s="11" t="s">
        <v>65</v>
      </c>
      <c r="G507" s="11" t="s">
        <v>54</v>
      </c>
      <c r="H507" s="11" t="s">
        <v>833</v>
      </c>
      <c r="I507" s="11">
        <v>695.0</v>
      </c>
      <c r="J507" s="11" t="s">
        <v>383</v>
      </c>
      <c r="K507" s="12"/>
      <c r="L507" s="28" t="s">
        <v>1448</v>
      </c>
      <c r="M507" s="11" t="s">
        <v>71</v>
      </c>
      <c r="N507" s="11" t="s">
        <v>96</v>
      </c>
      <c r="O507" s="11" t="s">
        <v>1428</v>
      </c>
      <c r="P507" s="11" t="s">
        <v>1449</v>
      </c>
      <c r="Q507" s="11" t="s">
        <v>1438</v>
      </c>
      <c r="R507" s="14"/>
      <c r="S507" s="14"/>
      <c r="T507" s="14"/>
      <c r="U507" s="14"/>
      <c r="V507" s="14"/>
      <c r="W507" s="14"/>
      <c r="X507" s="14"/>
      <c r="Y507" s="14"/>
      <c r="Z507" s="14"/>
      <c r="AA507" s="14"/>
      <c r="AB507" s="12"/>
      <c r="AC507" s="12"/>
      <c r="AD507" s="12"/>
      <c r="AE507" s="12"/>
      <c r="AF507" s="12"/>
      <c r="AG507" s="78"/>
      <c r="AH507" s="12"/>
      <c r="AI507" s="12"/>
      <c r="AJ507" s="12"/>
      <c r="AK507" s="162" t="s">
        <v>1450</v>
      </c>
      <c r="AL507" s="12"/>
      <c r="AM507" s="12"/>
      <c r="AN507" s="11"/>
      <c r="AO507" s="12"/>
      <c r="AP507" s="140"/>
    </row>
    <row r="508">
      <c r="A508" s="124" t="s">
        <v>177</v>
      </c>
      <c r="B508" s="125">
        <v>45600.433520763894</v>
      </c>
      <c r="C508" s="126" t="s">
        <v>123</v>
      </c>
      <c r="D508" s="124" t="s">
        <v>800</v>
      </c>
      <c r="E508" s="124" t="s">
        <v>800</v>
      </c>
      <c r="F508" s="124" t="s">
        <v>800</v>
      </c>
      <c r="G508" s="124" t="s">
        <v>800</v>
      </c>
      <c r="H508" s="124" t="s">
        <v>625</v>
      </c>
      <c r="I508" s="124" t="s">
        <v>1451</v>
      </c>
      <c r="J508" s="124" t="s">
        <v>1134</v>
      </c>
      <c r="K508" s="132"/>
      <c r="L508" s="128" t="s">
        <v>1452</v>
      </c>
      <c r="M508" s="124" t="s">
        <v>71</v>
      </c>
      <c r="N508" s="124" t="s">
        <v>96</v>
      </c>
      <c r="O508" s="124" t="s">
        <v>1453</v>
      </c>
      <c r="P508" s="184" t="s">
        <v>1454</v>
      </c>
      <c r="Q508" s="124" t="s">
        <v>1438</v>
      </c>
      <c r="R508" s="133"/>
      <c r="S508" s="133"/>
      <c r="T508" s="133"/>
      <c r="U508" s="133"/>
      <c r="V508" s="133"/>
      <c r="W508" s="133"/>
      <c r="X508" s="133"/>
      <c r="Y508" s="133"/>
      <c r="Z508" s="133"/>
      <c r="AA508" s="133"/>
      <c r="AB508" s="132"/>
      <c r="AC508" s="132"/>
      <c r="AD508" s="132"/>
      <c r="AE508" s="132"/>
      <c r="AF508" s="132"/>
      <c r="AG508" s="132"/>
      <c r="AH508" s="132"/>
      <c r="AI508" s="132"/>
      <c r="AJ508" s="132"/>
      <c r="AK508" s="152" t="s">
        <v>1455</v>
      </c>
      <c r="AL508" s="132"/>
      <c r="AM508" s="132"/>
      <c r="AN508" s="124"/>
      <c r="AO508" s="132"/>
      <c r="AP508" s="142"/>
    </row>
    <row r="509">
      <c r="A509" s="11" t="s">
        <v>36</v>
      </c>
      <c r="B509" s="9">
        <v>45602.39004978009</v>
      </c>
      <c r="C509" s="10" t="s">
        <v>1284</v>
      </c>
      <c r="D509" s="11" t="s">
        <v>51</v>
      </c>
      <c r="E509" s="11" t="s">
        <v>52</v>
      </c>
      <c r="F509" s="11" t="s">
        <v>40</v>
      </c>
      <c r="G509" s="11" t="s">
        <v>54</v>
      </c>
      <c r="H509" s="11" t="s">
        <v>625</v>
      </c>
      <c r="I509" s="11">
        <v>1750.0</v>
      </c>
      <c r="J509" s="11" t="s">
        <v>102</v>
      </c>
      <c r="K509" s="12"/>
      <c r="L509" s="24" t="s">
        <v>1456</v>
      </c>
      <c r="M509" s="11" t="s">
        <v>71</v>
      </c>
      <c r="N509" s="11" t="s">
        <v>96</v>
      </c>
      <c r="O509" s="11" t="s">
        <v>1286</v>
      </c>
      <c r="P509" s="11" t="s">
        <v>1457</v>
      </c>
      <c r="Q509" s="11" t="s">
        <v>1438</v>
      </c>
      <c r="R509" s="14"/>
      <c r="S509" s="14"/>
      <c r="T509" s="14"/>
      <c r="U509" s="14"/>
      <c r="V509" s="14"/>
      <c r="W509" s="14"/>
      <c r="X509" s="14"/>
      <c r="Y509" s="14"/>
      <c r="Z509" s="14"/>
      <c r="AA509" s="14"/>
      <c r="AB509" s="12"/>
      <c r="AC509" s="12"/>
      <c r="AD509" s="12"/>
      <c r="AE509" s="12"/>
      <c r="AF509" s="12"/>
      <c r="AG509" s="78">
        <v>45602.0</v>
      </c>
      <c r="AH509" s="12"/>
      <c r="AI509" s="12"/>
      <c r="AJ509" s="12"/>
      <c r="AK509" s="11" t="s">
        <v>1360</v>
      </c>
      <c r="AL509" s="12"/>
      <c r="AM509" s="12"/>
      <c r="AN509" s="11"/>
      <c r="AO509" s="12"/>
      <c r="AP509" s="140"/>
    </row>
    <row r="510">
      <c r="A510" s="75" t="s">
        <v>177</v>
      </c>
      <c r="B510" s="73">
        <v>45602.5905935301</v>
      </c>
      <c r="C510" s="74" t="s">
        <v>37</v>
      </c>
      <c r="D510" s="75" t="s">
        <v>51</v>
      </c>
      <c r="E510" s="75" t="s">
        <v>52</v>
      </c>
      <c r="F510" s="75" t="s">
        <v>65</v>
      </c>
      <c r="G510" s="75" t="s">
        <v>41</v>
      </c>
      <c r="H510" s="75" t="s">
        <v>42</v>
      </c>
      <c r="I510" s="121">
        <v>3000.0</v>
      </c>
      <c r="J510" s="75" t="s">
        <v>128</v>
      </c>
      <c r="K510" s="114"/>
      <c r="L510" s="114"/>
      <c r="M510" s="75" t="s">
        <v>71</v>
      </c>
      <c r="N510" s="75" t="s">
        <v>68</v>
      </c>
      <c r="O510" s="75" t="s">
        <v>1458</v>
      </c>
      <c r="P510" s="185" t="s">
        <v>1459</v>
      </c>
      <c r="Q510" s="75" t="s">
        <v>1438</v>
      </c>
      <c r="R510" s="129"/>
      <c r="S510" s="129"/>
      <c r="T510" s="129"/>
      <c r="U510" s="129"/>
      <c r="V510" s="129"/>
      <c r="W510" s="129"/>
      <c r="X510" s="129"/>
      <c r="Y510" s="129"/>
      <c r="Z510" s="129"/>
      <c r="AA510" s="129"/>
      <c r="AB510" s="114"/>
      <c r="AC510" s="114"/>
      <c r="AD510" s="114"/>
      <c r="AE510" s="114"/>
      <c r="AF510" s="114"/>
      <c r="AG510" s="130">
        <v>45602.0</v>
      </c>
      <c r="AH510" s="114"/>
      <c r="AI510" s="114"/>
      <c r="AJ510" s="114"/>
      <c r="AK510" s="186" t="s">
        <v>1460</v>
      </c>
      <c r="AL510" s="114"/>
      <c r="AM510" s="114"/>
      <c r="AN510" s="75"/>
      <c r="AO510" s="114"/>
      <c r="AP510" s="141"/>
    </row>
    <row r="511">
      <c r="A511" s="11" t="s">
        <v>36</v>
      </c>
      <c r="B511" s="9">
        <v>45604.51631908565</v>
      </c>
      <c r="C511" s="10" t="s">
        <v>1461</v>
      </c>
      <c r="D511" s="11" t="s">
        <v>1217</v>
      </c>
      <c r="E511" s="11" t="s">
        <v>149</v>
      </c>
      <c r="F511" s="11" t="s">
        <v>139</v>
      </c>
      <c r="G511" s="11" t="s">
        <v>41</v>
      </c>
      <c r="H511" s="11" t="s">
        <v>625</v>
      </c>
      <c r="I511" s="71">
        <v>57.0</v>
      </c>
      <c r="J511" s="11" t="s">
        <v>43</v>
      </c>
      <c r="K511" s="12"/>
      <c r="L511" s="24" t="s">
        <v>1462</v>
      </c>
      <c r="M511" s="11" t="s">
        <v>71</v>
      </c>
      <c r="N511" s="11" t="s">
        <v>96</v>
      </c>
      <c r="O511" s="11" t="s">
        <v>1463</v>
      </c>
      <c r="P511" s="174" t="s">
        <v>1464</v>
      </c>
      <c r="Q511" s="11" t="s">
        <v>1438</v>
      </c>
      <c r="R511" s="14"/>
      <c r="S511" s="14"/>
      <c r="T511" s="14"/>
      <c r="U511" s="14"/>
      <c r="V511" s="14"/>
      <c r="W511" s="14"/>
      <c r="X511" s="14"/>
      <c r="Y511" s="14"/>
      <c r="Z511" s="14"/>
      <c r="AA511" s="14"/>
      <c r="AB511" s="12"/>
      <c r="AC511" s="12"/>
      <c r="AD511" s="12"/>
      <c r="AE511" s="12"/>
      <c r="AF511" s="12"/>
      <c r="AG511" s="78">
        <v>45608.0</v>
      </c>
      <c r="AH511" s="12"/>
      <c r="AI511" s="12"/>
      <c r="AJ511" s="12"/>
      <c r="AK511" s="11" t="s">
        <v>1360</v>
      </c>
      <c r="AL511" s="12"/>
      <c r="AM511" s="12"/>
      <c r="AN511" s="11"/>
      <c r="AO511" s="12"/>
      <c r="AP511" s="140"/>
    </row>
    <row r="512">
      <c r="A512" s="11" t="s">
        <v>36</v>
      </c>
      <c r="B512" s="9">
        <v>45604.51715666667</v>
      </c>
      <c r="C512" s="10" t="s">
        <v>1461</v>
      </c>
      <c r="D512" s="11" t="s">
        <v>1217</v>
      </c>
      <c r="E512" s="11" t="s">
        <v>149</v>
      </c>
      <c r="F512" s="11" t="s">
        <v>139</v>
      </c>
      <c r="G512" s="11" t="s">
        <v>41</v>
      </c>
      <c r="H512" s="11" t="s">
        <v>625</v>
      </c>
      <c r="I512" s="71">
        <v>57.0</v>
      </c>
      <c r="J512" s="11" t="s">
        <v>43</v>
      </c>
      <c r="K512" s="12"/>
      <c r="L512" s="24" t="s">
        <v>1465</v>
      </c>
      <c r="M512" s="11" t="s">
        <v>71</v>
      </c>
      <c r="N512" s="11" t="s">
        <v>96</v>
      </c>
      <c r="O512" s="11" t="s">
        <v>1463</v>
      </c>
      <c r="P512" s="174" t="s">
        <v>1466</v>
      </c>
      <c r="Q512" s="11" t="s">
        <v>1438</v>
      </c>
      <c r="R512" s="14"/>
      <c r="S512" s="14"/>
      <c r="T512" s="14"/>
      <c r="U512" s="14"/>
      <c r="V512" s="14"/>
      <c r="W512" s="14"/>
      <c r="X512" s="14"/>
      <c r="Y512" s="14"/>
      <c r="Z512" s="14"/>
      <c r="AA512" s="14"/>
      <c r="AB512" s="12"/>
      <c r="AC512" s="12"/>
      <c r="AD512" s="12"/>
      <c r="AE512" s="12"/>
      <c r="AF512" s="12"/>
      <c r="AG512" s="78">
        <v>45608.0</v>
      </c>
      <c r="AH512" s="12"/>
      <c r="AI512" s="12"/>
      <c r="AJ512" s="12"/>
      <c r="AK512" s="11" t="s">
        <v>1360</v>
      </c>
      <c r="AL512" s="12"/>
      <c r="AM512" s="12"/>
      <c r="AN512" s="11"/>
      <c r="AO512" s="12"/>
      <c r="AP512" s="140"/>
    </row>
    <row r="513">
      <c r="A513" s="11" t="s">
        <v>36</v>
      </c>
      <c r="B513" s="9">
        <v>45608.507345659724</v>
      </c>
      <c r="C513" s="10" t="s">
        <v>366</v>
      </c>
      <c r="D513" s="11" t="s">
        <v>142</v>
      </c>
      <c r="E513" s="11" t="s">
        <v>52</v>
      </c>
      <c r="F513" s="11" t="s">
        <v>65</v>
      </c>
      <c r="G513" s="11" t="s">
        <v>54</v>
      </c>
      <c r="H513" s="11" t="s">
        <v>625</v>
      </c>
      <c r="I513" s="11" t="s">
        <v>1467</v>
      </c>
      <c r="J513" s="11" t="s">
        <v>102</v>
      </c>
      <c r="K513" s="28" t="s">
        <v>1468</v>
      </c>
      <c r="L513" s="28" t="s">
        <v>1469</v>
      </c>
      <c r="M513" s="11" t="s">
        <v>71</v>
      </c>
      <c r="N513" s="11" t="s">
        <v>96</v>
      </c>
      <c r="O513" s="11" t="s">
        <v>1201</v>
      </c>
      <c r="P513" s="11" t="s">
        <v>1470</v>
      </c>
      <c r="Q513" s="11" t="s">
        <v>1471</v>
      </c>
      <c r="R513" s="14"/>
      <c r="S513" s="14"/>
      <c r="T513" s="14"/>
      <c r="U513" s="14"/>
      <c r="V513" s="14"/>
      <c r="W513" s="14"/>
      <c r="X513" s="14"/>
      <c r="Y513" s="14"/>
      <c r="Z513" s="14"/>
      <c r="AA513" s="14"/>
      <c r="AB513" s="12"/>
      <c r="AC513" s="12"/>
      <c r="AD513" s="12"/>
      <c r="AE513" s="12"/>
      <c r="AF513" s="12"/>
      <c r="AG513" s="78">
        <v>45608.0</v>
      </c>
      <c r="AH513" s="12"/>
      <c r="AI513" s="12"/>
      <c r="AJ513" s="12"/>
      <c r="AK513" s="11" t="s">
        <v>1360</v>
      </c>
      <c r="AL513" s="12"/>
      <c r="AM513" s="12"/>
      <c r="AN513" s="11"/>
      <c r="AO513" s="12"/>
      <c r="AP513" s="140"/>
    </row>
    <row r="514">
      <c r="A514" s="11" t="s">
        <v>36</v>
      </c>
      <c r="B514" s="9">
        <v>45611.258072557874</v>
      </c>
      <c r="C514" s="10" t="s">
        <v>37</v>
      </c>
      <c r="D514" s="11" t="s">
        <v>51</v>
      </c>
      <c r="E514" s="11" t="s">
        <v>52</v>
      </c>
      <c r="F514" s="11" t="s">
        <v>65</v>
      </c>
      <c r="G514" s="11" t="s">
        <v>41</v>
      </c>
      <c r="H514" s="11" t="s">
        <v>466</v>
      </c>
      <c r="I514" s="11" t="s">
        <v>1472</v>
      </c>
      <c r="J514" s="11" t="s">
        <v>128</v>
      </c>
      <c r="K514" s="12"/>
      <c r="L514" s="12"/>
      <c r="M514" s="11" t="s">
        <v>71</v>
      </c>
      <c r="N514" s="11" t="s">
        <v>68</v>
      </c>
      <c r="O514" s="11" t="s">
        <v>1473</v>
      </c>
      <c r="P514" s="11" t="s">
        <v>1414</v>
      </c>
      <c r="Q514" s="11" t="s">
        <v>1438</v>
      </c>
      <c r="R514" s="14"/>
      <c r="S514" s="14"/>
      <c r="T514" s="14"/>
      <c r="U514" s="14"/>
      <c r="V514" s="14"/>
      <c r="W514" s="14"/>
      <c r="X514" s="14"/>
      <c r="Y514" s="14"/>
      <c r="Z514" s="14"/>
      <c r="AA514" s="14"/>
      <c r="AB514" s="12"/>
      <c r="AC514" s="12"/>
      <c r="AD514" s="12"/>
      <c r="AE514" s="12"/>
      <c r="AF514" s="12"/>
      <c r="AG514" s="78">
        <v>45611.0</v>
      </c>
      <c r="AH514" s="12"/>
      <c r="AI514" s="12"/>
      <c r="AJ514" s="12"/>
      <c r="AK514" s="11" t="s">
        <v>1360</v>
      </c>
      <c r="AL514" s="12"/>
      <c r="AM514" s="12"/>
      <c r="AN514" s="11"/>
      <c r="AO514" s="12"/>
      <c r="AP514" s="140"/>
    </row>
    <row r="515">
      <c r="A515" s="11" t="s">
        <v>36</v>
      </c>
      <c r="B515" s="9">
        <v>45611.25904163194</v>
      </c>
      <c r="C515" s="10" t="s">
        <v>37</v>
      </c>
      <c r="D515" s="11" t="s">
        <v>51</v>
      </c>
      <c r="E515" s="11" t="s">
        <v>52</v>
      </c>
      <c r="F515" s="11" t="s">
        <v>65</v>
      </c>
      <c r="G515" s="11" t="s">
        <v>41</v>
      </c>
      <c r="H515" s="11" t="s">
        <v>625</v>
      </c>
      <c r="I515" s="11" t="s">
        <v>1474</v>
      </c>
      <c r="J515" s="11" t="s">
        <v>128</v>
      </c>
      <c r="K515" s="12"/>
      <c r="L515" s="28" t="s">
        <v>1475</v>
      </c>
      <c r="M515" s="11" t="s">
        <v>71</v>
      </c>
      <c r="N515" s="11" t="s">
        <v>68</v>
      </c>
      <c r="O515" s="11" t="s">
        <v>866</v>
      </c>
      <c r="P515" s="174" t="s">
        <v>1476</v>
      </c>
      <c r="Q515" s="11" t="s">
        <v>1471</v>
      </c>
      <c r="R515" s="14"/>
      <c r="S515" s="14"/>
      <c r="T515" s="14"/>
      <c r="U515" s="14"/>
      <c r="V515" s="14"/>
      <c r="W515" s="14"/>
      <c r="X515" s="14"/>
      <c r="Y515" s="14"/>
      <c r="Z515" s="14"/>
      <c r="AA515" s="14"/>
      <c r="AB515" s="12"/>
      <c r="AC515" s="12"/>
      <c r="AD515" s="12"/>
      <c r="AE515" s="12"/>
      <c r="AF515" s="12"/>
      <c r="AG515" s="78">
        <v>45611.0</v>
      </c>
      <c r="AH515" s="12"/>
      <c r="AI515" s="12"/>
      <c r="AJ515" s="12"/>
      <c r="AK515" s="11" t="s">
        <v>1360</v>
      </c>
      <c r="AL515" s="12"/>
      <c r="AM515" s="12"/>
      <c r="AN515" s="11"/>
      <c r="AO515" s="12"/>
      <c r="AP515" s="140"/>
    </row>
    <row r="516">
      <c r="A516" s="11" t="s">
        <v>36</v>
      </c>
      <c r="B516" s="9">
        <v>45614.45704166667</v>
      </c>
      <c r="C516" s="10" t="s">
        <v>150</v>
      </c>
      <c r="D516" s="11" t="s">
        <v>51</v>
      </c>
      <c r="E516" s="11" t="s">
        <v>52</v>
      </c>
      <c r="F516" s="11" t="s">
        <v>65</v>
      </c>
      <c r="G516" s="11" t="s">
        <v>54</v>
      </c>
      <c r="H516" s="11" t="s">
        <v>625</v>
      </c>
      <c r="I516" s="71">
        <v>175.0</v>
      </c>
      <c r="J516" s="11" t="s">
        <v>100</v>
      </c>
      <c r="K516" s="28" t="s">
        <v>1477</v>
      </c>
      <c r="L516" s="11" t="s">
        <v>1478</v>
      </c>
      <c r="M516" s="11" t="s">
        <v>71</v>
      </c>
      <c r="N516" s="11" t="s">
        <v>96</v>
      </c>
      <c r="O516" s="11" t="s">
        <v>842</v>
      </c>
      <c r="P516" s="174" t="s">
        <v>1479</v>
      </c>
      <c r="Q516" s="11" t="s">
        <v>1438</v>
      </c>
      <c r="R516" s="14"/>
      <c r="S516" s="14"/>
      <c r="T516" s="14"/>
      <c r="U516" s="14"/>
      <c r="V516" s="14"/>
      <c r="W516" s="14"/>
      <c r="X516" s="14"/>
      <c r="Y516" s="14"/>
      <c r="Z516" s="14"/>
      <c r="AA516" s="14"/>
      <c r="AB516" s="12"/>
      <c r="AC516" s="12"/>
      <c r="AD516" s="12"/>
      <c r="AE516" s="12"/>
      <c r="AF516" s="12"/>
      <c r="AG516" s="78">
        <v>45615.0</v>
      </c>
      <c r="AH516" s="12"/>
      <c r="AI516" s="12"/>
      <c r="AJ516" s="12"/>
      <c r="AK516" s="11" t="s">
        <v>1360</v>
      </c>
      <c r="AL516" s="12"/>
      <c r="AM516" s="12"/>
      <c r="AN516" s="11"/>
      <c r="AO516" s="12"/>
      <c r="AP516" s="140"/>
    </row>
    <row r="517">
      <c r="A517" s="11" t="s">
        <v>36</v>
      </c>
      <c r="B517" s="9">
        <v>45614.54283597222</v>
      </c>
      <c r="C517" s="10" t="s">
        <v>368</v>
      </c>
      <c r="D517" s="11" t="s">
        <v>142</v>
      </c>
      <c r="E517" s="11" t="s">
        <v>52</v>
      </c>
      <c r="F517" s="11" t="s">
        <v>40</v>
      </c>
      <c r="G517" s="11" t="s">
        <v>54</v>
      </c>
      <c r="H517" s="11" t="s">
        <v>625</v>
      </c>
      <c r="I517" s="11">
        <v>1080.0</v>
      </c>
      <c r="J517" s="11" t="s">
        <v>102</v>
      </c>
      <c r="K517" s="12"/>
      <c r="L517" s="24" t="s">
        <v>1480</v>
      </c>
      <c r="M517" s="11" t="s">
        <v>71</v>
      </c>
      <c r="N517" s="11" t="s">
        <v>96</v>
      </c>
      <c r="O517" s="11" t="s">
        <v>1327</v>
      </c>
      <c r="P517" s="11" t="s">
        <v>1481</v>
      </c>
      <c r="Q517" s="11" t="s">
        <v>1438</v>
      </c>
      <c r="R517" s="14"/>
      <c r="S517" s="14"/>
      <c r="T517" s="14"/>
      <c r="U517" s="14"/>
      <c r="V517" s="14"/>
      <c r="W517" s="14"/>
      <c r="X517" s="14"/>
      <c r="Y517" s="14"/>
      <c r="Z517" s="14"/>
      <c r="AA517" s="14"/>
      <c r="AB517" s="12"/>
      <c r="AC517" s="12"/>
      <c r="AD517" s="12"/>
      <c r="AE517" s="12"/>
      <c r="AF517" s="12"/>
      <c r="AG517" s="78">
        <v>45615.0</v>
      </c>
      <c r="AH517" s="12"/>
      <c r="AI517" s="12"/>
      <c r="AJ517" s="12"/>
      <c r="AK517" s="11" t="s">
        <v>1360</v>
      </c>
      <c r="AL517" s="12"/>
      <c r="AM517" s="12"/>
      <c r="AN517" s="11"/>
      <c r="AO517" s="12"/>
      <c r="AP517" s="140"/>
    </row>
    <row r="518">
      <c r="A518" s="11" t="s">
        <v>36</v>
      </c>
      <c r="B518" s="9">
        <v>45614.54775949074</v>
      </c>
      <c r="C518" s="10" t="s">
        <v>368</v>
      </c>
      <c r="D518" s="11" t="s">
        <v>142</v>
      </c>
      <c r="E518" s="11" t="s">
        <v>52</v>
      </c>
      <c r="F518" s="11" t="s">
        <v>40</v>
      </c>
      <c r="G518" s="11" t="s">
        <v>54</v>
      </c>
      <c r="H518" s="11" t="s">
        <v>625</v>
      </c>
      <c r="I518" s="71">
        <v>1080.0</v>
      </c>
      <c r="J518" s="11" t="s">
        <v>102</v>
      </c>
      <c r="K518" s="12"/>
      <c r="L518" s="24" t="s">
        <v>1482</v>
      </c>
      <c r="M518" s="11" t="s">
        <v>71</v>
      </c>
      <c r="N518" s="11" t="s">
        <v>96</v>
      </c>
      <c r="O518" s="11" t="s">
        <v>1327</v>
      </c>
      <c r="P518" s="11" t="s">
        <v>1483</v>
      </c>
      <c r="Q518" s="11" t="s">
        <v>1438</v>
      </c>
      <c r="R518" s="14"/>
      <c r="S518" s="14"/>
      <c r="T518" s="14"/>
      <c r="U518" s="14"/>
      <c r="V518" s="14"/>
      <c r="W518" s="14"/>
      <c r="X518" s="14"/>
      <c r="Y518" s="14"/>
      <c r="Z518" s="14"/>
      <c r="AA518" s="14"/>
      <c r="AB518" s="12"/>
      <c r="AC518" s="12"/>
      <c r="AD518" s="12"/>
      <c r="AE518" s="12"/>
      <c r="AF518" s="12"/>
      <c r="AG518" s="78">
        <v>45615.0</v>
      </c>
      <c r="AH518" s="12"/>
      <c r="AI518" s="12"/>
      <c r="AJ518" s="12"/>
      <c r="AK518" s="11" t="s">
        <v>1360</v>
      </c>
      <c r="AL518" s="12"/>
      <c r="AM518" s="12"/>
      <c r="AN518" s="11"/>
      <c r="AO518" s="12"/>
      <c r="AP518" s="140"/>
    </row>
    <row r="519">
      <c r="A519" s="11" t="s">
        <v>36</v>
      </c>
      <c r="B519" s="9">
        <v>45614.55065939815</v>
      </c>
      <c r="C519" s="10" t="s">
        <v>368</v>
      </c>
      <c r="D519" s="11" t="s">
        <v>142</v>
      </c>
      <c r="E519" s="11" t="s">
        <v>52</v>
      </c>
      <c r="F519" s="11" t="s">
        <v>40</v>
      </c>
      <c r="G519" s="11" t="s">
        <v>54</v>
      </c>
      <c r="H519" s="11" t="s">
        <v>625</v>
      </c>
      <c r="I519" s="71">
        <v>1080.0</v>
      </c>
      <c r="J519" s="11" t="s">
        <v>102</v>
      </c>
      <c r="K519" s="12"/>
      <c r="L519" s="24" t="s">
        <v>1484</v>
      </c>
      <c r="M519" s="11" t="s">
        <v>71</v>
      </c>
      <c r="N519" s="11" t="s">
        <v>96</v>
      </c>
      <c r="O519" s="11" t="s">
        <v>1327</v>
      </c>
      <c r="P519" s="11" t="s">
        <v>1485</v>
      </c>
      <c r="Q519" s="11" t="s">
        <v>1438</v>
      </c>
      <c r="R519" s="14"/>
      <c r="S519" s="14"/>
      <c r="T519" s="14"/>
      <c r="U519" s="14"/>
      <c r="V519" s="14"/>
      <c r="W519" s="14"/>
      <c r="X519" s="14"/>
      <c r="Y519" s="14"/>
      <c r="Z519" s="14"/>
      <c r="AA519" s="14"/>
      <c r="AB519" s="12"/>
      <c r="AC519" s="12"/>
      <c r="AD519" s="12"/>
      <c r="AE519" s="12"/>
      <c r="AF519" s="12"/>
      <c r="AG519" s="12"/>
      <c r="AH519" s="12"/>
      <c r="AI519" s="12"/>
      <c r="AJ519" s="12"/>
      <c r="AK519" s="12"/>
      <c r="AL519" s="12"/>
      <c r="AM519" s="12"/>
      <c r="AN519" s="11"/>
      <c r="AO519" s="12"/>
      <c r="AP519" s="140"/>
    </row>
    <row r="520">
      <c r="A520" s="11" t="s">
        <v>36</v>
      </c>
      <c r="B520" s="9">
        <v>45614.7594175</v>
      </c>
      <c r="C520" s="10" t="s">
        <v>148</v>
      </c>
      <c r="D520" s="11" t="s">
        <v>51</v>
      </c>
      <c r="E520" s="11" t="s">
        <v>149</v>
      </c>
      <c r="F520" s="11" t="s">
        <v>80</v>
      </c>
      <c r="G520" s="11" t="s">
        <v>41</v>
      </c>
      <c r="H520" s="11" t="s">
        <v>625</v>
      </c>
      <c r="I520" s="11">
        <v>1600.0</v>
      </c>
      <c r="J520" s="11" t="s">
        <v>100</v>
      </c>
      <c r="K520" s="12"/>
      <c r="L520" s="24" t="s">
        <v>1486</v>
      </c>
      <c r="M520" s="11" t="s">
        <v>71</v>
      </c>
      <c r="N520" s="11" t="s">
        <v>96</v>
      </c>
      <c r="O520" s="11" t="s">
        <v>1487</v>
      </c>
      <c r="P520" s="11" t="s">
        <v>1488</v>
      </c>
      <c r="Q520" s="11" t="s">
        <v>1471</v>
      </c>
      <c r="R520" s="14"/>
      <c r="S520" s="14"/>
      <c r="T520" s="14"/>
      <c r="U520" s="14"/>
      <c r="V520" s="14"/>
      <c r="W520" s="14"/>
      <c r="X520" s="14"/>
      <c r="Y520" s="14"/>
      <c r="Z520" s="14"/>
      <c r="AA520" s="14"/>
      <c r="AB520" s="12"/>
      <c r="AC520" s="12"/>
      <c r="AD520" s="12"/>
      <c r="AE520" s="12"/>
      <c r="AF520" s="12"/>
      <c r="AG520" s="78">
        <v>45616.0</v>
      </c>
      <c r="AH520" s="12"/>
      <c r="AI520" s="12"/>
      <c r="AJ520" s="12"/>
      <c r="AK520" s="11" t="s">
        <v>1360</v>
      </c>
      <c r="AL520" s="12"/>
      <c r="AM520" s="12"/>
      <c r="AN520" s="11"/>
      <c r="AO520" s="12"/>
      <c r="AP520" s="140"/>
    </row>
    <row r="521">
      <c r="A521" s="11" t="s">
        <v>36</v>
      </c>
      <c r="B521" s="9">
        <v>45615.51881841435</v>
      </c>
      <c r="C521" s="10" t="s">
        <v>1489</v>
      </c>
      <c r="D521" s="11" t="s">
        <v>51</v>
      </c>
      <c r="E521" s="11" t="s">
        <v>52</v>
      </c>
      <c r="F521" s="11" t="s">
        <v>65</v>
      </c>
      <c r="G521" s="11" t="s">
        <v>54</v>
      </c>
      <c r="H521" s="11" t="s">
        <v>607</v>
      </c>
      <c r="I521" s="71">
        <v>286.0</v>
      </c>
      <c r="J521" s="11" t="s">
        <v>100</v>
      </c>
      <c r="K521" s="28" t="s">
        <v>1490</v>
      </c>
      <c r="L521" s="11" t="s">
        <v>1491</v>
      </c>
      <c r="M521" s="11" t="s">
        <v>71</v>
      </c>
      <c r="N521" s="11" t="s">
        <v>96</v>
      </c>
      <c r="O521" s="11" t="s">
        <v>1492</v>
      </c>
      <c r="P521" s="174" t="s">
        <v>1493</v>
      </c>
      <c r="Q521" s="11" t="s">
        <v>1438</v>
      </c>
      <c r="R521" s="14"/>
      <c r="S521" s="14"/>
      <c r="T521" s="14"/>
      <c r="U521" s="14"/>
      <c r="V521" s="14"/>
      <c r="W521" s="14"/>
      <c r="X521" s="14"/>
      <c r="Y521" s="14"/>
      <c r="Z521" s="14"/>
      <c r="AA521" s="14"/>
      <c r="AB521" s="12"/>
      <c r="AC521" s="12"/>
      <c r="AD521" s="12"/>
      <c r="AE521" s="12"/>
      <c r="AF521" s="12"/>
      <c r="AG521" s="78">
        <v>45616.0</v>
      </c>
      <c r="AH521" s="12"/>
      <c r="AI521" s="12"/>
      <c r="AJ521" s="12"/>
      <c r="AK521" s="11" t="s">
        <v>1360</v>
      </c>
      <c r="AL521" s="12"/>
      <c r="AM521" s="12"/>
      <c r="AN521" s="11"/>
      <c r="AO521" s="12"/>
      <c r="AP521" s="140"/>
    </row>
    <row r="522">
      <c r="A522" s="187" t="s">
        <v>36</v>
      </c>
      <c r="B522" s="188">
        <v>45616.39200467593</v>
      </c>
      <c r="C522" s="189" t="s">
        <v>685</v>
      </c>
      <c r="D522" s="187" t="s">
        <v>156</v>
      </c>
      <c r="E522" s="187" t="s">
        <v>1494</v>
      </c>
      <c r="F522" s="187" t="s">
        <v>1495</v>
      </c>
      <c r="G522" s="187" t="s">
        <v>131</v>
      </c>
      <c r="H522" s="187" t="s">
        <v>625</v>
      </c>
      <c r="I522" s="187">
        <v>1894.0</v>
      </c>
      <c r="J522" s="187" t="s">
        <v>86</v>
      </c>
      <c r="K522" s="190"/>
      <c r="L522" s="191" t="s">
        <v>1496</v>
      </c>
      <c r="M522" s="187" t="s">
        <v>71</v>
      </c>
      <c r="N522" s="187" t="s">
        <v>96</v>
      </c>
      <c r="O522" s="187" t="s">
        <v>1497</v>
      </c>
      <c r="P522" s="187" t="s">
        <v>1498</v>
      </c>
      <c r="Q522" s="187" t="s">
        <v>1471</v>
      </c>
      <c r="R522" s="192"/>
      <c r="S522" s="192"/>
      <c r="T522" s="192"/>
      <c r="U522" s="192"/>
      <c r="V522" s="192"/>
      <c r="W522" s="192"/>
      <c r="X522" s="192"/>
      <c r="Y522" s="192"/>
      <c r="Z522" s="192"/>
      <c r="AA522" s="192"/>
      <c r="AB522" s="190"/>
      <c r="AC522" s="190"/>
      <c r="AD522" s="190"/>
      <c r="AE522" s="190"/>
      <c r="AF522" s="190"/>
      <c r="AG522" s="193">
        <v>45622.0</v>
      </c>
      <c r="AH522" s="193"/>
      <c r="AI522" s="190"/>
      <c r="AJ522" s="190"/>
      <c r="AK522" s="187" t="s">
        <v>1499</v>
      </c>
      <c r="AL522" s="190"/>
      <c r="AM522" s="190"/>
      <c r="AN522" s="187"/>
      <c r="AO522" s="190"/>
      <c r="AP522" s="194"/>
    </row>
    <row r="523">
      <c r="A523" s="11" t="s">
        <v>36</v>
      </c>
      <c r="B523" s="9">
        <v>45616.49044238426</v>
      </c>
      <c r="C523" s="10" t="s">
        <v>368</v>
      </c>
      <c r="D523" s="11" t="s">
        <v>142</v>
      </c>
      <c r="E523" s="11" t="s">
        <v>52</v>
      </c>
      <c r="F523" s="11" t="s">
        <v>40</v>
      </c>
      <c r="G523" s="11" t="s">
        <v>54</v>
      </c>
      <c r="H523" s="11" t="s">
        <v>625</v>
      </c>
      <c r="I523" s="11">
        <v>349.0</v>
      </c>
      <c r="J523" s="11" t="s">
        <v>102</v>
      </c>
      <c r="K523" s="12"/>
      <c r="L523" s="24" t="s">
        <v>1500</v>
      </c>
      <c r="M523" s="11" t="s">
        <v>71</v>
      </c>
      <c r="N523" s="11" t="s">
        <v>96</v>
      </c>
      <c r="O523" s="11" t="s">
        <v>1501</v>
      </c>
      <c r="P523" s="11" t="s">
        <v>1502</v>
      </c>
      <c r="Q523" s="11" t="s">
        <v>1438</v>
      </c>
      <c r="R523" s="14"/>
      <c r="S523" s="14"/>
      <c r="T523" s="14"/>
      <c r="U523" s="14"/>
      <c r="V523" s="14"/>
      <c r="W523" s="14"/>
      <c r="X523" s="14"/>
      <c r="Y523" s="14"/>
      <c r="Z523" s="14"/>
      <c r="AA523" s="14"/>
      <c r="AB523" s="12"/>
      <c r="AC523" s="12"/>
      <c r="AD523" s="12"/>
      <c r="AE523" s="12"/>
      <c r="AF523" s="12"/>
      <c r="AG523" s="78">
        <v>45616.0</v>
      </c>
      <c r="AH523" s="78"/>
      <c r="AI523" s="12"/>
      <c r="AJ523" s="12"/>
      <c r="AK523" s="11" t="s">
        <v>1360</v>
      </c>
      <c r="AL523" s="12"/>
      <c r="AM523" s="12"/>
      <c r="AN523" s="11"/>
      <c r="AO523" s="12"/>
      <c r="AP523" s="140"/>
    </row>
    <row r="524">
      <c r="A524" s="11" t="s">
        <v>36</v>
      </c>
      <c r="B524" s="9">
        <v>45616.509463078706</v>
      </c>
      <c r="C524" s="10" t="s">
        <v>1503</v>
      </c>
      <c r="D524" s="11" t="s">
        <v>51</v>
      </c>
      <c r="E524" s="11" t="s">
        <v>52</v>
      </c>
      <c r="F524" s="11" t="s">
        <v>40</v>
      </c>
      <c r="G524" s="11" t="s">
        <v>54</v>
      </c>
      <c r="H524" s="11" t="s">
        <v>625</v>
      </c>
      <c r="I524" s="71">
        <v>450.0</v>
      </c>
      <c r="J524" s="11" t="s">
        <v>102</v>
      </c>
      <c r="K524" s="12"/>
      <c r="L524" s="24" t="s">
        <v>1504</v>
      </c>
      <c r="M524" s="11" t="s">
        <v>71</v>
      </c>
      <c r="N524" s="11" t="s">
        <v>96</v>
      </c>
      <c r="O524" s="11" t="s">
        <v>1505</v>
      </c>
      <c r="P524" s="11" t="s">
        <v>1506</v>
      </c>
      <c r="Q524" s="11" t="s">
        <v>1438</v>
      </c>
      <c r="R524" s="14"/>
      <c r="S524" s="14"/>
      <c r="T524" s="14"/>
      <c r="U524" s="14"/>
      <c r="V524" s="14"/>
      <c r="W524" s="14"/>
      <c r="X524" s="14"/>
      <c r="Y524" s="14"/>
      <c r="Z524" s="14"/>
      <c r="AA524" s="14"/>
      <c r="AB524" s="12"/>
      <c r="AC524" s="12"/>
      <c r="AD524" s="12"/>
      <c r="AE524" s="12"/>
      <c r="AF524" s="12"/>
      <c r="AG524" s="78">
        <v>45616.0</v>
      </c>
      <c r="AH524" s="78"/>
      <c r="AI524" s="12"/>
      <c r="AJ524" s="12"/>
      <c r="AK524" s="11" t="s">
        <v>1360</v>
      </c>
      <c r="AL524" s="12"/>
      <c r="AM524" s="12"/>
      <c r="AN524" s="11"/>
      <c r="AO524" s="12"/>
      <c r="AP524" s="140"/>
    </row>
    <row r="525">
      <c r="A525" s="11" t="s">
        <v>36</v>
      </c>
      <c r="B525" s="9">
        <v>45616.667883449074</v>
      </c>
      <c r="C525" s="10" t="s">
        <v>368</v>
      </c>
      <c r="D525" s="11" t="s">
        <v>142</v>
      </c>
      <c r="E525" s="11" t="s">
        <v>52</v>
      </c>
      <c r="F525" s="11" t="s">
        <v>40</v>
      </c>
      <c r="G525" s="11" t="s">
        <v>54</v>
      </c>
      <c r="H525" s="11" t="s">
        <v>625</v>
      </c>
      <c r="I525" s="11">
        <v>82.45</v>
      </c>
      <c r="J525" s="11" t="s">
        <v>102</v>
      </c>
      <c r="K525" s="12"/>
      <c r="L525" s="24" t="s">
        <v>1507</v>
      </c>
      <c r="M525" s="11" t="s">
        <v>71</v>
      </c>
      <c r="N525" s="11" t="s">
        <v>96</v>
      </c>
      <c r="O525" s="11" t="s">
        <v>1508</v>
      </c>
      <c r="P525" s="174" t="s">
        <v>1509</v>
      </c>
      <c r="Q525" s="11" t="s">
        <v>1438</v>
      </c>
      <c r="R525" s="14"/>
      <c r="S525" s="14"/>
      <c r="T525" s="14"/>
      <c r="U525" s="14"/>
      <c r="V525" s="14"/>
      <c r="W525" s="14"/>
      <c r="X525" s="14"/>
      <c r="Y525" s="14"/>
      <c r="Z525" s="14"/>
      <c r="AA525" s="14"/>
      <c r="AB525" s="12"/>
      <c r="AC525" s="12"/>
      <c r="AD525" s="12"/>
      <c r="AE525" s="12"/>
      <c r="AF525" s="12"/>
      <c r="AG525" s="78">
        <v>45622.0</v>
      </c>
      <c r="AH525" s="78"/>
      <c r="AI525" s="12"/>
      <c r="AJ525" s="12"/>
      <c r="AK525" s="11" t="s">
        <v>1360</v>
      </c>
      <c r="AL525" s="12"/>
      <c r="AM525" s="12"/>
      <c r="AN525" s="11"/>
      <c r="AO525" s="12"/>
      <c r="AP525" s="140"/>
    </row>
    <row r="526">
      <c r="A526" s="11" t="s">
        <v>36</v>
      </c>
      <c r="B526" s="9">
        <v>45617.44823285879</v>
      </c>
      <c r="C526" s="10" t="s">
        <v>240</v>
      </c>
      <c r="D526" s="11" t="s">
        <v>142</v>
      </c>
      <c r="E526" s="11" t="s">
        <v>241</v>
      </c>
      <c r="F526" s="11" t="s">
        <v>139</v>
      </c>
      <c r="G526" s="11" t="s">
        <v>54</v>
      </c>
      <c r="H526" s="11" t="s">
        <v>625</v>
      </c>
      <c r="I526" s="77">
        <v>6480.0</v>
      </c>
      <c r="J526" s="11" t="s">
        <v>102</v>
      </c>
      <c r="K526" s="12"/>
      <c r="L526" s="28" t="s">
        <v>1510</v>
      </c>
      <c r="M526" s="11" t="s">
        <v>71</v>
      </c>
      <c r="N526" s="11" t="s">
        <v>96</v>
      </c>
      <c r="O526" s="11" t="s">
        <v>1511</v>
      </c>
      <c r="P526" s="28" t="s">
        <v>1510</v>
      </c>
      <c r="Q526" s="11" t="s">
        <v>1438</v>
      </c>
      <c r="R526" s="14"/>
      <c r="S526" s="14"/>
      <c r="T526" s="14"/>
      <c r="U526" s="14"/>
      <c r="V526" s="14"/>
      <c r="W526" s="14"/>
      <c r="X526" s="14"/>
      <c r="Y526" s="14"/>
      <c r="Z526" s="14"/>
      <c r="AA526" s="14"/>
      <c r="AB526" s="12"/>
      <c r="AC526" s="12"/>
      <c r="AD526" s="12"/>
      <c r="AE526" s="12"/>
      <c r="AF526" s="12"/>
      <c r="AG526" s="78">
        <v>45622.0</v>
      </c>
      <c r="AH526" s="78"/>
      <c r="AI526" s="12"/>
      <c r="AJ526" s="12"/>
      <c r="AK526" s="11" t="s">
        <v>1360</v>
      </c>
      <c r="AL526" s="12"/>
      <c r="AM526" s="12"/>
      <c r="AN526" s="11"/>
      <c r="AO526" s="12"/>
      <c r="AP526" s="140"/>
    </row>
    <row r="527">
      <c r="A527" s="11" t="s">
        <v>36</v>
      </c>
      <c r="B527" s="9">
        <v>45617.56330836806</v>
      </c>
      <c r="C527" s="10" t="s">
        <v>368</v>
      </c>
      <c r="D527" s="11" t="s">
        <v>142</v>
      </c>
      <c r="E527" s="11" t="s">
        <v>52</v>
      </c>
      <c r="F527" s="11" t="s">
        <v>40</v>
      </c>
      <c r="G527" s="11" t="s">
        <v>54</v>
      </c>
      <c r="H527" s="11" t="s">
        <v>625</v>
      </c>
      <c r="I527" s="11">
        <v>3240.0</v>
      </c>
      <c r="J527" s="11" t="s">
        <v>102</v>
      </c>
      <c r="K527" s="12"/>
      <c r="L527" s="24" t="s">
        <v>1512</v>
      </c>
      <c r="M527" s="11" t="s">
        <v>71</v>
      </c>
      <c r="N527" s="11" t="s">
        <v>96</v>
      </c>
      <c r="O527" s="11" t="s">
        <v>1501</v>
      </c>
      <c r="P527" s="11" t="s">
        <v>1513</v>
      </c>
      <c r="Q527" s="11" t="s">
        <v>1438</v>
      </c>
      <c r="R527" s="14"/>
      <c r="S527" s="14"/>
      <c r="T527" s="14"/>
      <c r="U527" s="14"/>
      <c r="V527" s="14"/>
      <c r="W527" s="14"/>
      <c r="X527" s="14"/>
      <c r="Y527" s="14"/>
      <c r="Z527" s="14"/>
      <c r="AA527" s="14"/>
      <c r="AB527" s="12"/>
      <c r="AC527" s="12"/>
      <c r="AD527" s="12"/>
      <c r="AE527" s="12"/>
      <c r="AF527" s="12"/>
      <c r="AG527" s="78">
        <v>45622.0</v>
      </c>
      <c r="AH527" s="78"/>
      <c r="AI527" s="12"/>
      <c r="AJ527" s="12"/>
      <c r="AK527" s="11" t="s">
        <v>1360</v>
      </c>
      <c r="AL527" s="12"/>
      <c r="AM527" s="12"/>
      <c r="AN527" s="11"/>
      <c r="AO527" s="12"/>
      <c r="AP527" s="140"/>
    </row>
    <row r="528">
      <c r="A528" s="11" t="s">
        <v>36</v>
      </c>
      <c r="B528" s="9">
        <v>45618.5868328125</v>
      </c>
      <c r="C528" s="10" t="s">
        <v>245</v>
      </c>
      <c r="D528" s="11" t="s">
        <v>142</v>
      </c>
      <c r="E528" s="11" t="s">
        <v>52</v>
      </c>
      <c r="F528" s="11" t="s">
        <v>65</v>
      </c>
      <c r="G528" s="11" t="s">
        <v>54</v>
      </c>
      <c r="H528" s="11" t="s">
        <v>625</v>
      </c>
      <c r="I528" s="71">
        <v>6480.0</v>
      </c>
      <c r="J528" s="11" t="s">
        <v>102</v>
      </c>
      <c r="K528" s="28" t="s">
        <v>1514</v>
      </c>
      <c r="L528" s="11" t="s">
        <v>1515</v>
      </c>
      <c r="M528" s="11" t="s">
        <v>71</v>
      </c>
      <c r="N528" s="11" t="s">
        <v>96</v>
      </c>
      <c r="O528" s="11" t="s">
        <v>1115</v>
      </c>
      <c r="P528" s="11" t="s">
        <v>1516</v>
      </c>
      <c r="Q528" s="11" t="s">
        <v>1438</v>
      </c>
      <c r="R528" s="14"/>
      <c r="S528" s="14"/>
      <c r="T528" s="14"/>
      <c r="U528" s="14"/>
      <c r="V528" s="14"/>
      <c r="W528" s="14"/>
      <c r="X528" s="14"/>
      <c r="Y528" s="14"/>
      <c r="Z528" s="14"/>
      <c r="AA528" s="14"/>
      <c r="AB528" s="12"/>
      <c r="AC528" s="12"/>
      <c r="AD528" s="12"/>
      <c r="AE528" s="12"/>
      <c r="AF528" s="12"/>
      <c r="AG528" s="78">
        <v>45628.0</v>
      </c>
      <c r="AH528" s="78"/>
      <c r="AI528" s="12"/>
      <c r="AJ528" s="12"/>
      <c r="AK528" s="11" t="s">
        <v>1360</v>
      </c>
      <c r="AL528" s="12"/>
      <c r="AM528" s="12"/>
      <c r="AN528" s="11"/>
      <c r="AO528" s="12"/>
      <c r="AP528" s="140"/>
    </row>
    <row r="529">
      <c r="A529" s="11" t="s">
        <v>36</v>
      </c>
      <c r="B529" s="9">
        <v>45620.89046769676</v>
      </c>
      <c r="C529" s="10" t="s">
        <v>385</v>
      </c>
      <c r="D529" s="11" t="s">
        <v>109</v>
      </c>
      <c r="E529" s="11" t="s">
        <v>52</v>
      </c>
      <c r="F529" s="11" t="s">
        <v>65</v>
      </c>
      <c r="G529" s="11" t="s">
        <v>54</v>
      </c>
      <c r="H529" s="11" t="s">
        <v>607</v>
      </c>
      <c r="I529" s="11" t="s">
        <v>1517</v>
      </c>
      <c r="J529" s="11" t="s">
        <v>102</v>
      </c>
      <c r="K529" s="24" t="s">
        <v>1518</v>
      </c>
      <c r="L529" s="11" t="s">
        <v>1519</v>
      </c>
      <c r="M529" s="11" t="s">
        <v>71</v>
      </c>
      <c r="N529" s="11" t="s">
        <v>96</v>
      </c>
      <c r="O529" s="11" t="s">
        <v>1059</v>
      </c>
      <c r="P529" s="174" t="s">
        <v>1520</v>
      </c>
      <c r="Q529" s="11" t="s">
        <v>1438</v>
      </c>
      <c r="R529" s="14"/>
      <c r="S529" s="14"/>
      <c r="T529" s="14"/>
      <c r="U529" s="14"/>
      <c r="V529" s="14"/>
      <c r="W529" s="14"/>
      <c r="X529" s="14"/>
      <c r="Y529" s="14"/>
      <c r="Z529" s="14"/>
      <c r="AA529" s="14"/>
      <c r="AB529" s="12"/>
      <c r="AC529" s="12"/>
      <c r="AD529" s="12"/>
      <c r="AE529" s="12"/>
      <c r="AF529" s="12"/>
      <c r="AG529" s="78">
        <v>45628.0</v>
      </c>
      <c r="AH529" s="78"/>
      <c r="AI529" s="12"/>
      <c r="AJ529" s="12"/>
      <c r="AK529" s="12"/>
      <c r="AL529" s="12"/>
      <c r="AM529" s="12"/>
      <c r="AN529" s="11"/>
      <c r="AO529" s="12"/>
      <c r="AP529" s="140"/>
    </row>
    <row r="530">
      <c r="A530" s="11" t="s">
        <v>36</v>
      </c>
      <c r="B530" s="9">
        <v>45621.635517372684</v>
      </c>
      <c r="C530" s="10" t="s">
        <v>123</v>
      </c>
      <c r="D530" s="11" t="s">
        <v>124</v>
      </c>
      <c r="E530" s="11" t="s">
        <v>52</v>
      </c>
      <c r="F530" s="11" t="s">
        <v>65</v>
      </c>
      <c r="G530" s="11" t="s">
        <v>54</v>
      </c>
      <c r="H530" s="11" t="s">
        <v>625</v>
      </c>
      <c r="I530" s="11">
        <v>79.99</v>
      </c>
      <c r="J530" s="11" t="s">
        <v>82</v>
      </c>
      <c r="K530" s="12"/>
      <c r="L530" s="11" t="s">
        <v>1521</v>
      </c>
      <c r="M530" s="11" t="s">
        <v>71</v>
      </c>
      <c r="N530" s="11" t="s">
        <v>68</v>
      </c>
      <c r="O530" s="11" t="s">
        <v>1522</v>
      </c>
      <c r="P530" s="11" t="s">
        <v>1523</v>
      </c>
      <c r="Q530" s="11" t="s">
        <v>1438</v>
      </c>
      <c r="R530" s="14"/>
      <c r="S530" s="14"/>
      <c r="T530" s="14"/>
      <c r="U530" s="14"/>
      <c r="V530" s="14"/>
      <c r="W530" s="14"/>
      <c r="X530" s="14"/>
      <c r="Y530" s="14"/>
      <c r="Z530" s="14"/>
      <c r="AA530" s="14"/>
      <c r="AB530" s="12"/>
      <c r="AC530" s="12"/>
      <c r="AD530" s="12"/>
      <c r="AE530" s="12"/>
      <c r="AF530" s="12"/>
      <c r="AG530" s="78">
        <v>45628.0</v>
      </c>
      <c r="AH530" s="78"/>
      <c r="AI530" s="12"/>
      <c r="AJ530" s="12"/>
      <c r="AK530" s="12"/>
      <c r="AL530" s="12"/>
      <c r="AM530" s="12"/>
      <c r="AN530" s="11"/>
      <c r="AO530" s="12"/>
      <c r="AP530" s="140"/>
    </row>
    <row r="531">
      <c r="A531" s="11" t="s">
        <v>36</v>
      </c>
      <c r="B531" s="9">
        <v>45622.47198219907</v>
      </c>
      <c r="C531" s="10" t="s">
        <v>482</v>
      </c>
      <c r="D531" s="11" t="s">
        <v>389</v>
      </c>
      <c r="E531" s="11" t="s">
        <v>138</v>
      </c>
      <c r="F531" s="11" t="s">
        <v>65</v>
      </c>
      <c r="G531" s="11" t="s">
        <v>131</v>
      </c>
      <c r="H531" s="11" t="s">
        <v>625</v>
      </c>
      <c r="I531" s="11">
        <v>89.99</v>
      </c>
      <c r="J531" s="11" t="s">
        <v>967</v>
      </c>
      <c r="K531" s="12"/>
      <c r="L531" s="24" t="s">
        <v>1524</v>
      </c>
      <c r="M531" s="11" t="s">
        <v>71</v>
      </c>
      <c r="N531" s="11" t="s">
        <v>96</v>
      </c>
      <c r="O531" s="11" t="s">
        <v>1294</v>
      </c>
      <c r="P531" s="174" t="s">
        <v>1525</v>
      </c>
      <c r="Q531" s="11" t="s">
        <v>1438</v>
      </c>
      <c r="R531" s="14"/>
      <c r="S531" s="14"/>
      <c r="T531" s="14"/>
      <c r="U531" s="14"/>
      <c r="V531" s="14"/>
      <c r="W531" s="14"/>
      <c r="X531" s="14"/>
      <c r="Y531" s="14"/>
      <c r="Z531" s="14"/>
      <c r="AA531" s="14"/>
      <c r="AB531" s="12"/>
      <c r="AC531" s="12"/>
      <c r="AD531" s="12"/>
      <c r="AE531" s="12"/>
      <c r="AF531" s="12"/>
      <c r="AG531" s="78">
        <v>45628.0</v>
      </c>
      <c r="AH531" s="78"/>
      <c r="AI531" s="12"/>
      <c r="AJ531" s="12"/>
      <c r="AK531" s="11" t="s">
        <v>1526</v>
      </c>
      <c r="AL531" s="12"/>
      <c r="AM531" s="12"/>
      <c r="AN531" s="11"/>
      <c r="AO531" s="12"/>
      <c r="AP531" s="140"/>
    </row>
    <row r="532" ht="99.0" customHeight="1">
      <c r="A532" s="20" t="s">
        <v>36</v>
      </c>
      <c r="B532" s="18">
        <v>45622.47267361111</v>
      </c>
      <c r="C532" s="19" t="s">
        <v>1527</v>
      </c>
      <c r="D532" s="21"/>
      <c r="E532" s="21"/>
      <c r="F532" s="21"/>
      <c r="G532" s="21"/>
      <c r="H532" s="20" t="s">
        <v>277</v>
      </c>
      <c r="I532" s="20">
        <v>175.0</v>
      </c>
      <c r="J532" s="20" t="s">
        <v>446</v>
      </c>
      <c r="K532" s="21"/>
      <c r="L532" s="20" t="s">
        <v>1528</v>
      </c>
      <c r="M532" s="20" t="s">
        <v>71</v>
      </c>
      <c r="N532" s="21"/>
      <c r="O532" s="21"/>
      <c r="P532" s="195" t="s">
        <v>1525</v>
      </c>
      <c r="Q532" s="21"/>
      <c r="R532" s="21"/>
      <c r="S532" s="21"/>
      <c r="T532" s="21"/>
      <c r="U532" s="21"/>
      <c r="V532" s="21"/>
      <c r="W532" s="21"/>
      <c r="X532" s="21"/>
      <c r="Y532" s="21"/>
      <c r="Z532" s="21"/>
      <c r="AA532" s="21"/>
      <c r="AB532" s="21"/>
      <c r="AC532" s="21"/>
      <c r="AD532" s="21"/>
      <c r="AE532" s="21"/>
      <c r="AF532" s="21"/>
      <c r="AG532" s="195" t="s">
        <v>1525</v>
      </c>
      <c r="AH532" s="21"/>
      <c r="AI532" s="196"/>
      <c r="AJ532" s="21"/>
      <c r="AK532" s="20" t="s">
        <v>1360</v>
      </c>
      <c r="AL532" s="21"/>
      <c r="AM532" s="197"/>
      <c r="AN532" s="20"/>
      <c r="AO532" s="197"/>
      <c r="AP532" s="197"/>
    </row>
    <row r="533">
      <c r="A533" s="11" t="s">
        <v>36</v>
      </c>
      <c r="B533" s="9">
        <v>45622.86579884259</v>
      </c>
      <c r="C533" s="10" t="s">
        <v>308</v>
      </c>
      <c r="D533" s="11" t="s">
        <v>51</v>
      </c>
      <c r="E533" s="11" t="s">
        <v>138</v>
      </c>
      <c r="F533" s="11" t="s">
        <v>139</v>
      </c>
      <c r="G533" s="11" t="s">
        <v>54</v>
      </c>
      <c r="H533" s="11" t="s">
        <v>625</v>
      </c>
      <c r="I533" s="71">
        <v>294.0</v>
      </c>
      <c r="J533" s="11" t="s">
        <v>100</v>
      </c>
      <c r="K533" s="12"/>
      <c r="L533" s="24" t="s">
        <v>1529</v>
      </c>
      <c r="M533" s="11" t="s">
        <v>71</v>
      </c>
      <c r="N533" s="11" t="s">
        <v>96</v>
      </c>
      <c r="O533" s="11" t="s">
        <v>1530</v>
      </c>
      <c r="P533" s="11" t="s">
        <v>1531</v>
      </c>
      <c r="Q533" s="11" t="s">
        <v>1471</v>
      </c>
      <c r="R533" s="14"/>
      <c r="S533" s="14"/>
      <c r="T533" s="14"/>
      <c r="U533" s="14"/>
      <c r="V533" s="14"/>
      <c r="W533" s="14"/>
      <c r="X533" s="14"/>
      <c r="Y533" s="14"/>
      <c r="Z533" s="14"/>
      <c r="AA533" s="14"/>
      <c r="AB533" s="12"/>
      <c r="AC533" s="12"/>
      <c r="AD533" s="12"/>
      <c r="AE533" s="12"/>
      <c r="AF533" s="12"/>
      <c r="AG533" s="78">
        <v>45631.0</v>
      </c>
      <c r="AH533" s="12"/>
      <c r="AI533" s="12"/>
      <c r="AJ533" s="12"/>
      <c r="AK533" s="11" t="s">
        <v>1360</v>
      </c>
      <c r="AL533" s="12"/>
      <c r="AM533" s="12"/>
      <c r="AN533" s="11"/>
      <c r="AO533" s="12"/>
      <c r="AP533" s="140"/>
    </row>
    <row r="534">
      <c r="A534" s="11" t="s">
        <v>36</v>
      </c>
      <c r="B534" s="9">
        <v>45623.31384628473</v>
      </c>
      <c r="C534" s="10" t="s">
        <v>1532</v>
      </c>
      <c r="D534" s="11" t="s">
        <v>51</v>
      </c>
      <c r="E534" s="11" t="s">
        <v>52</v>
      </c>
      <c r="F534" s="11" t="s">
        <v>1533</v>
      </c>
      <c r="G534" s="11" t="s">
        <v>54</v>
      </c>
      <c r="H534" s="11" t="s">
        <v>625</v>
      </c>
      <c r="I534" s="77">
        <v>249.99</v>
      </c>
      <c r="J534" s="11" t="s">
        <v>90</v>
      </c>
      <c r="K534" s="28" t="s">
        <v>1534</v>
      </c>
      <c r="L534" s="11" t="s">
        <v>1535</v>
      </c>
      <c r="M534" s="11" t="s">
        <v>71</v>
      </c>
      <c r="N534" s="11" t="s">
        <v>96</v>
      </c>
      <c r="O534" s="11" t="s">
        <v>1536</v>
      </c>
      <c r="P534" s="174" t="s">
        <v>1537</v>
      </c>
      <c r="Q534" s="11" t="s">
        <v>1438</v>
      </c>
      <c r="R534" s="14"/>
      <c r="S534" s="14"/>
      <c r="T534" s="14"/>
      <c r="U534" s="14"/>
      <c r="V534" s="14"/>
      <c r="W534" s="14"/>
      <c r="X534" s="14"/>
      <c r="Y534" s="14"/>
      <c r="Z534" s="14"/>
      <c r="AA534" s="14"/>
      <c r="AB534" s="12"/>
      <c r="AC534" s="12"/>
      <c r="AD534" s="12"/>
      <c r="AE534" s="12"/>
      <c r="AF534" s="12"/>
      <c r="AG534" s="78">
        <v>45631.0</v>
      </c>
      <c r="AH534" s="12"/>
      <c r="AI534" s="12"/>
      <c r="AJ534" s="12"/>
      <c r="AK534" s="162" t="s">
        <v>1538</v>
      </c>
      <c r="AL534" s="12"/>
      <c r="AM534" s="12"/>
      <c r="AN534" s="11"/>
      <c r="AO534" s="12"/>
      <c r="AP534" s="140"/>
    </row>
    <row r="535">
      <c r="A535" s="11" t="s">
        <v>36</v>
      </c>
      <c r="B535" s="9">
        <v>45623.61630011574</v>
      </c>
      <c r="C535" s="10" t="s">
        <v>1539</v>
      </c>
      <c r="D535" s="11" t="s">
        <v>51</v>
      </c>
      <c r="E535" s="11" t="s">
        <v>52</v>
      </c>
      <c r="F535" s="11" t="s">
        <v>65</v>
      </c>
      <c r="G535" s="11" t="s">
        <v>131</v>
      </c>
      <c r="H535" s="11" t="s">
        <v>625</v>
      </c>
      <c r="I535" s="11">
        <v>299.0</v>
      </c>
      <c r="J535" s="11" t="s">
        <v>538</v>
      </c>
      <c r="K535" s="12"/>
      <c r="L535" s="24" t="s">
        <v>1540</v>
      </c>
      <c r="M535" s="11" t="s">
        <v>71</v>
      </c>
      <c r="N535" s="11" t="s">
        <v>96</v>
      </c>
      <c r="O535" s="11" t="s">
        <v>1541</v>
      </c>
      <c r="P535" s="11" t="s">
        <v>1542</v>
      </c>
      <c r="Q535" s="11" t="s">
        <v>1438</v>
      </c>
      <c r="R535" s="14"/>
      <c r="S535" s="14"/>
      <c r="T535" s="14"/>
      <c r="U535" s="14"/>
      <c r="V535" s="14"/>
      <c r="W535" s="14"/>
      <c r="X535" s="14"/>
      <c r="Y535" s="14"/>
      <c r="Z535" s="14"/>
      <c r="AA535" s="14"/>
      <c r="AB535" s="12"/>
      <c r="AC535" s="12"/>
      <c r="AD535" s="12"/>
      <c r="AE535" s="12"/>
      <c r="AF535" s="12"/>
      <c r="AG535" s="78">
        <v>45631.0</v>
      </c>
      <c r="AH535" s="12"/>
      <c r="AI535" s="12"/>
      <c r="AJ535" s="12"/>
      <c r="AK535" s="11" t="s">
        <v>1360</v>
      </c>
      <c r="AL535" s="12"/>
      <c r="AM535" s="12"/>
      <c r="AN535" s="11"/>
      <c r="AO535" s="12"/>
      <c r="AP535" s="140"/>
    </row>
    <row r="536" ht="52.5" customHeight="1">
      <c r="A536" s="198" t="s">
        <v>36</v>
      </c>
      <c r="B536" s="199">
        <v>45624.58198584491</v>
      </c>
      <c r="C536" s="200" t="s">
        <v>715</v>
      </c>
      <c r="D536" s="201" t="s">
        <v>51</v>
      </c>
      <c r="E536" s="201" t="s">
        <v>52</v>
      </c>
      <c r="F536" s="201" t="s">
        <v>40</v>
      </c>
      <c r="G536" s="201" t="s">
        <v>54</v>
      </c>
      <c r="H536" s="202" t="s">
        <v>679</v>
      </c>
      <c r="I536" s="201" t="s">
        <v>1543</v>
      </c>
      <c r="J536" s="201" t="s">
        <v>100</v>
      </c>
      <c r="K536" s="203"/>
      <c r="L536" s="201" t="s">
        <v>1544</v>
      </c>
      <c r="M536" s="201" t="s">
        <v>71</v>
      </c>
      <c r="N536" s="201" t="s">
        <v>96</v>
      </c>
      <c r="O536" s="201" t="s">
        <v>1545</v>
      </c>
      <c r="P536" s="201" t="s">
        <v>1546</v>
      </c>
      <c r="Q536" s="201" t="s">
        <v>1438</v>
      </c>
      <c r="R536" s="203"/>
      <c r="S536" s="203"/>
      <c r="T536" s="203"/>
      <c r="U536" s="204"/>
      <c r="V536" s="204"/>
      <c r="W536" s="204"/>
      <c r="X536" s="204"/>
      <c r="Y536" s="204"/>
      <c r="Z536" s="204"/>
      <c r="AA536" s="204"/>
      <c r="AB536" s="204"/>
      <c r="AC536" s="204"/>
      <c r="AD536" s="204"/>
      <c r="AE536" s="204"/>
      <c r="AF536" s="204"/>
      <c r="AG536" s="78">
        <v>45631.0</v>
      </c>
      <c r="AH536" s="204"/>
      <c r="AI536" s="204"/>
      <c r="AJ536" s="204"/>
      <c r="AK536" s="11" t="s">
        <v>1360</v>
      </c>
      <c r="AL536" s="204"/>
      <c r="AM536" s="204"/>
      <c r="AN536" s="201"/>
      <c r="AO536" s="204"/>
      <c r="AP536" s="15" t="s">
        <v>58</v>
      </c>
    </row>
    <row r="537" ht="52.5" customHeight="1">
      <c r="A537" s="11" t="s">
        <v>36</v>
      </c>
      <c r="B537" s="9">
        <v>45629.52956434028</v>
      </c>
      <c r="C537" s="10" t="s">
        <v>1547</v>
      </c>
      <c r="D537" s="11" t="s">
        <v>51</v>
      </c>
      <c r="E537" s="11" t="s">
        <v>52</v>
      </c>
      <c r="F537" s="11" t="s">
        <v>65</v>
      </c>
      <c r="G537" s="11" t="s">
        <v>54</v>
      </c>
      <c r="H537" s="11" t="s">
        <v>625</v>
      </c>
      <c r="I537" s="11">
        <v>95.0</v>
      </c>
      <c r="J537" s="11" t="s">
        <v>100</v>
      </c>
      <c r="K537" s="205" t="s">
        <v>1548</v>
      </c>
      <c r="L537" s="24" t="s">
        <v>1549</v>
      </c>
      <c r="M537" s="11" t="s">
        <v>71</v>
      </c>
      <c r="N537" s="11" t="s">
        <v>96</v>
      </c>
      <c r="O537" s="11" t="s">
        <v>1550</v>
      </c>
      <c r="P537" s="11" t="s">
        <v>1551</v>
      </c>
      <c r="Q537" s="11" t="s">
        <v>1438</v>
      </c>
      <c r="R537" s="11" t="s">
        <v>1552</v>
      </c>
      <c r="S537" s="11" t="s">
        <v>71</v>
      </c>
      <c r="T537" s="11" t="s">
        <v>1553</v>
      </c>
      <c r="U537" s="14"/>
      <c r="V537" s="14"/>
      <c r="W537" s="14"/>
      <c r="X537" s="14"/>
      <c r="Y537" s="14"/>
      <c r="Z537" s="14"/>
      <c r="AA537" s="14"/>
      <c r="AB537" s="12"/>
      <c r="AC537" s="12"/>
      <c r="AD537" s="12"/>
      <c r="AE537" s="12"/>
      <c r="AF537" s="12"/>
      <c r="AG537" s="78">
        <v>45632.0</v>
      </c>
      <c r="AH537" s="12"/>
      <c r="AI537" s="12"/>
      <c r="AJ537" s="12"/>
      <c r="AK537" s="11" t="s">
        <v>1360</v>
      </c>
      <c r="AL537" s="12"/>
      <c r="AM537" s="12"/>
      <c r="AN537" s="11"/>
      <c r="AO537" s="12"/>
      <c r="AP537" s="140"/>
    </row>
    <row r="538">
      <c r="A538" s="162" t="s">
        <v>36</v>
      </c>
      <c r="B538" s="206">
        <v>45629.637444409724</v>
      </c>
      <c r="C538" s="207" t="s">
        <v>760</v>
      </c>
      <c r="D538" s="162" t="s">
        <v>800</v>
      </c>
      <c r="E538" s="162" t="s">
        <v>800</v>
      </c>
      <c r="F538" s="162" t="s">
        <v>800</v>
      </c>
      <c r="G538" s="162" t="s">
        <v>800</v>
      </c>
      <c r="H538" s="162" t="s">
        <v>1117</v>
      </c>
      <c r="I538" s="162" t="s">
        <v>1554</v>
      </c>
      <c r="J538" s="162" t="s">
        <v>189</v>
      </c>
      <c r="K538" s="208"/>
      <c r="L538" s="208"/>
      <c r="M538" s="162" t="s">
        <v>71</v>
      </c>
      <c r="N538" s="162" t="s">
        <v>96</v>
      </c>
      <c r="O538" s="162" t="s">
        <v>1555</v>
      </c>
      <c r="P538" s="162" t="s">
        <v>1556</v>
      </c>
      <c r="Q538" s="162" t="s">
        <v>1438</v>
      </c>
      <c r="R538" s="162" t="s">
        <v>1552</v>
      </c>
      <c r="S538" s="162" t="s">
        <v>1557</v>
      </c>
      <c r="T538" s="162" t="s">
        <v>1558</v>
      </c>
      <c r="U538" s="209"/>
      <c r="V538" s="209"/>
      <c r="W538" s="209"/>
      <c r="X538" s="209"/>
      <c r="Y538" s="209"/>
      <c r="Z538" s="209"/>
      <c r="AA538" s="209"/>
      <c r="AB538" s="208"/>
      <c r="AC538" s="208"/>
      <c r="AD538" s="208"/>
      <c r="AE538" s="208"/>
      <c r="AF538" s="208"/>
      <c r="AG538" s="210">
        <v>45637.0</v>
      </c>
      <c r="AH538" s="208"/>
      <c r="AI538" s="208"/>
      <c r="AJ538" s="208"/>
      <c r="AK538" s="11" t="s">
        <v>1559</v>
      </c>
      <c r="AL538" s="208"/>
      <c r="AM538" s="208"/>
      <c r="AN538" s="162"/>
      <c r="AO538" s="208"/>
      <c r="AP538" s="211"/>
    </row>
    <row r="539">
      <c r="A539" s="162" t="s">
        <v>36</v>
      </c>
      <c r="B539" s="206">
        <v>45630.42245484954</v>
      </c>
      <c r="C539" s="207" t="s">
        <v>314</v>
      </c>
      <c r="D539" s="162" t="s">
        <v>315</v>
      </c>
      <c r="E539" s="162" t="s">
        <v>252</v>
      </c>
      <c r="F539" s="162" t="s">
        <v>80</v>
      </c>
      <c r="G539" s="162" t="s">
        <v>131</v>
      </c>
      <c r="H539" s="162" t="s">
        <v>625</v>
      </c>
      <c r="I539" s="212">
        <v>399.0</v>
      </c>
      <c r="J539" s="162" t="s">
        <v>100</v>
      </c>
      <c r="K539" s="208"/>
      <c r="L539" s="205" t="s">
        <v>1560</v>
      </c>
      <c r="M539" s="162" t="s">
        <v>71</v>
      </c>
      <c r="N539" s="162" t="s">
        <v>68</v>
      </c>
      <c r="O539" s="162" t="s">
        <v>1561</v>
      </c>
      <c r="P539" s="162" t="s">
        <v>1562</v>
      </c>
      <c r="Q539" s="162" t="s">
        <v>1438</v>
      </c>
      <c r="R539" s="162" t="s">
        <v>1552</v>
      </c>
      <c r="S539" s="162" t="s">
        <v>71</v>
      </c>
      <c r="T539" s="208"/>
      <c r="U539" s="208"/>
      <c r="V539" s="208"/>
      <c r="W539" s="208"/>
      <c r="X539" s="208"/>
      <c r="Y539" s="208"/>
      <c r="Z539" s="208"/>
      <c r="AA539" s="208"/>
      <c r="AB539" s="208"/>
      <c r="AC539" s="208"/>
      <c r="AD539" s="208"/>
      <c r="AE539" s="208"/>
      <c r="AF539" s="208"/>
      <c r="AG539" s="210">
        <v>45632.0</v>
      </c>
      <c r="AH539" s="208"/>
      <c r="AI539" s="208"/>
      <c r="AJ539" s="208"/>
      <c r="AK539" s="162" t="s">
        <v>1360</v>
      </c>
      <c r="AL539" s="208"/>
      <c r="AM539" s="208"/>
      <c r="AN539" s="162"/>
      <c r="AO539" s="208"/>
      <c r="AP539" s="211"/>
    </row>
    <row r="540">
      <c r="A540" s="162" t="s">
        <v>36</v>
      </c>
      <c r="B540" s="206">
        <v>45630.472004375</v>
      </c>
      <c r="C540" s="207" t="s">
        <v>162</v>
      </c>
      <c r="D540" s="162" t="s">
        <v>51</v>
      </c>
      <c r="E540" s="162" t="s">
        <v>52</v>
      </c>
      <c r="F540" s="162" t="s">
        <v>65</v>
      </c>
      <c r="G540" s="162" t="s">
        <v>131</v>
      </c>
      <c r="H540" s="162" t="s">
        <v>607</v>
      </c>
      <c r="I540" s="212">
        <v>557.0</v>
      </c>
      <c r="J540" s="162" t="s">
        <v>194</v>
      </c>
      <c r="K540" s="205" t="s">
        <v>1563</v>
      </c>
      <c r="L540" s="162" t="s">
        <v>1564</v>
      </c>
      <c r="M540" s="162" t="s">
        <v>71</v>
      </c>
      <c r="N540" s="162" t="s">
        <v>96</v>
      </c>
      <c r="O540" s="162" t="s">
        <v>1565</v>
      </c>
      <c r="P540" s="162" t="s">
        <v>1566</v>
      </c>
      <c r="Q540" s="162" t="s">
        <v>1438</v>
      </c>
      <c r="R540" s="162" t="s">
        <v>1552</v>
      </c>
      <c r="S540" s="162" t="s">
        <v>71</v>
      </c>
      <c r="T540" s="208"/>
      <c r="U540" s="208"/>
      <c r="V540" s="208"/>
      <c r="W540" s="208"/>
      <c r="X540" s="208"/>
      <c r="Y540" s="208"/>
      <c r="Z540" s="208"/>
      <c r="AA540" s="208"/>
      <c r="AB540" s="208"/>
      <c r="AC540" s="208"/>
      <c r="AD540" s="208"/>
      <c r="AE540" s="208"/>
      <c r="AF540" s="208"/>
      <c r="AG540" s="210">
        <v>45632.0</v>
      </c>
      <c r="AH540" s="208"/>
      <c r="AI540" s="208"/>
      <c r="AJ540" s="208"/>
      <c r="AK540" s="162" t="s">
        <v>1360</v>
      </c>
      <c r="AL540" s="208"/>
      <c r="AM540" s="208"/>
      <c r="AN540" s="162"/>
      <c r="AO540" s="208"/>
      <c r="AP540" s="211"/>
    </row>
    <row r="541" ht="43.5" customHeight="1">
      <c r="A541" s="11" t="s">
        <v>36</v>
      </c>
      <c r="B541" s="9">
        <v>45633.595387546295</v>
      </c>
      <c r="C541" s="11" t="s">
        <v>500</v>
      </c>
      <c r="D541" s="11" t="s">
        <v>501</v>
      </c>
      <c r="E541" s="11" t="s">
        <v>52</v>
      </c>
      <c r="F541" s="11" t="s">
        <v>40</v>
      </c>
      <c r="G541" s="11" t="s">
        <v>54</v>
      </c>
      <c r="H541" s="11" t="s">
        <v>625</v>
      </c>
      <c r="I541" s="11" t="s">
        <v>1567</v>
      </c>
      <c r="J541" s="11" t="s">
        <v>383</v>
      </c>
      <c r="K541" s="205" t="s">
        <v>1568</v>
      </c>
      <c r="L541" s="11" t="s">
        <v>1569</v>
      </c>
      <c r="M541" s="11" t="s">
        <v>71</v>
      </c>
      <c r="N541" s="11" t="s">
        <v>96</v>
      </c>
      <c r="O541" s="11" t="s">
        <v>1570</v>
      </c>
      <c r="P541" s="11" t="s">
        <v>1571</v>
      </c>
      <c r="Q541" s="11" t="s">
        <v>1471</v>
      </c>
      <c r="R541" s="11" t="s">
        <v>1552</v>
      </c>
      <c r="S541" s="11" t="s">
        <v>71</v>
      </c>
      <c r="T541" s="12"/>
      <c r="U541" s="12"/>
      <c r="V541" s="12"/>
      <c r="W541" s="12"/>
      <c r="X541" s="12"/>
      <c r="Y541" s="12"/>
      <c r="Z541" s="12"/>
      <c r="AA541" s="12"/>
      <c r="AB541" s="12"/>
      <c r="AC541" s="12"/>
      <c r="AD541" s="12"/>
      <c r="AE541" s="12"/>
      <c r="AF541" s="12"/>
      <c r="AG541" s="78">
        <v>45637.0</v>
      </c>
      <c r="AH541" s="12"/>
      <c r="AI541" s="12"/>
      <c r="AJ541" s="12"/>
      <c r="AK541" s="11" t="s">
        <v>1572</v>
      </c>
      <c r="AL541" s="12"/>
      <c r="AM541" s="12"/>
      <c r="AN541" s="11"/>
      <c r="AO541" s="12"/>
      <c r="AP541" s="140"/>
    </row>
    <row r="542">
      <c r="A542" s="11" t="s">
        <v>36</v>
      </c>
      <c r="B542" s="9">
        <v>45635.559659502316</v>
      </c>
      <c r="C542" s="11" t="s">
        <v>333</v>
      </c>
      <c r="D542" s="11" t="s">
        <v>38</v>
      </c>
      <c r="E542" s="11" t="s">
        <v>52</v>
      </c>
      <c r="F542" s="11" t="s">
        <v>40</v>
      </c>
      <c r="G542" s="11" t="s">
        <v>41</v>
      </c>
      <c r="H542" s="11" t="s">
        <v>833</v>
      </c>
      <c r="I542" s="71">
        <v>4499.0</v>
      </c>
      <c r="J542" s="11" t="s">
        <v>102</v>
      </c>
      <c r="K542" s="12"/>
      <c r="L542" s="24" t="s">
        <v>1573</v>
      </c>
      <c r="M542" s="11" t="s">
        <v>71</v>
      </c>
      <c r="N542" s="11" t="s">
        <v>96</v>
      </c>
      <c r="O542" s="11" t="s">
        <v>1289</v>
      </c>
      <c r="P542" s="174" t="s">
        <v>1574</v>
      </c>
      <c r="Q542" s="11" t="s">
        <v>1438</v>
      </c>
      <c r="R542" s="162" t="s">
        <v>1552</v>
      </c>
      <c r="S542" s="162" t="s">
        <v>1557</v>
      </c>
      <c r="T542" s="162" t="s">
        <v>1575</v>
      </c>
      <c r="U542" s="209"/>
      <c r="V542" s="209"/>
      <c r="W542" s="209"/>
      <c r="X542" s="209"/>
      <c r="Y542" s="209"/>
      <c r="Z542" s="209"/>
      <c r="AA542" s="209"/>
      <c r="AB542" s="12"/>
      <c r="AC542" s="12"/>
      <c r="AD542" s="12"/>
      <c r="AE542" s="12"/>
      <c r="AF542" s="12"/>
      <c r="AG542" s="78">
        <v>45642.0</v>
      </c>
      <c r="AH542" s="12"/>
      <c r="AI542" s="12"/>
      <c r="AJ542" s="12"/>
      <c r="AK542" s="162" t="s">
        <v>1576</v>
      </c>
      <c r="AL542" s="12"/>
      <c r="AM542" s="12"/>
      <c r="AN542" s="11"/>
      <c r="AO542" s="12"/>
      <c r="AP542" s="140"/>
    </row>
    <row r="543">
      <c r="A543" s="11" t="s">
        <v>36</v>
      </c>
      <c r="B543" s="9">
        <v>45636.53677349537</v>
      </c>
      <c r="C543" s="11" t="s">
        <v>101</v>
      </c>
      <c r="D543" s="11" t="s">
        <v>51</v>
      </c>
      <c r="E543" s="11" t="s">
        <v>52</v>
      </c>
      <c r="F543" s="11" t="s">
        <v>65</v>
      </c>
      <c r="G543" s="11" t="s">
        <v>54</v>
      </c>
      <c r="H543" s="11" t="s">
        <v>625</v>
      </c>
      <c r="I543" s="71">
        <v>2975.0</v>
      </c>
      <c r="J543" s="11" t="s">
        <v>102</v>
      </c>
      <c r="K543" s="12"/>
      <c r="L543" s="24" t="s">
        <v>1577</v>
      </c>
      <c r="M543" s="11" t="s">
        <v>71</v>
      </c>
      <c r="N543" s="11" t="s">
        <v>96</v>
      </c>
      <c r="O543" s="11" t="s">
        <v>1578</v>
      </c>
      <c r="P543" s="174" t="s">
        <v>1579</v>
      </c>
      <c r="Q543" s="11" t="s">
        <v>1471</v>
      </c>
      <c r="R543" s="162" t="s">
        <v>1552</v>
      </c>
      <c r="S543" s="11" t="s">
        <v>71</v>
      </c>
      <c r="T543" s="12"/>
      <c r="U543" s="12"/>
      <c r="V543" s="12"/>
      <c r="W543" s="12"/>
      <c r="X543" s="12"/>
      <c r="Y543" s="12"/>
      <c r="Z543" s="12"/>
      <c r="AA543" s="12"/>
      <c r="AB543" s="12"/>
      <c r="AC543" s="12"/>
      <c r="AD543" s="12"/>
      <c r="AE543" s="12"/>
      <c r="AF543" s="12"/>
      <c r="AG543" s="78">
        <v>45637.0</v>
      </c>
      <c r="AH543" s="12"/>
      <c r="AI543" s="12"/>
      <c r="AJ543" s="12"/>
      <c r="AK543" s="11" t="s">
        <v>1360</v>
      </c>
      <c r="AL543" s="12"/>
      <c r="AM543" s="12"/>
      <c r="AN543" s="11"/>
      <c r="AO543" s="12"/>
      <c r="AP543" s="140"/>
    </row>
    <row r="544">
      <c r="A544" s="11" t="s">
        <v>36</v>
      </c>
      <c r="B544" s="9">
        <v>45636.59885216435</v>
      </c>
      <c r="C544" s="11" t="s">
        <v>137</v>
      </c>
      <c r="D544" s="11" t="s">
        <v>51</v>
      </c>
      <c r="E544" s="11" t="s">
        <v>138</v>
      </c>
      <c r="F544" s="11" t="s">
        <v>40</v>
      </c>
      <c r="G544" s="11" t="s">
        <v>54</v>
      </c>
      <c r="H544" s="11" t="s">
        <v>625</v>
      </c>
      <c r="I544" s="11" t="s">
        <v>1580</v>
      </c>
      <c r="J544" s="11" t="s">
        <v>102</v>
      </c>
      <c r="K544" s="12"/>
      <c r="L544" s="11" t="s">
        <v>1581</v>
      </c>
      <c r="M544" s="11" t="s">
        <v>71</v>
      </c>
      <c r="N544" s="11" t="s">
        <v>68</v>
      </c>
      <c r="O544" s="11" t="s">
        <v>1582</v>
      </c>
      <c r="P544" s="174" t="s">
        <v>1583</v>
      </c>
      <c r="Q544" s="11" t="s">
        <v>1438</v>
      </c>
      <c r="R544" s="162" t="s">
        <v>1552</v>
      </c>
      <c r="S544" s="11" t="s">
        <v>1557</v>
      </c>
      <c r="T544" s="11" t="s">
        <v>1584</v>
      </c>
      <c r="U544" s="14"/>
      <c r="V544" s="14"/>
      <c r="W544" s="14"/>
      <c r="X544" s="14"/>
      <c r="Y544" s="14"/>
      <c r="Z544" s="14"/>
      <c r="AA544" s="14"/>
      <c r="AB544" s="12"/>
      <c r="AC544" s="12"/>
      <c r="AD544" s="12"/>
      <c r="AE544" s="12"/>
      <c r="AF544" s="12"/>
      <c r="AG544" s="78">
        <v>45638.0</v>
      </c>
      <c r="AH544" s="12"/>
      <c r="AI544" s="12"/>
      <c r="AJ544" s="12"/>
      <c r="AK544" s="11" t="s">
        <v>1585</v>
      </c>
      <c r="AL544" s="12"/>
      <c r="AM544" s="12"/>
      <c r="AN544" s="11"/>
      <c r="AO544" s="12"/>
      <c r="AP544" s="140"/>
    </row>
    <row r="545">
      <c r="A545" s="213" t="s">
        <v>36</v>
      </c>
      <c r="B545" s="214">
        <v>45644.50098928241</v>
      </c>
      <c r="C545" s="213" t="s">
        <v>1586</v>
      </c>
      <c r="D545" s="213" t="s">
        <v>389</v>
      </c>
      <c r="E545" s="213" t="s">
        <v>40</v>
      </c>
      <c r="F545" s="213" t="s">
        <v>40</v>
      </c>
      <c r="G545" s="213" t="s">
        <v>41</v>
      </c>
      <c r="H545" s="213" t="s">
        <v>625</v>
      </c>
      <c r="I545" s="215">
        <v>650.0</v>
      </c>
      <c r="J545" s="213" t="s">
        <v>102</v>
      </c>
      <c r="K545" s="216" t="s">
        <v>1587</v>
      </c>
      <c r="L545" s="213" t="s">
        <v>1588</v>
      </c>
      <c r="M545" s="213" t="s">
        <v>71</v>
      </c>
      <c r="N545" s="213" t="s">
        <v>96</v>
      </c>
      <c r="O545" s="213" t="s">
        <v>1589</v>
      </c>
      <c r="P545" s="217"/>
      <c r="Q545" s="213" t="s">
        <v>1438</v>
      </c>
      <c r="R545" s="213" t="s">
        <v>1552</v>
      </c>
      <c r="S545" s="213" t="s">
        <v>71</v>
      </c>
      <c r="T545" s="217"/>
      <c r="U545" s="217"/>
      <c r="V545" s="217"/>
      <c r="W545" s="217"/>
      <c r="X545" s="217"/>
      <c r="Y545" s="217"/>
      <c r="Z545" s="217"/>
      <c r="AA545" s="217"/>
      <c r="AB545" s="217"/>
      <c r="AC545" s="217"/>
      <c r="AD545" s="217"/>
      <c r="AE545" s="217"/>
      <c r="AF545" s="217"/>
      <c r="AG545" s="217"/>
      <c r="AH545" s="217"/>
      <c r="AI545" s="217"/>
      <c r="AJ545" s="217"/>
      <c r="AK545" s="216" t="s">
        <v>1590</v>
      </c>
      <c r="AL545" s="217"/>
      <c r="AM545" s="217"/>
      <c r="AN545" s="213"/>
      <c r="AO545" s="217"/>
      <c r="AP545" s="218"/>
    </row>
    <row r="546">
      <c r="A546" s="213" t="s">
        <v>36</v>
      </c>
      <c r="B546" s="214">
        <v>45644.50495012732</v>
      </c>
      <c r="C546" s="213" t="s">
        <v>1586</v>
      </c>
      <c r="D546" s="213" t="s">
        <v>389</v>
      </c>
      <c r="E546" s="213" t="s">
        <v>40</v>
      </c>
      <c r="F546" s="213" t="s">
        <v>40</v>
      </c>
      <c r="G546" s="213" t="s">
        <v>41</v>
      </c>
      <c r="H546" s="213" t="s">
        <v>625</v>
      </c>
      <c r="I546" s="215">
        <v>449.0</v>
      </c>
      <c r="J546" s="213" t="s">
        <v>102</v>
      </c>
      <c r="K546" s="219" t="s">
        <v>1591</v>
      </c>
      <c r="L546" s="213" t="s">
        <v>1592</v>
      </c>
      <c r="M546" s="213" t="s">
        <v>71</v>
      </c>
      <c r="N546" s="213" t="s">
        <v>96</v>
      </c>
      <c r="O546" s="213" t="s">
        <v>1593</v>
      </c>
      <c r="P546" s="217"/>
      <c r="Q546" s="213" t="s">
        <v>1438</v>
      </c>
      <c r="R546" s="213" t="s">
        <v>1552</v>
      </c>
      <c r="S546" s="213" t="s">
        <v>71</v>
      </c>
      <c r="T546" s="217"/>
      <c r="U546" s="217"/>
      <c r="V546" s="217"/>
      <c r="W546" s="217"/>
      <c r="X546" s="217"/>
      <c r="Y546" s="217"/>
      <c r="Z546" s="217"/>
      <c r="AA546" s="217"/>
      <c r="AB546" s="217"/>
      <c r="AC546" s="217"/>
      <c r="AD546" s="217"/>
      <c r="AE546" s="217"/>
      <c r="AF546" s="217"/>
      <c r="AG546" s="217"/>
      <c r="AH546" s="217"/>
      <c r="AI546" s="217"/>
      <c r="AJ546" s="217"/>
      <c r="AK546" s="213" t="s">
        <v>1594</v>
      </c>
      <c r="AL546" s="217"/>
      <c r="AM546" s="217"/>
      <c r="AN546" s="213"/>
      <c r="AO546" s="217"/>
      <c r="AP546" s="218"/>
    </row>
    <row r="547">
      <c r="A547" s="220" t="s">
        <v>190</v>
      </c>
      <c r="B547" s="221">
        <v>45646.616037141204</v>
      </c>
      <c r="C547" s="220" t="s">
        <v>193</v>
      </c>
      <c r="D547" s="220" t="s">
        <v>800</v>
      </c>
      <c r="E547" s="220" t="s">
        <v>800</v>
      </c>
      <c r="F547" s="220" t="s">
        <v>800</v>
      </c>
      <c r="G547" s="220" t="s">
        <v>800</v>
      </c>
      <c r="H547" s="220" t="s">
        <v>1595</v>
      </c>
      <c r="I547" s="222"/>
      <c r="J547" s="220" t="s">
        <v>118</v>
      </c>
      <c r="K547" s="222"/>
      <c r="L547" s="222"/>
      <c r="M547" s="220" t="s">
        <v>71</v>
      </c>
      <c r="N547" s="220" t="s">
        <v>96</v>
      </c>
      <c r="O547" s="220" t="s">
        <v>1596</v>
      </c>
      <c r="P547" s="223" t="s">
        <v>1597</v>
      </c>
      <c r="Q547" s="220" t="s">
        <v>1438</v>
      </c>
      <c r="R547" s="224" t="s">
        <v>1598</v>
      </c>
      <c r="S547" s="220" t="s">
        <v>1557</v>
      </c>
      <c r="T547" s="222"/>
      <c r="U547" s="222"/>
      <c r="V547" s="222"/>
      <c r="W547" s="222"/>
      <c r="X547" s="222"/>
      <c r="Y547" s="222"/>
      <c r="Z547" s="222"/>
      <c r="AA547" s="222"/>
      <c r="AB547" s="222"/>
      <c r="AC547" s="222"/>
      <c r="AD547" s="222"/>
      <c r="AE547" s="222"/>
      <c r="AF547" s="222"/>
      <c r="AG547" s="222"/>
      <c r="AH547" s="222"/>
      <c r="AI547" s="222"/>
      <c r="AJ547" s="222"/>
      <c r="AK547" s="220" t="s">
        <v>1599</v>
      </c>
      <c r="AL547" s="222"/>
      <c r="AM547" s="222"/>
      <c r="AN547" s="220"/>
      <c r="AO547" s="222"/>
      <c r="AP547" s="225"/>
    </row>
    <row r="548">
      <c r="A548" s="226" t="s">
        <v>36</v>
      </c>
      <c r="B548" s="227">
        <v>45646.71716325231</v>
      </c>
      <c r="C548" s="226" t="s">
        <v>424</v>
      </c>
      <c r="D548" s="226" t="s">
        <v>109</v>
      </c>
      <c r="E548" s="226" t="s">
        <v>138</v>
      </c>
      <c r="F548" s="226" t="s">
        <v>65</v>
      </c>
      <c r="G548" s="226" t="s">
        <v>131</v>
      </c>
      <c r="H548" s="226" t="s">
        <v>625</v>
      </c>
      <c r="I548" s="228">
        <v>550.0</v>
      </c>
      <c r="J548" s="226" t="s">
        <v>262</v>
      </c>
      <c r="K548" s="229"/>
      <c r="L548" s="230" t="s">
        <v>1600</v>
      </c>
      <c r="M548" s="226" t="s">
        <v>71</v>
      </c>
      <c r="N548" s="226" t="s">
        <v>68</v>
      </c>
      <c r="O548" s="226" t="s">
        <v>880</v>
      </c>
      <c r="P548" s="226" t="s">
        <v>1601</v>
      </c>
      <c r="Q548" s="226" t="s">
        <v>1471</v>
      </c>
      <c r="R548" s="213" t="s">
        <v>1552</v>
      </c>
      <c r="S548" s="226" t="s">
        <v>71</v>
      </c>
      <c r="T548" s="229"/>
      <c r="U548" s="229"/>
      <c r="V548" s="229"/>
      <c r="W548" s="229"/>
      <c r="X548" s="229"/>
      <c r="Y548" s="229"/>
      <c r="Z548" s="229"/>
      <c r="AA548" s="229"/>
      <c r="AB548" s="229"/>
      <c r="AC548" s="229"/>
      <c r="AD548" s="229"/>
      <c r="AE548" s="229"/>
      <c r="AF548" s="229"/>
      <c r="AG548" s="229"/>
      <c r="AH548" s="229"/>
      <c r="AI548" s="229"/>
      <c r="AJ548" s="229"/>
      <c r="AK548" s="226" t="s">
        <v>1602</v>
      </c>
      <c r="AL548" s="229"/>
      <c r="AM548" s="229"/>
      <c r="AN548" s="226"/>
      <c r="AO548" s="229"/>
      <c r="AP548" s="231"/>
    </row>
    <row r="549">
      <c r="A549" s="226" t="s">
        <v>36</v>
      </c>
      <c r="B549" s="227">
        <v>45650.59036633102</v>
      </c>
      <c r="C549" s="226" t="s">
        <v>284</v>
      </c>
      <c r="D549" s="226" t="s">
        <v>800</v>
      </c>
      <c r="E549" s="226" t="s">
        <v>800</v>
      </c>
      <c r="F549" s="226" t="s">
        <v>800</v>
      </c>
      <c r="G549" s="226" t="s">
        <v>800</v>
      </c>
      <c r="H549" s="226" t="s">
        <v>625</v>
      </c>
      <c r="I549" s="228">
        <v>3000.0</v>
      </c>
      <c r="J549" s="226" t="s">
        <v>102</v>
      </c>
      <c r="K549" s="229"/>
      <c r="L549" s="213" t="s">
        <v>1603</v>
      </c>
      <c r="M549" s="226" t="s">
        <v>71</v>
      </c>
      <c r="N549" s="226" t="s">
        <v>96</v>
      </c>
      <c r="O549" s="226" t="s">
        <v>844</v>
      </c>
      <c r="P549" s="232" t="s">
        <v>1604</v>
      </c>
      <c r="Q549" s="226" t="s">
        <v>1438</v>
      </c>
      <c r="R549" s="213" t="s">
        <v>1552</v>
      </c>
      <c r="S549" s="226" t="s">
        <v>71</v>
      </c>
      <c r="T549" s="229"/>
      <c r="U549" s="229"/>
      <c r="V549" s="229"/>
      <c r="W549" s="229"/>
      <c r="X549" s="229"/>
      <c r="Y549" s="229"/>
      <c r="Z549" s="229"/>
      <c r="AA549" s="229"/>
      <c r="AB549" s="229"/>
      <c r="AC549" s="229"/>
      <c r="AD549" s="229"/>
      <c r="AE549" s="229"/>
      <c r="AF549" s="229"/>
      <c r="AG549" s="229"/>
      <c r="AH549" s="229"/>
      <c r="AI549" s="229"/>
      <c r="AJ549" s="229"/>
      <c r="AK549" s="226" t="s">
        <v>1605</v>
      </c>
      <c r="AL549" s="229"/>
      <c r="AM549" s="229"/>
      <c r="AN549" s="226"/>
      <c r="AO549" s="229"/>
      <c r="AP549" s="231"/>
    </row>
    <row r="550">
      <c r="A550" s="226" t="s">
        <v>36</v>
      </c>
      <c r="B550" s="227">
        <v>45652.578876458334</v>
      </c>
      <c r="C550" s="226" t="s">
        <v>600</v>
      </c>
      <c r="D550" s="226" t="s">
        <v>142</v>
      </c>
      <c r="E550" s="226" t="s">
        <v>52</v>
      </c>
      <c r="F550" s="226" t="s">
        <v>65</v>
      </c>
      <c r="G550" s="226" t="s">
        <v>54</v>
      </c>
      <c r="H550" s="226" t="s">
        <v>625</v>
      </c>
      <c r="I550" s="226" t="s">
        <v>1606</v>
      </c>
      <c r="J550" s="226" t="s">
        <v>383</v>
      </c>
      <c r="K550" s="229"/>
      <c r="L550" s="230" t="s">
        <v>1607</v>
      </c>
      <c r="M550" s="226" t="s">
        <v>71</v>
      </c>
      <c r="N550" s="226" t="s">
        <v>96</v>
      </c>
      <c r="O550" s="226" t="s">
        <v>1608</v>
      </c>
      <c r="P550" s="226" t="s">
        <v>1609</v>
      </c>
      <c r="Q550" s="226" t="s">
        <v>1471</v>
      </c>
      <c r="R550" s="226" t="s">
        <v>1552</v>
      </c>
      <c r="S550" s="226" t="s">
        <v>1557</v>
      </c>
      <c r="T550" s="226" t="s">
        <v>1610</v>
      </c>
      <c r="U550" s="233"/>
      <c r="V550" s="233"/>
      <c r="W550" s="233"/>
      <c r="X550" s="233"/>
      <c r="Y550" s="233"/>
      <c r="Z550" s="233"/>
      <c r="AA550" s="233"/>
      <c r="AB550" s="229"/>
      <c r="AC550" s="229"/>
      <c r="AD550" s="229"/>
      <c r="AE550" s="229"/>
      <c r="AF550" s="229"/>
      <c r="AG550" s="229"/>
      <c r="AH550" s="229"/>
      <c r="AI550" s="229"/>
      <c r="AJ550" s="229"/>
      <c r="AK550" s="226" t="s">
        <v>1605</v>
      </c>
      <c r="AL550" s="229"/>
      <c r="AM550" s="229"/>
      <c r="AN550" s="226"/>
      <c r="AO550" s="229"/>
      <c r="AP550" s="231"/>
    </row>
    <row r="551">
      <c r="A551" s="234" t="s">
        <v>177</v>
      </c>
      <c r="B551" s="235">
        <v>45655.867895358795</v>
      </c>
      <c r="C551" s="234" t="s">
        <v>308</v>
      </c>
      <c r="D551" s="234" t="s">
        <v>51</v>
      </c>
      <c r="E551" s="234" t="s">
        <v>138</v>
      </c>
      <c r="F551" s="234" t="s">
        <v>139</v>
      </c>
      <c r="G551" s="234" t="s">
        <v>54</v>
      </c>
      <c r="H551" s="234" t="s">
        <v>625</v>
      </c>
      <c r="I551" s="234">
        <v>829.0</v>
      </c>
      <c r="J551" s="234" t="s">
        <v>100</v>
      </c>
      <c r="K551" s="236"/>
      <c r="L551" s="234" t="s">
        <v>1611</v>
      </c>
      <c r="M551" s="234" t="s">
        <v>71</v>
      </c>
      <c r="N551" s="234" t="s">
        <v>96</v>
      </c>
      <c r="O551" s="234" t="s">
        <v>1530</v>
      </c>
      <c r="P551" s="234" t="s">
        <v>1612</v>
      </c>
      <c r="Q551" s="234" t="s">
        <v>1471</v>
      </c>
      <c r="R551" s="234" t="s">
        <v>1552</v>
      </c>
      <c r="S551" s="234" t="s">
        <v>71</v>
      </c>
      <c r="T551" s="236"/>
      <c r="U551" s="236"/>
      <c r="V551" s="236"/>
      <c r="W551" s="236"/>
      <c r="X551" s="236"/>
      <c r="Y551" s="236"/>
      <c r="Z551" s="236"/>
      <c r="AA551" s="236"/>
      <c r="AB551" s="236"/>
      <c r="AC551" s="236"/>
      <c r="AD551" s="236"/>
      <c r="AE551" s="236"/>
      <c r="AF551" s="236"/>
      <c r="AG551" s="236"/>
      <c r="AH551" s="236"/>
      <c r="AI551" s="236"/>
      <c r="AJ551" s="236"/>
      <c r="AK551" s="234" t="s">
        <v>1613</v>
      </c>
      <c r="AL551" s="236"/>
      <c r="AM551" s="236"/>
      <c r="AN551" s="234"/>
      <c r="AO551" s="236"/>
      <c r="AP551" s="237"/>
    </row>
    <row r="552">
      <c r="A552" s="226" t="s">
        <v>36</v>
      </c>
      <c r="B552" s="227">
        <v>45656.24500792824</v>
      </c>
      <c r="C552" s="226" t="s">
        <v>308</v>
      </c>
      <c r="D552" s="226" t="s">
        <v>51</v>
      </c>
      <c r="E552" s="226" t="s">
        <v>138</v>
      </c>
      <c r="F552" s="226" t="s">
        <v>139</v>
      </c>
      <c r="G552" s="226" t="s">
        <v>54</v>
      </c>
      <c r="H552" s="226" t="s">
        <v>625</v>
      </c>
      <c r="I552" s="226" t="s">
        <v>1614</v>
      </c>
      <c r="J552" s="226" t="s">
        <v>100</v>
      </c>
      <c r="K552" s="229"/>
      <c r="L552" s="226" t="s">
        <v>1615</v>
      </c>
      <c r="M552" s="226" t="s">
        <v>71</v>
      </c>
      <c r="N552" s="226" t="s">
        <v>96</v>
      </c>
      <c r="O552" s="226" t="s">
        <v>1616</v>
      </c>
      <c r="P552" s="226" t="s">
        <v>1617</v>
      </c>
      <c r="Q552" s="226" t="s">
        <v>1471</v>
      </c>
      <c r="R552" s="226" t="s">
        <v>1552</v>
      </c>
      <c r="S552" s="226" t="s">
        <v>71</v>
      </c>
      <c r="T552" s="229"/>
      <c r="U552" s="229"/>
      <c r="V552" s="229"/>
      <c r="W552" s="229"/>
      <c r="X552" s="229"/>
      <c r="Y552" s="229"/>
      <c r="Z552" s="229"/>
      <c r="AA552" s="229"/>
      <c r="AB552" s="229"/>
      <c r="AC552" s="229"/>
      <c r="AD552" s="229"/>
      <c r="AE552" s="229"/>
      <c r="AF552" s="229"/>
      <c r="AG552" s="229"/>
      <c r="AH552" s="229"/>
      <c r="AI552" s="229"/>
      <c r="AJ552" s="229"/>
      <c r="AK552" s="226" t="s">
        <v>1605</v>
      </c>
      <c r="AL552" s="229"/>
      <c r="AM552" s="229"/>
      <c r="AN552" s="226"/>
      <c r="AO552" s="229"/>
      <c r="AP552" s="231"/>
    </row>
    <row r="553">
      <c r="A553" s="226" t="s">
        <v>36</v>
      </c>
      <c r="B553" s="227">
        <v>45656.404801956014</v>
      </c>
      <c r="C553" s="226" t="s">
        <v>37</v>
      </c>
      <c r="D553" s="226" t="s">
        <v>51</v>
      </c>
      <c r="E553" s="226" t="s">
        <v>52</v>
      </c>
      <c r="F553" s="226" t="s">
        <v>65</v>
      </c>
      <c r="G553" s="226" t="s">
        <v>41</v>
      </c>
      <c r="H553" s="226" t="s">
        <v>625</v>
      </c>
      <c r="I553" s="226" t="s">
        <v>1618</v>
      </c>
      <c r="J553" s="226" t="s">
        <v>128</v>
      </c>
      <c r="K553" s="229"/>
      <c r="L553" s="226" t="s">
        <v>1619</v>
      </c>
      <c r="M553" s="226" t="s">
        <v>71</v>
      </c>
      <c r="N553" s="226" t="s">
        <v>68</v>
      </c>
      <c r="O553" s="226" t="s">
        <v>1620</v>
      </c>
      <c r="P553" s="229"/>
      <c r="Q553" s="226" t="s">
        <v>1438</v>
      </c>
      <c r="R553" s="226" t="s">
        <v>1621</v>
      </c>
      <c r="S553" s="226" t="s">
        <v>1557</v>
      </c>
      <c r="T553" s="226" t="s">
        <v>1622</v>
      </c>
      <c r="U553" s="233"/>
      <c r="V553" s="233"/>
      <c r="W553" s="233"/>
      <c r="X553" s="233"/>
      <c r="Y553" s="233"/>
      <c r="Z553" s="233"/>
      <c r="AA553" s="233"/>
      <c r="AB553" s="229"/>
      <c r="AC553" s="229"/>
      <c r="AD553" s="229"/>
      <c r="AE553" s="229"/>
      <c r="AF553" s="229"/>
      <c r="AG553" s="229"/>
      <c r="AH553" s="229"/>
      <c r="AI553" s="229"/>
      <c r="AJ553" s="229"/>
      <c r="AK553" s="226" t="s">
        <v>1605</v>
      </c>
      <c r="AL553" s="229"/>
      <c r="AM553" s="229"/>
      <c r="AN553" s="226"/>
      <c r="AO553" s="229"/>
      <c r="AP553" s="231"/>
    </row>
    <row r="554">
      <c r="A554" s="226" t="s">
        <v>36</v>
      </c>
      <c r="B554" s="227">
        <v>45656.54229321759</v>
      </c>
      <c r="C554" s="226" t="s">
        <v>1267</v>
      </c>
      <c r="D554" s="226" t="s">
        <v>109</v>
      </c>
      <c r="E554" s="226" t="s">
        <v>52</v>
      </c>
      <c r="F554" s="226" t="s">
        <v>40</v>
      </c>
      <c r="G554" s="226" t="s">
        <v>41</v>
      </c>
      <c r="H554" s="226" t="s">
        <v>625</v>
      </c>
      <c r="I554" s="238">
        <v>70.0</v>
      </c>
      <c r="J554" s="226" t="s">
        <v>102</v>
      </c>
      <c r="K554" s="229"/>
      <c r="L554" s="226" t="s">
        <v>1623</v>
      </c>
      <c r="M554" s="226" t="s">
        <v>71</v>
      </c>
      <c r="N554" s="226" t="s">
        <v>96</v>
      </c>
      <c r="O554" s="226" t="s">
        <v>1624</v>
      </c>
      <c r="P554" s="232" t="s">
        <v>1625</v>
      </c>
      <c r="Q554" s="226" t="s">
        <v>1438</v>
      </c>
      <c r="R554" s="226" t="s">
        <v>1552</v>
      </c>
      <c r="S554" s="226" t="s">
        <v>1557</v>
      </c>
      <c r="T554" s="226" t="s">
        <v>1626</v>
      </c>
      <c r="U554" s="233"/>
      <c r="V554" s="233"/>
      <c r="W554" s="233"/>
      <c r="X554" s="233"/>
      <c r="Y554" s="233"/>
      <c r="Z554" s="233"/>
      <c r="AA554" s="233"/>
      <c r="AB554" s="229"/>
      <c r="AC554" s="229"/>
      <c r="AD554" s="229"/>
      <c r="AE554" s="229"/>
      <c r="AF554" s="229"/>
      <c r="AG554" s="229"/>
      <c r="AH554" s="229"/>
      <c r="AI554" s="229"/>
      <c r="AJ554" s="229"/>
      <c r="AK554" s="226" t="s">
        <v>1605</v>
      </c>
      <c r="AL554" s="229"/>
      <c r="AM554" s="229"/>
      <c r="AN554" s="226"/>
      <c r="AO554" s="229"/>
      <c r="AP554" s="231"/>
    </row>
    <row r="555">
      <c r="A555" s="226" t="s">
        <v>36</v>
      </c>
      <c r="B555" s="227">
        <v>45656.661215625005</v>
      </c>
      <c r="C555" s="226" t="s">
        <v>155</v>
      </c>
      <c r="D555" s="226" t="s">
        <v>109</v>
      </c>
      <c r="E555" s="226" t="s">
        <v>52</v>
      </c>
      <c r="F555" s="226" t="s">
        <v>65</v>
      </c>
      <c r="G555" s="226" t="s">
        <v>54</v>
      </c>
      <c r="H555" s="226" t="s">
        <v>833</v>
      </c>
      <c r="I555" s="226" t="s">
        <v>1627</v>
      </c>
      <c r="J555" s="226" t="s">
        <v>157</v>
      </c>
      <c r="K555" s="229"/>
      <c r="L555" s="230" t="s">
        <v>1628</v>
      </c>
      <c r="M555" s="226" t="s">
        <v>71</v>
      </c>
      <c r="N555" s="226" t="s">
        <v>96</v>
      </c>
      <c r="O555" s="226" t="s">
        <v>1629</v>
      </c>
      <c r="P555" s="226" t="s">
        <v>1630</v>
      </c>
      <c r="Q555" s="226" t="s">
        <v>1471</v>
      </c>
      <c r="R555" s="226" t="s">
        <v>1552</v>
      </c>
      <c r="S555" s="226" t="s">
        <v>71</v>
      </c>
      <c r="T555" s="229"/>
      <c r="U555" s="229"/>
      <c r="V555" s="229"/>
      <c r="W555" s="229"/>
      <c r="X555" s="229"/>
      <c r="Y555" s="229"/>
      <c r="Z555" s="229"/>
      <c r="AA555" s="229"/>
      <c r="AB555" s="229"/>
      <c r="AC555" s="229"/>
      <c r="AD555" s="229"/>
      <c r="AE555" s="229"/>
      <c r="AF555" s="229"/>
      <c r="AG555" s="229"/>
      <c r="AH555" s="229"/>
      <c r="AI555" s="229"/>
      <c r="AJ555" s="229"/>
      <c r="AK555" s="226" t="s">
        <v>1605</v>
      </c>
      <c r="AL555" s="229"/>
      <c r="AM555" s="229"/>
      <c r="AN555" s="226"/>
      <c r="AO555" s="229"/>
      <c r="AP555" s="231"/>
    </row>
    <row r="556">
      <c r="A556" s="226" t="s">
        <v>36</v>
      </c>
      <c r="B556" s="227">
        <v>45656.76033689815</v>
      </c>
      <c r="C556" s="226" t="s">
        <v>160</v>
      </c>
      <c r="D556" s="226" t="s">
        <v>109</v>
      </c>
      <c r="E556" s="226" t="s">
        <v>52</v>
      </c>
      <c r="F556" s="226" t="s">
        <v>65</v>
      </c>
      <c r="G556" s="226" t="s">
        <v>54</v>
      </c>
      <c r="H556" s="226" t="s">
        <v>625</v>
      </c>
      <c r="I556" s="226" t="s">
        <v>1631</v>
      </c>
      <c r="J556" s="226" t="s">
        <v>157</v>
      </c>
      <c r="K556" s="230" t="s">
        <v>1632</v>
      </c>
      <c r="L556" s="226" t="s">
        <v>1633</v>
      </c>
      <c r="M556" s="226" t="s">
        <v>71</v>
      </c>
      <c r="N556" s="226" t="s">
        <v>68</v>
      </c>
      <c r="O556" s="226" t="s">
        <v>1634</v>
      </c>
      <c r="P556" s="226" t="s">
        <v>1635</v>
      </c>
      <c r="Q556" s="226" t="s">
        <v>1471</v>
      </c>
      <c r="R556" s="226" t="s">
        <v>1552</v>
      </c>
      <c r="S556" s="226" t="s">
        <v>71</v>
      </c>
      <c r="T556" s="226" t="s">
        <v>736</v>
      </c>
      <c r="U556" s="233"/>
      <c r="V556" s="233"/>
      <c r="W556" s="233"/>
      <c r="X556" s="233"/>
      <c r="Y556" s="233"/>
      <c r="Z556" s="233"/>
      <c r="AA556" s="233"/>
      <c r="AB556" s="229"/>
      <c r="AC556" s="229"/>
      <c r="AD556" s="229"/>
      <c r="AE556" s="229"/>
      <c r="AF556" s="229"/>
      <c r="AG556" s="229"/>
      <c r="AH556" s="229"/>
      <c r="AI556" s="229"/>
      <c r="AJ556" s="229"/>
      <c r="AK556" s="226" t="s">
        <v>1605</v>
      </c>
      <c r="AL556" s="229"/>
      <c r="AM556" s="229"/>
      <c r="AN556" s="226"/>
      <c r="AO556" s="229"/>
      <c r="AP556" s="231"/>
    </row>
    <row r="557">
      <c r="A557" s="226" t="s">
        <v>36</v>
      </c>
      <c r="B557" s="227">
        <v>45660.394040439816</v>
      </c>
      <c r="C557" s="226" t="s">
        <v>385</v>
      </c>
      <c r="D557" s="226" t="s">
        <v>109</v>
      </c>
      <c r="E557" s="226" t="s">
        <v>52</v>
      </c>
      <c r="F557" s="226" t="s">
        <v>65</v>
      </c>
      <c r="G557" s="226" t="s">
        <v>54</v>
      </c>
      <c r="H557" s="226" t="s">
        <v>625</v>
      </c>
      <c r="I557" s="226" t="s">
        <v>1636</v>
      </c>
      <c r="J557" s="226" t="s">
        <v>102</v>
      </c>
      <c r="K557" s="229"/>
      <c r="L557" s="230" t="s">
        <v>1637</v>
      </c>
      <c r="M557" s="226" t="s">
        <v>71</v>
      </c>
      <c r="N557" s="226" t="s">
        <v>96</v>
      </c>
      <c r="O557" s="226" t="s">
        <v>1059</v>
      </c>
      <c r="P557" s="226" t="s">
        <v>1638</v>
      </c>
      <c r="Q557" s="226" t="s">
        <v>1438</v>
      </c>
      <c r="R557" s="213" t="s">
        <v>1552</v>
      </c>
      <c r="S557" s="213" t="s">
        <v>1557</v>
      </c>
      <c r="T557" s="213" t="s">
        <v>1639</v>
      </c>
      <c r="U557" s="239"/>
      <c r="V557" s="239"/>
      <c r="W557" s="239"/>
      <c r="X557" s="239"/>
      <c r="Y557" s="239"/>
      <c r="Z557" s="239"/>
      <c r="AA557" s="239"/>
      <c r="AB557" s="229"/>
      <c r="AC557" s="229"/>
      <c r="AD557" s="229"/>
      <c r="AE557" s="229"/>
      <c r="AF557" s="229"/>
      <c r="AG557" s="229"/>
      <c r="AH557" s="229"/>
      <c r="AI557" s="229"/>
      <c r="AJ557" s="229"/>
      <c r="AK557" s="226" t="s">
        <v>1640</v>
      </c>
      <c r="AL557" s="229"/>
      <c r="AM557" s="229"/>
      <c r="AN557" s="226"/>
      <c r="AO557" s="229"/>
      <c r="AP557" s="229"/>
    </row>
    <row r="558">
      <c r="A558" s="226" t="s">
        <v>36</v>
      </c>
      <c r="B558" s="227">
        <v>45663.5474994213</v>
      </c>
      <c r="C558" s="226" t="s">
        <v>586</v>
      </c>
      <c r="D558" s="226" t="s">
        <v>51</v>
      </c>
      <c r="E558" s="226" t="s">
        <v>52</v>
      </c>
      <c r="F558" s="226" t="s">
        <v>40</v>
      </c>
      <c r="G558" s="226" t="s">
        <v>41</v>
      </c>
      <c r="H558" s="226" t="s">
        <v>625</v>
      </c>
      <c r="I558" s="238">
        <v>17.31</v>
      </c>
      <c r="J558" s="226" t="s">
        <v>102</v>
      </c>
      <c r="K558" s="229"/>
      <c r="L558" s="230" t="s">
        <v>1641</v>
      </c>
      <c r="M558" s="226" t="s">
        <v>71</v>
      </c>
      <c r="N558" s="226" t="s">
        <v>96</v>
      </c>
      <c r="O558" s="226" t="s">
        <v>1642</v>
      </c>
      <c r="P558" s="226" t="s">
        <v>1643</v>
      </c>
      <c r="Q558" s="226" t="s">
        <v>1438</v>
      </c>
      <c r="R558" s="213" t="s">
        <v>1552</v>
      </c>
      <c r="S558" s="226" t="s">
        <v>1557</v>
      </c>
      <c r="T558" s="226" t="s">
        <v>1644</v>
      </c>
      <c r="U558" s="233"/>
      <c r="V558" s="233"/>
      <c r="W558" s="233"/>
      <c r="X558" s="233"/>
      <c r="Y558" s="233"/>
      <c r="Z558" s="233"/>
      <c r="AA558" s="233"/>
      <c r="AB558" s="229"/>
      <c r="AC558" s="229"/>
      <c r="AD558" s="229"/>
      <c r="AE558" s="229"/>
      <c r="AF558" s="229"/>
      <c r="AG558" s="229"/>
      <c r="AH558" s="229"/>
      <c r="AI558" s="229"/>
      <c r="AJ558" s="229"/>
      <c r="AK558" s="226" t="s">
        <v>1640</v>
      </c>
      <c r="AL558" s="229"/>
      <c r="AM558" s="229"/>
      <c r="AN558" s="229"/>
      <c r="AO558" s="229"/>
      <c r="AP558" s="229"/>
    </row>
    <row r="559">
      <c r="A559" s="226" t="s">
        <v>36</v>
      </c>
      <c r="B559" s="227">
        <v>45663.54922303241</v>
      </c>
      <c r="C559" s="226" t="s">
        <v>1645</v>
      </c>
      <c r="D559" s="226" t="s">
        <v>51</v>
      </c>
      <c r="E559" s="226" t="s">
        <v>52</v>
      </c>
      <c r="F559" s="226" t="s">
        <v>40</v>
      </c>
      <c r="G559" s="226" t="s">
        <v>54</v>
      </c>
      <c r="H559" s="226" t="s">
        <v>607</v>
      </c>
      <c r="I559" s="226">
        <v>294.0</v>
      </c>
      <c r="J559" s="226" t="s">
        <v>1134</v>
      </c>
      <c r="K559" s="240" t="s">
        <v>1646</v>
      </c>
      <c r="L559" s="226" t="s">
        <v>1647</v>
      </c>
      <c r="M559" s="226" t="s">
        <v>71</v>
      </c>
      <c r="N559" s="226" t="s">
        <v>96</v>
      </c>
      <c r="O559" s="226" t="s">
        <v>1648</v>
      </c>
      <c r="P559" s="232" t="s">
        <v>1649</v>
      </c>
      <c r="Q559" s="226" t="s">
        <v>1438</v>
      </c>
      <c r="R559" s="213" t="s">
        <v>1552</v>
      </c>
      <c r="S559" s="226" t="s">
        <v>1557</v>
      </c>
      <c r="T559" s="229"/>
      <c r="U559" s="229"/>
      <c r="V559" s="229"/>
      <c r="W559" s="229"/>
      <c r="X559" s="229"/>
      <c r="Y559" s="229"/>
      <c r="Z559" s="229"/>
      <c r="AA559" s="229"/>
      <c r="AB559" s="229"/>
      <c r="AC559" s="229"/>
      <c r="AD559" s="229"/>
      <c r="AE559" s="229"/>
      <c r="AF559" s="229"/>
      <c r="AG559" s="229"/>
      <c r="AH559" s="229"/>
      <c r="AI559" s="229"/>
      <c r="AJ559" s="229"/>
      <c r="AK559" s="226" t="s">
        <v>1640</v>
      </c>
      <c r="AL559" s="229"/>
      <c r="AM559" s="229"/>
      <c r="AN559" s="229"/>
      <c r="AO559" s="229"/>
      <c r="AP559" s="229"/>
    </row>
    <row r="560">
      <c r="A560" s="226" t="s">
        <v>36</v>
      </c>
      <c r="B560" s="227">
        <v>45663.671338518514</v>
      </c>
      <c r="C560" s="226" t="s">
        <v>374</v>
      </c>
      <c r="D560" s="226" t="s">
        <v>142</v>
      </c>
      <c r="E560" s="226" t="s">
        <v>52</v>
      </c>
      <c r="F560" s="226" t="s">
        <v>210</v>
      </c>
      <c r="G560" s="226" t="s">
        <v>41</v>
      </c>
      <c r="H560" s="226" t="s">
        <v>625</v>
      </c>
      <c r="I560" s="226" t="s">
        <v>1650</v>
      </c>
      <c r="J560" s="226" t="s">
        <v>102</v>
      </c>
      <c r="K560" s="229"/>
      <c r="L560" s="230" t="s">
        <v>1651</v>
      </c>
      <c r="M560" s="226" t="s">
        <v>71</v>
      </c>
      <c r="N560" s="226" t="s">
        <v>96</v>
      </c>
      <c r="O560" s="226" t="s">
        <v>1148</v>
      </c>
      <c r="P560" s="226" t="s">
        <v>1652</v>
      </c>
      <c r="Q560" s="226" t="s">
        <v>1471</v>
      </c>
      <c r="R560" s="213" t="s">
        <v>1552</v>
      </c>
      <c r="S560" s="226" t="s">
        <v>71</v>
      </c>
      <c r="T560" s="226" t="s">
        <v>1653</v>
      </c>
      <c r="U560" s="233"/>
      <c r="V560" s="233"/>
      <c r="W560" s="233"/>
      <c r="X560" s="233"/>
      <c r="Y560" s="233"/>
      <c r="Z560" s="233"/>
      <c r="AA560" s="233"/>
      <c r="AB560" s="229"/>
      <c r="AC560" s="229"/>
      <c r="AD560" s="229"/>
      <c r="AE560" s="229"/>
      <c r="AF560" s="229"/>
      <c r="AG560" s="229"/>
      <c r="AH560" s="229"/>
      <c r="AI560" s="229"/>
      <c r="AJ560" s="229"/>
      <c r="AK560" s="226" t="s">
        <v>1640</v>
      </c>
      <c r="AL560" s="229"/>
      <c r="AM560" s="229"/>
      <c r="AN560" s="229"/>
      <c r="AO560" s="229"/>
      <c r="AP560" s="229"/>
    </row>
    <row r="561">
      <c r="A561" s="226" t="s">
        <v>36</v>
      </c>
      <c r="B561" s="227">
        <v>45664.44447899306</v>
      </c>
      <c r="C561" s="226" t="s">
        <v>195</v>
      </c>
      <c r="D561" s="226" t="s">
        <v>51</v>
      </c>
      <c r="E561" s="226" t="s">
        <v>196</v>
      </c>
      <c r="F561" s="226" t="s">
        <v>80</v>
      </c>
      <c r="G561" s="226" t="s">
        <v>131</v>
      </c>
      <c r="H561" s="11" t="s">
        <v>625</v>
      </c>
      <c r="I561" s="226" t="s">
        <v>1654</v>
      </c>
      <c r="J561" s="226" t="s">
        <v>189</v>
      </c>
      <c r="K561" s="240" t="s">
        <v>1655</v>
      </c>
      <c r="L561" s="226" t="s">
        <v>1656</v>
      </c>
      <c r="M561" s="226" t="s">
        <v>71</v>
      </c>
      <c r="N561" s="226" t="s">
        <v>96</v>
      </c>
      <c r="O561" s="226" t="s">
        <v>1657</v>
      </c>
      <c r="P561" s="226" t="s">
        <v>1658</v>
      </c>
      <c r="Q561" s="226" t="s">
        <v>1438</v>
      </c>
      <c r="R561" s="213" t="s">
        <v>1552</v>
      </c>
      <c r="S561" s="213" t="s">
        <v>1557</v>
      </c>
      <c r="T561" s="213" t="s">
        <v>1659</v>
      </c>
      <c r="U561" s="239"/>
      <c r="V561" s="239"/>
      <c r="W561" s="239"/>
      <c r="X561" s="239"/>
      <c r="Y561" s="239"/>
      <c r="Z561" s="239"/>
      <c r="AA561" s="239"/>
      <c r="AB561" s="229"/>
      <c r="AC561" s="229"/>
      <c r="AD561" s="229"/>
      <c r="AE561" s="229"/>
      <c r="AF561" s="229"/>
      <c r="AG561" s="229"/>
      <c r="AH561" s="229"/>
      <c r="AI561" s="229"/>
      <c r="AJ561" s="229"/>
      <c r="AK561" s="213" t="s">
        <v>1660</v>
      </c>
      <c r="AL561" s="229"/>
      <c r="AM561" s="229"/>
      <c r="AN561" s="229"/>
      <c r="AO561" s="229"/>
      <c r="AP561" s="15"/>
    </row>
    <row r="562">
      <c r="A562" s="226" t="s">
        <v>36</v>
      </c>
      <c r="B562" s="227">
        <v>45666.38279827546</v>
      </c>
      <c r="C562" s="226" t="s">
        <v>1661</v>
      </c>
      <c r="D562" s="226" t="s">
        <v>1026</v>
      </c>
      <c r="E562" s="226" t="s">
        <v>52</v>
      </c>
      <c r="F562" s="226" t="s">
        <v>40</v>
      </c>
      <c r="G562" s="226" t="s">
        <v>41</v>
      </c>
      <c r="H562" s="226" t="s">
        <v>607</v>
      </c>
      <c r="I562" s="238">
        <v>145.0</v>
      </c>
      <c r="J562" s="226" t="s">
        <v>86</v>
      </c>
      <c r="K562" s="229"/>
      <c r="L562" s="226" t="s">
        <v>1662</v>
      </c>
      <c r="M562" s="226" t="s">
        <v>71</v>
      </c>
      <c r="N562" s="226" t="s">
        <v>96</v>
      </c>
      <c r="O562" s="226" t="s">
        <v>1663</v>
      </c>
      <c r="P562" s="226" t="s">
        <v>1664</v>
      </c>
      <c r="Q562" s="226" t="s">
        <v>1438</v>
      </c>
      <c r="R562" s="213" t="s">
        <v>1552</v>
      </c>
      <c r="S562" s="226" t="s">
        <v>1557</v>
      </c>
      <c r="T562" s="226" t="s">
        <v>1665</v>
      </c>
      <c r="U562" s="233"/>
      <c r="V562" s="233"/>
      <c r="W562" s="233"/>
      <c r="X562" s="233"/>
      <c r="Y562" s="233"/>
      <c r="Z562" s="233"/>
      <c r="AA562" s="233"/>
      <c r="AB562" s="229"/>
      <c r="AC562" s="229"/>
      <c r="AD562" s="229"/>
      <c r="AE562" s="229"/>
      <c r="AF562" s="229"/>
      <c r="AG562" s="229"/>
      <c r="AH562" s="229"/>
      <c r="AI562" s="229"/>
      <c r="AJ562" s="229"/>
      <c r="AK562" s="226" t="s">
        <v>1666</v>
      </c>
      <c r="AL562" s="229"/>
      <c r="AM562" s="229"/>
      <c r="AN562" s="229"/>
      <c r="AO562" s="229"/>
      <c r="AP562" s="229"/>
    </row>
    <row r="563">
      <c r="A563" s="226" t="s">
        <v>36</v>
      </c>
      <c r="B563" s="227">
        <v>45666.447521979164</v>
      </c>
      <c r="C563" s="226" t="s">
        <v>1667</v>
      </c>
      <c r="D563" s="226" t="s">
        <v>51</v>
      </c>
      <c r="E563" s="226" t="s">
        <v>52</v>
      </c>
      <c r="F563" s="226" t="s">
        <v>65</v>
      </c>
      <c r="G563" s="226" t="s">
        <v>54</v>
      </c>
      <c r="H563" s="226" t="s">
        <v>607</v>
      </c>
      <c r="I563" s="228">
        <v>143.0</v>
      </c>
      <c r="J563" s="226" t="s">
        <v>1134</v>
      </c>
      <c r="K563" s="229"/>
      <c r="L563" s="226" t="s">
        <v>1668</v>
      </c>
      <c r="M563" s="226" t="s">
        <v>71</v>
      </c>
      <c r="N563" s="226" t="s">
        <v>96</v>
      </c>
      <c r="O563" s="226" t="s">
        <v>1667</v>
      </c>
      <c r="P563" s="232" t="s">
        <v>1669</v>
      </c>
      <c r="Q563" s="226" t="s">
        <v>1438</v>
      </c>
      <c r="R563" s="213" t="s">
        <v>1552</v>
      </c>
      <c r="S563" s="226" t="s">
        <v>1557</v>
      </c>
      <c r="T563" s="226" t="s">
        <v>1670</v>
      </c>
      <c r="U563" s="233"/>
      <c r="V563" s="233"/>
      <c r="W563" s="233"/>
      <c r="X563" s="233"/>
      <c r="Y563" s="233"/>
      <c r="Z563" s="233"/>
      <c r="AA563" s="233"/>
      <c r="AB563" s="229"/>
      <c r="AC563" s="229"/>
      <c r="AD563" s="229"/>
      <c r="AE563" s="229"/>
      <c r="AF563" s="229"/>
      <c r="AG563" s="229"/>
      <c r="AH563" s="229"/>
      <c r="AI563" s="229"/>
      <c r="AJ563" s="229"/>
      <c r="AK563" s="226" t="s">
        <v>1666</v>
      </c>
      <c r="AL563" s="229"/>
      <c r="AM563" s="229"/>
      <c r="AN563" s="229"/>
      <c r="AO563" s="229"/>
      <c r="AP563" s="229"/>
    </row>
    <row r="564">
      <c r="A564" s="226" t="s">
        <v>36</v>
      </c>
      <c r="B564" s="227">
        <v>45667.38190496528</v>
      </c>
      <c r="C564" s="226" t="s">
        <v>108</v>
      </c>
      <c r="D564" s="226" t="s">
        <v>109</v>
      </c>
      <c r="E564" s="226" t="s">
        <v>52</v>
      </c>
      <c r="F564" s="226" t="s">
        <v>65</v>
      </c>
      <c r="G564" s="226" t="s">
        <v>54</v>
      </c>
      <c r="H564" s="226" t="s">
        <v>625</v>
      </c>
      <c r="I564" s="226">
        <v>299.0</v>
      </c>
      <c r="J564" s="226" t="s">
        <v>102</v>
      </c>
      <c r="K564" s="229"/>
      <c r="L564" s="240" t="s">
        <v>1671</v>
      </c>
      <c r="M564" s="226" t="s">
        <v>71</v>
      </c>
      <c r="N564" s="226" t="s">
        <v>96</v>
      </c>
      <c r="O564" s="226" t="s">
        <v>1672</v>
      </c>
      <c r="P564" s="226" t="s">
        <v>1673</v>
      </c>
      <c r="Q564" s="226" t="s">
        <v>1438</v>
      </c>
      <c r="R564" s="213" t="s">
        <v>1552</v>
      </c>
      <c r="S564" s="226" t="s">
        <v>71</v>
      </c>
      <c r="T564" s="226" t="s">
        <v>1674</v>
      </c>
      <c r="U564" s="233"/>
      <c r="V564" s="233"/>
      <c r="W564" s="233"/>
      <c r="X564" s="233"/>
      <c r="Y564" s="233"/>
      <c r="Z564" s="233"/>
      <c r="AA564" s="233"/>
      <c r="AB564" s="229"/>
      <c r="AC564" s="229"/>
      <c r="AD564" s="229"/>
      <c r="AE564" s="229"/>
      <c r="AF564" s="229"/>
      <c r="AG564" s="229"/>
      <c r="AH564" s="229"/>
      <c r="AI564" s="229"/>
      <c r="AJ564" s="229"/>
      <c r="AK564" s="226" t="s">
        <v>1666</v>
      </c>
      <c r="AL564" s="229"/>
      <c r="AM564" s="229"/>
      <c r="AN564" s="229"/>
      <c r="AO564" s="229"/>
      <c r="AP564" s="229"/>
    </row>
    <row r="565">
      <c r="A565" s="226" t="s">
        <v>36</v>
      </c>
      <c r="B565" s="227">
        <v>45670.53368572917</v>
      </c>
      <c r="C565" s="226" t="s">
        <v>117</v>
      </c>
      <c r="D565" s="226" t="s">
        <v>51</v>
      </c>
      <c r="E565" s="226" t="s">
        <v>52</v>
      </c>
      <c r="F565" s="226" t="s">
        <v>65</v>
      </c>
      <c r="G565" s="226" t="s">
        <v>54</v>
      </c>
      <c r="H565" s="226" t="s">
        <v>625</v>
      </c>
      <c r="I565" s="228">
        <v>100.0</v>
      </c>
      <c r="J565" s="226" t="s">
        <v>118</v>
      </c>
      <c r="K565" s="229"/>
      <c r="L565" s="226" t="s">
        <v>1675</v>
      </c>
      <c r="M565" s="226" t="s">
        <v>71</v>
      </c>
      <c r="N565" s="226" t="s">
        <v>68</v>
      </c>
      <c r="O565" s="226" t="s">
        <v>1676</v>
      </c>
      <c r="P565" s="226" t="s">
        <v>1677</v>
      </c>
      <c r="Q565" s="226" t="s">
        <v>1438</v>
      </c>
      <c r="R565" s="213" t="s">
        <v>1552</v>
      </c>
      <c r="S565" s="226" t="s">
        <v>71</v>
      </c>
      <c r="T565" s="229"/>
      <c r="U565" s="229"/>
      <c r="V565" s="229"/>
      <c r="W565" s="229"/>
      <c r="X565" s="229"/>
      <c r="Y565" s="229"/>
      <c r="Z565" s="229"/>
      <c r="AA565" s="229"/>
      <c r="AB565" s="229"/>
      <c r="AC565" s="229"/>
      <c r="AD565" s="229"/>
      <c r="AE565" s="229"/>
      <c r="AF565" s="229"/>
      <c r="AG565" s="229"/>
      <c r="AH565" s="229"/>
      <c r="AI565" s="229"/>
      <c r="AJ565" s="229"/>
      <c r="AK565" s="226" t="s">
        <v>1678</v>
      </c>
      <c r="AL565" s="229"/>
      <c r="AM565" s="229"/>
      <c r="AN565" s="229"/>
      <c r="AO565" s="229"/>
      <c r="AP565" s="229"/>
    </row>
    <row r="566">
      <c r="A566" s="226" t="s">
        <v>36</v>
      </c>
      <c r="B566" s="227">
        <v>45670.64896511574</v>
      </c>
      <c r="C566" s="226" t="s">
        <v>595</v>
      </c>
      <c r="D566" s="226" t="s">
        <v>109</v>
      </c>
      <c r="E566" s="226" t="s">
        <v>138</v>
      </c>
      <c r="F566" s="226" t="s">
        <v>65</v>
      </c>
      <c r="G566" s="226" t="s">
        <v>54</v>
      </c>
      <c r="H566" s="11" t="s">
        <v>439</v>
      </c>
      <c r="I566" s="228">
        <v>2000.0</v>
      </c>
      <c r="J566" s="226" t="s">
        <v>1243</v>
      </c>
      <c r="K566" s="229"/>
      <c r="L566" s="229"/>
      <c r="M566" s="226" t="s">
        <v>71</v>
      </c>
      <c r="N566" s="226" t="s">
        <v>96</v>
      </c>
      <c r="O566" s="226" t="s">
        <v>1679</v>
      </c>
      <c r="P566" s="226" t="s">
        <v>1680</v>
      </c>
      <c r="Q566" s="226" t="s">
        <v>1438</v>
      </c>
      <c r="R566" s="213" t="s">
        <v>1552</v>
      </c>
      <c r="S566" s="213" t="s">
        <v>1557</v>
      </c>
      <c r="T566" s="213" t="s">
        <v>1681</v>
      </c>
      <c r="U566" s="239"/>
      <c r="V566" s="239"/>
      <c r="W566" s="239"/>
      <c r="X566" s="239"/>
      <c r="Y566" s="239"/>
      <c r="Z566" s="239"/>
      <c r="AA566" s="239"/>
      <c r="AB566" s="229"/>
      <c r="AC566" s="229"/>
      <c r="AD566" s="229"/>
      <c r="AE566" s="229"/>
      <c r="AF566" s="229"/>
      <c r="AG566" s="229"/>
      <c r="AH566" s="229"/>
      <c r="AI566" s="229"/>
      <c r="AJ566" s="229"/>
      <c r="AK566" s="226" t="s">
        <v>1678</v>
      </c>
      <c r="AL566" s="229"/>
      <c r="AM566" s="229"/>
      <c r="AN566" s="229"/>
      <c r="AO566" s="229"/>
      <c r="AP566" s="229"/>
    </row>
    <row r="567">
      <c r="A567" s="226" t="s">
        <v>36</v>
      </c>
      <c r="B567" s="227">
        <v>45671.351002905096</v>
      </c>
      <c r="C567" s="226" t="s">
        <v>78</v>
      </c>
      <c r="D567" s="226" t="s">
        <v>51</v>
      </c>
      <c r="E567" s="226" t="s">
        <v>52</v>
      </c>
      <c r="F567" s="226" t="s">
        <v>80</v>
      </c>
      <c r="G567" s="226" t="s">
        <v>41</v>
      </c>
      <c r="H567" s="226" t="s">
        <v>625</v>
      </c>
      <c r="I567" s="238">
        <v>2776.17</v>
      </c>
      <c r="J567" s="226" t="s">
        <v>82</v>
      </c>
      <c r="K567" s="213" t="s">
        <v>1682</v>
      </c>
      <c r="L567" s="226" t="s">
        <v>1683</v>
      </c>
      <c r="M567" s="226" t="s">
        <v>71</v>
      </c>
      <c r="N567" s="226" t="s">
        <v>96</v>
      </c>
      <c r="O567" s="226" t="s">
        <v>1684</v>
      </c>
      <c r="P567" s="226" t="s">
        <v>1685</v>
      </c>
      <c r="Q567" s="226" t="s">
        <v>1471</v>
      </c>
      <c r="R567" s="213" t="s">
        <v>1552</v>
      </c>
      <c r="S567" s="226" t="s">
        <v>71</v>
      </c>
      <c r="T567" s="213" t="s">
        <v>1686</v>
      </c>
      <c r="U567" s="239"/>
      <c r="V567" s="239"/>
      <c r="W567" s="239"/>
      <c r="X567" s="239"/>
      <c r="Y567" s="239"/>
      <c r="Z567" s="239"/>
      <c r="AA567" s="239"/>
      <c r="AB567" s="229"/>
      <c r="AC567" s="229"/>
      <c r="AD567" s="229"/>
      <c r="AE567" s="229"/>
      <c r="AF567" s="229"/>
      <c r="AG567" s="229"/>
      <c r="AH567" s="229"/>
      <c r="AI567" s="229"/>
      <c r="AJ567" s="229"/>
      <c r="AK567" s="226" t="s">
        <v>1678</v>
      </c>
      <c r="AL567" s="229"/>
      <c r="AM567" s="229"/>
      <c r="AN567" s="229"/>
      <c r="AO567" s="229"/>
      <c r="AP567" s="229"/>
    </row>
    <row r="568">
      <c r="A568" s="226" t="s">
        <v>36</v>
      </c>
      <c r="B568" s="227">
        <v>45671.57155783565</v>
      </c>
      <c r="C568" s="226" t="s">
        <v>938</v>
      </c>
      <c r="D568" s="226" t="s">
        <v>51</v>
      </c>
      <c r="E568" s="226" t="s">
        <v>52</v>
      </c>
      <c r="F568" s="226" t="s">
        <v>65</v>
      </c>
      <c r="G568" s="226" t="s">
        <v>54</v>
      </c>
      <c r="H568" s="226" t="s">
        <v>625</v>
      </c>
      <c r="I568" s="226" t="s">
        <v>1687</v>
      </c>
      <c r="J568" s="226" t="s">
        <v>86</v>
      </c>
      <c r="K568" s="229"/>
      <c r="L568" s="226" t="s">
        <v>1688</v>
      </c>
      <c r="M568" s="226" t="s">
        <v>71</v>
      </c>
      <c r="N568" s="226" t="s">
        <v>68</v>
      </c>
      <c r="O568" s="226" t="s">
        <v>941</v>
      </c>
      <c r="P568" s="226" t="s">
        <v>1689</v>
      </c>
      <c r="Q568" s="226" t="s">
        <v>1471</v>
      </c>
      <c r="R568" s="213" t="s">
        <v>1552</v>
      </c>
      <c r="S568" s="213" t="s">
        <v>71</v>
      </c>
      <c r="T568" s="213" t="s">
        <v>1690</v>
      </c>
      <c r="U568" s="239"/>
      <c r="V568" s="239"/>
      <c r="W568" s="239"/>
      <c r="X568" s="239"/>
      <c r="Y568" s="239"/>
      <c r="Z568" s="239"/>
      <c r="AA568" s="239"/>
      <c r="AB568" s="229"/>
      <c r="AC568" s="229"/>
      <c r="AD568" s="229"/>
      <c r="AE568" s="229"/>
      <c r="AF568" s="229"/>
      <c r="AG568" s="229"/>
      <c r="AH568" s="229"/>
      <c r="AI568" s="229"/>
      <c r="AJ568" s="229"/>
      <c r="AK568" s="226" t="s">
        <v>1678</v>
      </c>
      <c r="AL568" s="229"/>
      <c r="AM568" s="229"/>
      <c r="AN568" s="229"/>
      <c r="AO568" s="229"/>
      <c r="AP568" s="229"/>
    </row>
    <row r="569">
      <c r="A569" s="226" t="s">
        <v>36</v>
      </c>
      <c r="B569" s="227">
        <v>45671.62635162037</v>
      </c>
      <c r="C569" s="226" t="s">
        <v>794</v>
      </c>
      <c r="D569" s="226" t="s">
        <v>51</v>
      </c>
      <c r="E569" s="226" t="s">
        <v>795</v>
      </c>
      <c r="F569" s="226" t="s">
        <v>65</v>
      </c>
      <c r="G569" s="226" t="s">
        <v>54</v>
      </c>
      <c r="H569" s="226" t="s">
        <v>607</v>
      </c>
      <c r="I569" s="238">
        <v>286.0</v>
      </c>
      <c r="J569" s="226" t="s">
        <v>184</v>
      </c>
      <c r="K569" s="230" t="s">
        <v>1691</v>
      </c>
      <c r="L569" s="226" t="s">
        <v>1692</v>
      </c>
      <c r="M569" s="226" t="s">
        <v>71</v>
      </c>
      <c r="N569" s="226" t="s">
        <v>96</v>
      </c>
      <c r="O569" s="226" t="s">
        <v>1693</v>
      </c>
      <c r="P569" s="226" t="s">
        <v>1694</v>
      </c>
      <c r="Q569" s="226" t="s">
        <v>1438</v>
      </c>
      <c r="R569" s="213" t="s">
        <v>1552</v>
      </c>
      <c r="S569" s="226" t="s">
        <v>1557</v>
      </c>
      <c r="T569" s="226" t="s">
        <v>1433</v>
      </c>
      <c r="U569" s="233"/>
      <c r="V569" s="233"/>
      <c r="W569" s="233"/>
      <c r="X569" s="233"/>
      <c r="Y569" s="233"/>
      <c r="Z569" s="233"/>
      <c r="AA569" s="233"/>
      <c r="AB569" s="229"/>
      <c r="AC569" s="229"/>
      <c r="AD569" s="229"/>
      <c r="AE569" s="229"/>
      <c r="AF569" s="229"/>
      <c r="AG569" s="229"/>
      <c r="AH569" s="229"/>
      <c r="AI569" s="229"/>
      <c r="AJ569" s="229"/>
      <c r="AK569" s="226" t="s">
        <v>1695</v>
      </c>
      <c r="AL569" s="229"/>
      <c r="AM569" s="229"/>
      <c r="AN569" s="229"/>
      <c r="AO569" s="229"/>
      <c r="AP569" s="229"/>
    </row>
    <row r="570">
      <c r="A570" s="226" t="s">
        <v>36</v>
      </c>
      <c r="B570" s="227">
        <v>45672.35226193287</v>
      </c>
      <c r="C570" s="226" t="s">
        <v>117</v>
      </c>
      <c r="D570" s="226" t="s">
        <v>51</v>
      </c>
      <c r="E570" s="226" t="s">
        <v>52</v>
      </c>
      <c r="F570" s="226" t="s">
        <v>65</v>
      </c>
      <c r="G570" s="226" t="s">
        <v>54</v>
      </c>
      <c r="H570" s="226" t="s">
        <v>625</v>
      </c>
      <c r="I570" s="226" t="s">
        <v>1696</v>
      </c>
      <c r="J570" s="226" t="s">
        <v>118</v>
      </c>
      <c r="K570" s="229"/>
      <c r="L570" s="230" t="s">
        <v>1697</v>
      </c>
      <c r="M570" s="226" t="s">
        <v>71</v>
      </c>
      <c r="N570" s="226" t="s">
        <v>68</v>
      </c>
      <c r="O570" s="226" t="s">
        <v>1698</v>
      </c>
      <c r="P570" s="226" t="s">
        <v>1699</v>
      </c>
      <c r="Q570" s="226" t="s">
        <v>1471</v>
      </c>
      <c r="R570" s="213" t="s">
        <v>1552</v>
      </c>
      <c r="S570" s="226" t="s">
        <v>71</v>
      </c>
      <c r="T570" s="229"/>
      <c r="U570" s="229"/>
      <c r="V570" s="229"/>
      <c r="W570" s="229"/>
      <c r="X570" s="229"/>
      <c r="Y570" s="229"/>
      <c r="Z570" s="229"/>
      <c r="AA570" s="229"/>
      <c r="AB570" s="229"/>
      <c r="AC570" s="229"/>
      <c r="AD570" s="229"/>
      <c r="AE570" s="229"/>
      <c r="AF570" s="229"/>
      <c r="AG570" s="229"/>
      <c r="AH570" s="229"/>
      <c r="AI570" s="229"/>
      <c r="AJ570" s="229"/>
      <c r="AK570" s="226" t="s">
        <v>1695</v>
      </c>
      <c r="AL570" s="229"/>
      <c r="AM570" s="229"/>
      <c r="AN570" s="229"/>
      <c r="AO570" s="229"/>
      <c r="AP570" s="229"/>
    </row>
    <row r="571">
      <c r="A571" s="226" t="s">
        <v>36</v>
      </c>
      <c r="B571" s="227">
        <v>45672.36642155093</v>
      </c>
      <c r="C571" s="226" t="s">
        <v>85</v>
      </c>
      <c r="D571" s="226" t="s">
        <v>1700</v>
      </c>
      <c r="E571" s="226" t="s">
        <v>52</v>
      </c>
      <c r="F571" s="226" t="s">
        <v>65</v>
      </c>
      <c r="G571" s="226" t="s">
        <v>54</v>
      </c>
      <c r="H571" s="226" t="s">
        <v>625</v>
      </c>
      <c r="I571" s="213" t="s">
        <v>1701</v>
      </c>
      <c r="J571" s="226" t="s">
        <v>86</v>
      </c>
      <c r="K571" s="240" t="s">
        <v>1702</v>
      </c>
      <c r="L571" s="230" t="s">
        <v>1703</v>
      </c>
      <c r="M571" s="226" t="s">
        <v>71</v>
      </c>
      <c r="N571" s="226" t="s">
        <v>68</v>
      </c>
      <c r="O571" s="226" t="s">
        <v>1704</v>
      </c>
      <c r="P571" s="226" t="s">
        <v>1705</v>
      </c>
      <c r="Q571" s="226" t="s">
        <v>1471</v>
      </c>
      <c r="R571" s="213" t="s">
        <v>1552</v>
      </c>
      <c r="S571" s="226" t="s">
        <v>71</v>
      </c>
      <c r="T571" s="229"/>
      <c r="U571" s="229"/>
      <c r="V571" s="229"/>
      <c r="W571" s="229"/>
      <c r="X571" s="229"/>
      <c r="Y571" s="229"/>
      <c r="Z571" s="229"/>
      <c r="AA571" s="229"/>
      <c r="AB571" s="229"/>
      <c r="AC571" s="229"/>
      <c r="AD571" s="229"/>
      <c r="AE571" s="229"/>
      <c r="AF571" s="229"/>
      <c r="AG571" s="229"/>
      <c r="AH571" s="229"/>
      <c r="AI571" s="229"/>
      <c r="AJ571" s="229"/>
      <c r="AK571" s="226" t="s">
        <v>1695</v>
      </c>
      <c r="AL571" s="229"/>
      <c r="AM571" s="229"/>
      <c r="AN571" s="229"/>
      <c r="AO571" s="229"/>
      <c r="AP571" s="229"/>
    </row>
    <row r="572">
      <c r="A572" s="226" t="s">
        <v>36</v>
      </c>
      <c r="B572" s="227">
        <v>45672.422988125</v>
      </c>
      <c r="C572" s="226" t="s">
        <v>1706</v>
      </c>
      <c r="D572" s="226" t="s">
        <v>51</v>
      </c>
      <c r="E572" s="226" t="s">
        <v>138</v>
      </c>
      <c r="F572" s="226" t="s">
        <v>65</v>
      </c>
      <c r="G572" s="226" t="s">
        <v>54</v>
      </c>
      <c r="H572" s="226" t="s">
        <v>625</v>
      </c>
      <c r="I572" s="226">
        <v>399.0</v>
      </c>
      <c r="J572" s="226" t="s">
        <v>100</v>
      </c>
      <c r="K572" s="229"/>
      <c r="L572" s="226" t="s">
        <v>1707</v>
      </c>
      <c r="M572" s="226" t="s">
        <v>71</v>
      </c>
      <c r="N572" s="226" t="s">
        <v>96</v>
      </c>
      <c r="O572" s="226" t="s">
        <v>1708</v>
      </c>
      <c r="P572" s="232" t="s">
        <v>1709</v>
      </c>
      <c r="Q572" s="226" t="s">
        <v>1438</v>
      </c>
      <c r="R572" s="213" t="s">
        <v>1552</v>
      </c>
      <c r="S572" s="213" t="s">
        <v>71</v>
      </c>
      <c r="T572" s="213" t="s">
        <v>1710</v>
      </c>
      <c r="U572" s="239"/>
      <c r="V572" s="239"/>
      <c r="W572" s="239"/>
      <c r="X572" s="239"/>
      <c r="Y572" s="239"/>
      <c r="Z572" s="239"/>
      <c r="AA572" s="239"/>
      <c r="AB572" s="229"/>
      <c r="AC572" s="229"/>
      <c r="AD572" s="229"/>
      <c r="AE572" s="229"/>
      <c r="AF572" s="229"/>
      <c r="AG572" s="229"/>
      <c r="AH572" s="229"/>
      <c r="AI572" s="229"/>
      <c r="AJ572" s="229"/>
      <c r="AK572" s="241" t="s">
        <v>1711</v>
      </c>
      <c r="AL572" s="229"/>
      <c r="AM572" s="229"/>
      <c r="AN572" s="229"/>
      <c r="AO572" s="229"/>
      <c r="AP572" s="229"/>
    </row>
    <row r="573">
      <c r="A573" s="226" t="s">
        <v>36</v>
      </c>
      <c r="B573" s="227">
        <v>45672.633781145836</v>
      </c>
      <c r="C573" s="226" t="s">
        <v>1712</v>
      </c>
      <c r="D573" s="226" t="s">
        <v>51</v>
      </c>
      <c r="E573" s="226" t="s">
        <v>52</v>
      </c>
      <c r="F573" s="226" t="s">
        <v>65</v>
      </c>
      <c r="G573" s="226" t="s">
        <v>54</v>
      </c>
      <c r="H573" s="226" t="s">
        <v>625</v>
      </c>
      <c r="I573" s="226" t="s">
        <v>1713</v>
      </c>
      <c r="J573" s="226" t="s">
        <v>100</v>
      </c>
      <c r="K573" s="213" t="s">
        <v>1714</v>
      </c>
      <c r="L573" s="226" t="s">
        <v>1715</v>
      </c>
      <c r="M573" s="226" t="s">
        <v>71</v>
      </c>
      <c r="N573" s="226" t="s">
        <v>96</v>
      </c>
      <c r="O573" s="226" t="s">
        <v>1716</v>
      </c>
      <c r="P573" s="226" t="s">
        <v>1717</v>
      </c>
      <c r="Q573" s="226" t="s">
        <v>1471</v>
      </c>
      <c r="R573" s="213" t="s">
        <v>1552</v>
      </c>
      <c r="S573" s="226" t="s">
        <v>71</v>
      </c>
      <c r="T573" s="229"/>
      <c r="U573" s="229"/>
      <c r="V573" s="229"/>
      <c r="W573" s="229"/>
      <c r="X573" s="229"/>
      <c r="Y573" s="229"/>
      <c r="Z573" s="229"/>
      <c r="AA573" s="229"/>
      <c r="AB573" s="229"/>
      <c r="AC573" s="229"/>
      <c r="AD573" s="229"/>
      <c r="AE573" s="229"/>
      <c r="AF573" s="229"/>
      <c r="AG573" s="229"/>
      <c r="AH573" s="229"/>
      <c r="AI573" s="229"/>
      <c r="AJ573" s="229"/>
      <c r="AK573" s="226" t="s">
        <v>1695</v>
      </c>
      <c r="AL573" s="229"/>
      <c r="AM573" s="229"/>
      <c r="AN573" s="229"/>
      <c r="AO573" s="229"/>
      <c r="AP573" s="229"/>
    </row>
    <row r="574">
      <c r="A574" s="226" t="s">
        <v>36</v>
      </c>
      <c r="B574" s="227">
        <v>45673.39594248842</v>
      </c>
      <c r="C574" s="226" t="s">
        <v>98</v>
      </c>
      <c r="D574" s="226" t="s">
        <v>51</v>
      </c>
      <c r="E574" s="226" t="s">
        <v>52</v>
      </c>
      <c r="F574" s="226" t="s">
        <v>65</v>
      </c>
      <c r="G574" s="226" t="s">
        <v>54</v>
      </c>
      <c r="H574" s="226" t="s">
        <v>625</v>
      </c>
      <c r="I574" s="238">
        <v>3000.0</v>
      </c>
      <c r="J574" s="226" t="s">
        <v>100</v>
      </c>
      <c r="K574" s="229"/>
      <c r="L574" s="226" t="s">
        <v>1718</v>
      </c>
      <c r="M574" s="226" t="s">
        <v>71</v>
      </c>
      <c r="N574" s="226" t="s">
        <v>68</v>
      </c>
      <c r="O574" s="226" t="s">
        <v>1719</v>
      </c>
      <c r="P574" s="226" t="s">
        <v>1720</v>
      </c>
      <c r="Q574" s="226" t="s">
        <v>1471</v>
      </c>
      <c r="R574" s="213" t="s">
        <v>1552</v>
      </c>
      <c r="S574" s="213" t="s">
        <v>71</v>
      </c>
      <c r="T574" s="213" t="s">
        <v>1721</v>
      </c>
      <c r="U574" s="239"/>
      <c r="V574" s="239"/>
      <c r="W574" s="239"/>
      <c r="X574" s="239"/>
      <c r="Y574" s="239"/>
      <c r="Z574" s="239"/>
      <c r="AA574" s="239"/>
      <c r="AB574" s="229"/>
      <c r="AC574" s="229"/>
      <c r="AD574" s="229"/>
      <c r="AE574" s="229"/>
      <c r="AF574" s="229"/>
      <c r="AG574" s="229"/>
      <c r="AH574" s="229"/>
      <c r="AI574" s="229"/>
      <c r="AJ574" s="229"/>
      <c r="AK574" s="226" t="s">
        <v>1722</v>
      </c>
      <c r="AL574" s="229"/>
      <c r="AM574" s="229"/>
      <c r="AN574" s="229"/>
      <c r="AO574" s="229"/>
      <c r="AP574" s="229"/>
    </row>
    <row r="575">
      <c r="A575" s="242" t="s">
        <v>36</v>
      </c>
      <c r="B575" s="243">
        <v>45673.50265539352</v>
      </c>
      <c r="C575" s="242" t="s">
        <v>1586</v>
      </c>
      <c r="D575" s="242" t="s">
        <v>501</v>
      </c>
      <c r="E575" s="242" t="s">
        <v>52</v>
      </c>
      <c r="F575" s="242" t="s">
        <v>65</v>
      </c>
      <c r="G575" s="226" t="s">
        <v>41</v>
      </c>
      <c r="H575" s="226" t="s">
        <v>625</v>
      </c>
      <c r="I575" s="238">
        <v>395.0</v>
      </c>
      <c r="J575" s="226" t="s">
        <v>102</v>
      </c>
      <c r="K575" s="244"/>
      <c r="L575" s="245" t="s">
        <v>1723</v>
      </c>
      <c r="M575" s="242" t="s">
        <v>71</v>
      </c>
      <c r="N575" s="242" t="s">
        <v>96</v>
      </c>
      <c r="O575" s="242" t="s">
        <v>1589</v>
      </c>
      <c r="P575" s="246" t="s">
        <v>1724</v>
      </c>
      <c r="Q575" s="242" t="s">
        <v>1438</v>
      </c>
      <c r="R575" s="242" t="s">
        <v>1552</v>
      </c>
      <c r="S575" s="242" t="s">
        <v>71</v>
      </c>
      <c r="T575" s="244"/>
      <c r="U575" s="244"/>
      <c r="V575" s="244"/>
      <c r="W575" s="244"/>
      <c r="X575" s="244"/>
      <c r="Y575" s="244"/>
      <c r="Z575" s="244"/>
      <c r="AA575" s="244"/>
      <c r="AB575" s="244"/>
      <c r="AC575" s="244"/>
      <c r="AD575" s="244"/>
      <c r="AE575" s="244"/>
      <c r="AF575" s="244"/>
      <c r="AG575" s="244"/>
      <c r="AH575" s="244"/>
      <c r="AI575" s="244"/>
      <c r="AJ575" s="244"/>
      <c r="AK575" s="226" t="s">
        <v>1722</v>
      </c>
      <c r="AL575" s="244"/>
      <c r="AM575" s="244"/>
      <c r="AN575" s="244"/>
      <c r="AO575" s="244"/>
      <c r="AP575" s="244"/>
    </row>
    <row r="576">
      <c r="A576" s="242" t="s">
        <v>36</v>
      </c>
      <c r="B576" s="243">
        <v>45673.53715790509</v>
      </c>
      <c r="C576" s="242" t="s">
        <v>1725</v>
      </c>
      <c r="D576" s="242" t="s">
        <v>142</v>
      </c>
      <c r="E576" s="242" t="s">
        <v>52</v>
      </c>
      <c r="F576" s="242" t="s">
        <v>80</v>
      </c>
      <c r="G576" s="226" t="s">
        <v>131</v>
      </c>
      <c r="H576" s="226" t="s">
        <v>625</v>
      </c>
      <c r="I576" s="238">
        <v>314.97</v>
      </c>
      <c r="J576" s="226" t="s">
        <v>418</v>
      </c>
      <c r="K576" s="247" t="s">
        <v>1726</v>
      </c>
      <c r="L576" s="242" t="s">
        <v>1727</v>
      </c>
      <c r="M576" s="242" t="s">
        <v>71</v>
      </c>
      <c r="N576" s="242" t="s">
        <v>68</v>
      </c>
      <c r="O576" s="242" t="s">
        <v>1728</v>
      </c>
      <c r="P576" s="242" t="s">
        <v>1729</v>
      </c>
      <c r="Q576" s="242" t="s">
        <v>1438</v>
      </c>
      <c r="R576" s="242" t="s">
        <v>1552</v>
      </c>
      <c r="S576" s="242" t="s">
        <v>1557</v>
      </c>
      <c r="T576" s="242" t="s">
        <v>1730</v>
      </c>
      <c r="U576" s="248"/>
      <c r="V576" s="248"/>
      <c r="W576" s="248"/>
      <c r="X576" s="248"/>
      <c r="Y576" s="248"/>
      <c r="Z576" s="248"/>
      <c r="AA576" s="248"/>
      <c r="AB576" s="244"/>
      <c r="AC576" s="244"/>
      <c r="AD576" s="244"/>
      <c r="AE576" s="244"/>
      <c r="AF576" s="244"/>
      <c r="AG576" s="244"/>
      <c r="AH576" s="244"/>
      <c r="AI576" s="244"/>
      <c r="AJ576" s="244"/>
      <c r="AK576" s="242" t="s">
        <v>1731</v>
      </c>
      <c r="AL576" s="244"/>
      <c r="AM576" s="244"/>
      <c r="AN576" s="244"/>
      <c r="AO576" s="244"/>
      <c r="AP576" s="244"/>
    </row>
    <row r="577">
      <c r="A577" s="242" t="s">
        <v>36</v>
      </c>
      <c r="B577" s="243">
        <v>45673.5455874537</v>
      </c>
      <c r="C577" s="242" t="s">
        <v>1725</v>
      </c>
      <c r="D577" s="242" t="s">
        <v>142</v>
      </c>
      <c r="E577" s="242" t="s">
        <v>52</v>
      </c>
      <c r="F577" s="242" t="s">
        <v>80</v>
      </c>
      <c r="G577" s="226" t="s">
        <v>131</v>
      </c>
      <c r="H577" s="226" t="s">
        <v>625</v>
      </c>
      <c r="I577" s="238">
        <v>529.97</v>
      </c>
      <c r="J577" s="226" t="s">
        <v>418</v>
      </c>
      <c r="K577" s="249" t="s">
        <v>1732</v>
      </c>
      <c r="L577" s="242" t="s">
        <v>1733</v>
      </c>
      <c r="M577" s="242" t="s">
        <v>71</v>
      </c>
      <c r="N577" s="242" t="s">
        <v>68</v>
      </c>
      <c r="O577" s="242" t="s">
        <v>1734</v>
      </c>
      <c r="P577" s="242" t="s">
        <v>1735</v>
      </c>
      <c r="Q577" s="242" t="s">
        <v>1438</v>
      </c>
      <c r="R577" s="242" t="s">
        <v>1552</v>
      </c>
      <c r="S577" s="242" t="s">
        <v>1557</v>
      </c>
      <c r="T577" s="242" t="s">
        <v>1736</v>
      </c>
      <c r="U577" s="248"/>
      <c r="V577" s="248"/>
      <c r="W577" s="248"/>
      <c r="X577" s="248"/>
      <c r="Y577" s="248"/>
      <c r="Z577" s="248"/>
      <c r="AA577" s="248"/>
      <c r="AB577" s="244"/>
      <c r="AC577" s="244"/>
      <c r="AD577" s="244"/>
      <c r="AE577" s="244"/>
      <c r="AF577" s="244"/>
      <c r="AG577" s="244"/>
      <c r="AH577" s="244"/>
      <c r="AI577" s="244"/>
      <c r="AJ577" s="244"/>
      <c r="AK577" s="242" t="s">
        <v>1737</v>
      </c>
      <c r="AL577" s="244"/>
      <c r="AM577" s="244"/>
      <c r="AN577" s="244"/>
      <c r="AO577" s="244"/>
      <c r="AP577" s="244"/>
    </row>
    <row r="578">
      <c r="A578" s="242" t="s">
        <v>36</v>
      </c>
      <c r="B578" s="243">
        <v>45673.72406234954</v>
      </c>
      <c r="C578" s="242" t="s">
        <v>195</v>
      </c>
      <c r="D578" s="242" t="s">
        <v>51</v>
      </c>
      <c r="E578" s="242" t="s">
        <v>196</v>
      </c>
      <c r="F578" s="242" t="s">
        <v>80</v>
      </c>
      <c r="G578" s="226" t="s">
        <v>131</v>
      </c>
      <c r="H578" s="226" t="s">
        <v>833</v>
      </c>
      <c r="I578" s="228">
        <v>265.0</v>
      </c>
      <c r="J578" s="226" t="s">
        <v>189</v>
      </c>
      <c r="K578" s="247" t="s">
        <v>1738</v>
      </c>
      <c r="L578" s="242" t="s">
        <v>1739</v>
      </c>
      <c r="M578" s="242" t="s">
        <v>71</v>
      </c>
      <c r="N578" s="242" t="s">
        <v>96</v>
      </c>
      <c r="O578" s="242" t="s">
        <v>1740</v>
      </c>
      <c r="P578" s="242" t="s">
        <v>1414</v>
      </c>
      <c r="Q578" s="242" t="s">
        <v>1438</v>
      </c>
      <c r="R578" s="242" t="s">
        <v>1552</v>
      </c>
      <c r="S578" s="242" t="s">
        <v>71</v>
      </c>
      <c r="T578" s="242" t="s">
        <v>1741</v>
      </c>
      <c r="U578" s="248"/>
      <c r="V578" s="248"/>
      <c r="W578" s="248"/>
      <c r="X578" s="248"/>
      <c r="Y578" s="248"/>
      <c r="Z578" s="248"/>
      <c r="AA578" s="248"/>
      <c r="AB578" s="244"/>
      <c r="AC578" s="244"/>
      <c r="AD578" s="244"/>
      <c r="AE578" s="244"/>
      <c r="AF578" s="244"/>
      <c r="AG578" s="244"/>
      <c r="AH578" s="244"/>
      <c r="AI578" s="244"/>
      <c r="AJ578" s="244"/>
      <c r="AK578" s="242" t="s">
        <v>1742</v>
      </c>
      <c r="AL578" s="244"/>
      <c r="AM578" s="244"/>
      <c r="AN578" s="244"/>
      <c r="AO578" s="244"/>
      <c r="AP578" s="244"/>
    </row>
    <row r="579">
      <c r="A579" s="242" t="s">
        <v>36</v>
      </c>
      <c r="B579" s="243">
        <v>45674.36089372685</v>
      </c>
      <c r="C579" s="242" t="s">
        <v>148</v>
      </c>
      <c r="D579" s="242" t="s">
        <v>51</v>
      </c>
      <c r="E579" s="242" t="s">
        <v>149</v>
      </c>
      <c r="F579" s="242" t="s">
        <v>80</v>
      </c>
      <c r="G579" s="242" t="s">
        <v>41</v>
      </c>
      <c r="H579" s="242" t="s">
        <v>625</v>
      </c>
      <c r="I579" s="242">
        <v>349.0</v>
      </c>
      <c r="J579" s="242" t="s">
        <v>100</v>
      </c>
      <c r="K579" s="244"/>
      <c r="L579" s="247" t="s">
        <v>1743</v>
      </c>
      <c r="M579" s="242" t="s">
        <v>71</v>
      </c>
      <c r="N579" s="242" t="s">
        <v>96</v>
      </c>
      <c r="O579" s="242" t="s">
        <v>907</v>
      </c>
      <c r="P579" s="242" t="s">
        <v>1744</v>
      </c>
      <c r="Q579" s="242" t="s">
        <v>1438</v>
      </c>
      <c r="R579" s="242" t="s">
        <v>1552</v>
      </c>
      <c r="S579" s="242" t="s">
        <v>71</v>
      </c>
      <c r="T579" s="242" t="s">
        <v>1745</v>
      </c>
      <c r="U579" s="248"/>
      <c r="V579" s="248"/>
      <c r="W579" s="248"/>
      <c r="X579" s="248"/>
      <c r="Y579" s="248"/>
      <c r="Z579" s="248"/>
      <c r="AA579" s="248"/>
      <c r="AB579" s="244"/>
      <c r="AC579" s="244"/>
      <c r="AD579" s="244"/>
      <c r="AE579" s="244"/>
      <c r="AF579" s="244"/>
      <c r="AG579" s="244"/>
      <c r="AH579" s="244"/>
      <c r="AI579" s="244"/>
      <c r="AJ579" s="244"/>
      <c r="AK579" s="226" t="s">
        <v>1722</v>
      </c>
      <c r="AL579" s="244"/>
      <c r="AM579" s="244"/>
      <c r="AN579" s="244"/>
      <c r="AO579" s="244"/>
      <c r="AP579" s="244"/>
    </row>
    <row r="580">
      <c r="A580" s="226" t="s">
        <v>36</v>
      </c>
      <c r="B580" s="227">
        <v>45674.64597899305</v>
      </c>
      <c r="C580" s="226" t="s">
        <v>1746</v>
      </c>
      <c r="D580" s="226" t="s">
        <v>51</v>
      </c>
      <c r="E580" s="226" t="s">
        <v>52</v>
      </c>
      <c r="F580" s="226" t="s">
        <v>210</v>
      </c>
      <c r="G580" s="226" t="s">
        <v>54</v>
      </c>
      <c r="H580" s="226" t="s">
        <v>833</v>
      </c>
      <c r="I580" s="226">
        <v>100.0</v>
      </c>
      <c r="J580" s="226" t="s">
        <v>43</v>
      </c>
      <c r="K580" s="240" t="s">
        <v>1747</v>
      </c>
      <c r="L580" s="230" t="s">
        <v>1748</v>
      </c>
      <c r="M580" s="226" t="s">
        <v>71</v>
      </c>
      <c r="N580" s="226" t="s">
        <v>96</v>
      </c>
      <c r="O580" s="226" t="s">
        <v>1749</v>
      </c>
      <c r="P580" s="226" t="s">
        <v>1750</v>
      </c>
      <c r="Q580" s="226" t="s">
        <v>1438</v>
      </c>
      <c r="R580" s="213" t="s">
        <v>1552</v>
      </c>
      <c r="S580" s="226" t="s">
        <v>71</v>
      </c>
      <c r="T580" s="229"/>
      <c r="U580" s="229"/>
      <c r="V580" s="229"/>
      <c r="W580" s="229"/>
      <c r="X580" s="229"/>
      <c r="Y580" s="229"/>
      <c r="Z580" s="229"/>
      <c r="AA580" s="229"/>
      <c r="AB580" s="229"/>
      <c r="AC580" s="229"/>
      <c r="AD580" s="229"/>
      <c r="AE580" s="229"/>
      <c r="AF580" s="229"/>
      <c r="AG580" s="229"/>
      <c r="AH580" s="229"/>
      <c r="AI580" s="229"/>
      <c r="AJ580" s="229"/>
      <c r="AK580" s="226" t="s">
        <v>1722</v>
      </c>
      <c r="AL580" s="229"/>
      <c r="AM580" s="229"/>
      <c r="AN580" s="229"/>
      <c r="AO580" s="229"/>
      <c r="AP580" s="229"/>
    </row>
    <row r="581">
      <c r="A581" s="226" t="s">
        <v>36</v>
      </c>
      <c r="B581" s="227">
        <v>45674.753239432874</v>
      </c>
      <c r="C581" s="226" t="s">
        <v>1751</v>
      </c>
      <c r="D581" s="226" t="s">
        <v>51</v>
      </c>
      <c r="E581" s="226" t="s">
        <v>52</v>
      </c>
      <c r="F581" s="226" t="s">
        <v>65</v>
      </c>
      <c r="G581" s="226" t="s">
        <v>54</v>
      </c>
      <c r="H581" s="226" t="s">
        <v>833</v>
      </c>
      <c r="I581" s="238">
        <v>105.99</v>
      </c>
      <c r="J581" s="226" t="s">
        <v>244</v>
      </c>
      <c r="K581" s="240" t="s">
        <v>1747</v>
      </c>
      <c r="L581" s="226" t="s">
        <v>1752</v>
      </c>
      <c r="M581" s="226" t="s">
        <v>71</v>
      </c>
      <c r="N581" s="226" t="s">
        <v>68</v>
      </c>
      <c r="O581" s="226" t="s">
        <v>1753</v>
      </c>
      <c r="P581" s="232" t="s">
        <v>1754</v>
      </c>
      <c r="Q581" s="226" t="s">
        <v>1438</v>
      </c>
      <c r="R581" s="226" t="s">
        <v>1621</v>
      </c>
      <c r="S581" s="226" t="s">
        <v>1557</v>
      </c>
      <c r="T581" s="226" t="s">
        <v>1755</v>
      </c>
      <c r="U581" s="233"/>
      <c r="V581" s="233"/>
      <c r="W581" s="233"/>
      <c r="X581" s="233"/>
      <c r="Y581" s="233"/>
      <c r="Z581" s="233"/>
      <c r="AA581" s="233"/>
      <c r="AB581" s="229"/>
      <c r="AC581" s="229"/>
      <c r="AD581" s="229"/>
      <c r="AE581" s="229"/>
      <c r="AF581" s="229"/>
      <c r="AG581" s="229"/>
      <c r="AH581" s="229"/>
      <c r="AI581" s="229"/>
      <c r="AJ581" s="229"/>
      <c r="AK581" s="226" t="s">
        <v>1756</v>
      </c>
      <c r="AL581" s="229"/>
      <c r="AM581" s="229"/>
      <c r="AN581" s="229"/>
      <c r="AO581" s="229"/>
      <c r="AP581" s="229"/>
    </row>
    <row r="582">
      <c r="A582" s="226" t="s">
        <v>36</v>
      </c>
      <c r="B582" s="227">
        <v>45679.59081299769</v>
      </c>
      <c r="C582" s="226" t="s">
        <v>1757</v>
      </c>
      <c r="D582" s="226" t="s">
        <v>800</v>
      </c>
      <c r="E582" s="226" t="s">
        <v>800</v>
      </c>
      <c r="F582" s="226" t="s">
        <v>800</v>
      </c>
      <c r="G582" s="226" t="s">
        <v>800</v>
      </c>
      <c r="H582" s="226" t="s">
        <v>1098</v>
      </c>
      <c r="I582" s="250">
        <v>15000.0</v>
      </c>
      <c r="J582" s="226" t="s">
        <v>121</v>
      </c>
      <c r="K582" s="229"/>
      <c r="L582" s="229"/>
      <c r="M582" s="226" t="s">
        <v>71</v>
      </c>
      <c r="N582" s="226" t="s">
        <v>68</v>
      </c>
      <c r="O582" s="226" t="s">
        <v>1758</v>
      </c>
      <c r="P582" s="226" t="s">
        <v>1759</v>
      </c>
      <c r="Q582" s="226" t="s">
        <v>1438</v>
      </c>
      <c r="R582" s="213" t="s">
        <v>1598</v>
      </c>
      <c r="S582" s="226" t="s">
        <v>1557</v>
      </c>
      <c r="T582" s="226" t="s">
        <v>736</v>
      </c>
      <c r="U582" s="233"/>
      <c r="V582" s="233"/>
      <c r="W582" s="233"/>
      <c r="X582" s="233"/>
      <c r="Y582" s="233"/>
      <c r="Z582" s="233"/>
      <c r="AA582" s="233"/>
      <c r="AB582" s="229"/>
      <c r="AC582" s="229"/>
      <c r="AD582" s="229"/>
      <c r="AE582" s="229"/>
      <c r="AF582" s="229"/>
      <c r="AG582" s="229"/>
      <c r="AH582" s="229"/>
      <c r="AI582" s="229"/>
      <c r="AJ582" s="229"/>
      <c r="AK582" s="226" t="s">
        <v>1760</v>
      </c>
      <c r="AL582" s="229"/>
      <c r="AM582" s="229"/>
      <c r="AN582" s="229"/>
      <c r="AO582" s="229"/>
      <c r="AP582" s="229"/>
    </row>
    <row r="583">
      <c r="A583" s="226" t="s">
        <v>36</v>
      </c>
      <c r="B583" s="227">
        <v>45681.484732083336</v>
      </c>
      <c r="C583" s="226" t="s">
        <v>1706</v>
      </c>
      <c r="D583" s="226" t="s">
        <v>51</v>
      </c>
      <c r="E583" s="226" t="s">
        <v>138</v>
      </c>
      <c r="F583" s="226" t="s">
        <v>65</v>
      </c>
      <c r="G583" s="226" t="s">
        <v>54</v>
      </c>
      <c r="H583" s="226" t="s">
        <v>625</v>
      </c>
      <c r="I583" s="228">
        <v>169.0</v>
      </c>
      <c r="J583" s="226" t="s">
        <v>100</v>
      </c>
      <c r="K583" s="229"/>
      <c r="L583" s="230" t="s">
        <v>1761</v>
      </c>
      <c r="M583" s="226" t="s">
        <v>71</v>
      </c>
      <c r="N583" s="226" t="s">
        <v>96</v>
      </c>
      <c r="O583" s="226" t="s">
        <v>1708</v>
      </c>
      <c r="P583" s="226" t="s">
        <v>1762</v>
      </c>
      <c r="Q583" s="226" t="s">
        <v>1438</v>
      </c>
      <c r="R583" s="213" t="s">
        <v>1552</v>
      </c>
      <c r="S583" s="213" t="s">
        <v>71</v>
      </c>
      <c r="T583" s="213" t="s">
        <v>1763</v>
      </c>
      <c r="U583" s="239"/>
      <c r="V583" s="239"/>
      <c r="W583" s="239"/>
      <c r="X583" s="239"/>
      <c r="Y583" s="239"/>
      <c r="Z583" s="239"/>
      <c r="AA583" s="239"/>
      <c r="AB583" s="229"/>
      <c r="AC583" s="229"/>
      <c r="AD583" s="229"/>
      <c r="AE583" s="229"/>
      <c r="AF583" s="229"/>
      <c r="AG583" s="229"/>
      <c r="AH583" s="229"/>
      <c r="AI583" s="229"/>
      <c r="AJ583" s="229"/>
      <c r="AK583" s="226" t="s">
        <v>1760</v>
      </c>
      <c r="AL583" s="229"/>
      <c r="AM583" s="229"/>
      <c r="AN583" s="229"/>
      <c r="AO583" s="229"/>
      <c r="AP583" s="229"/>
    </row>
    <row r="584">
      <c r="A584" s="226" t="s">
        <v>36</v>
      </c>
      <c r="B584" s="227">
        <v>45681.48882699074</v>
      </c>
      <c r="C584" s="226" t="s">
        <v>1706</v>
      </c>
      <c r="D584" s="226" t="s">
        <v>51</v>
      </c>
      <c r="E584" s="226" t="s">
        <v>138</v>
      </c>
      <c r="F584" s="226" t="s">
        <v>65</v>
      </c>
      <c r="G584" s="226" t="s">
        <v>54</v>
      </c>
      <c r="H584" s="226" t="s">
        <v>625</v>
      </c>
      <c r="I584" s="228">
        <v>699.0</v>
      </c>
      <c r="J584" s="226" t="s">
        <v>100</v>
      </c>
      <c r="K584" s="229"/>
      <c r="L584" s="230" t="s">
        <v>1764</v>
      </c>
      <c r="M584" s="226" t="s">
        <v>71</v>
      </c>
      <c r="N584" s="226" t="s">
        <v>96</v>
      </c>
      <c r="O584" s="226" t="s">
        <v>1708</v>
      </c>
      <c r="P584" s="232" t="s">
        <v>1765</v>
      </c>
      <c r="Q584" s="226" t="s">
        <v>1438</v>
      </c>
      <c r="R584" s="213" t="s">
        <v>1552</v>
      </c>
      <c r="S584" s="226" t="s">
        <v>71</v>
      </c>
      <c r="T584" s="213" t="s">
        <v>1766</v>
      </c>
      <c r="U584" s="239"/>
      <c r="V584" s="239"/>
      <c r="W584" s="239"/>
      <c r="X584" s="239"/>
      <c r="Y584" s="239"/>
      <c r="Z584" s="239"/>
      <c r="AA584" s="239"/>
      <c r="AB584" s="229"/>
      <c r="AC584" s="229"/>
      <c r="AD584" s="229"/>
      <c r="AE584" s="229"/>
      <c r="AF584" s="229"/>
      <c r="AG584" s="229"/>
      <c r="AH584" s="229"/>
      <c r="AI584" s="229"/>
      <c r="AJ584" s="229"/>
      <c r="AK584" s="226" t="s">
        <v>1760</v>
      </c>
      <c r="AL584" s="229"/>
      <c r="AM584" s="229"/>
      <c r="AN584" s="229"/>
      <c r="AO584" s="229"/>
      <c r="AP584" s="229"/>
    </row>
    <row r="585">
      <c r="A585" s="226" t="s">
        <v>36</v>
      </c>
      <c r="B585" s="227">
        <v>45681.5601269676</v>
      </c>
      <c r="C585" s="226" t="s">
        <v>234</v>
      </c>
      <c r="D585" s="226" t="s">
        <v>109</v>
      </c>
      <c r="E585" s="226" t="s">
        <v>52</v>
      </c>
      <c r="F585" s="226" t="s">
        <v>65</v>
      </c>
      <c r="G585" s="226" t="s">
        <v>54</v>
      </c>
      <c r="H585" s="226" t="s">
        <v>625</v>
      </c>
      <c r="I585" s="226" t="s">
        <v>1767</v>
      </c>
      <c r="J585" s="226" t="s">
        <v>48</v>
      </c>
      <c r="K585" s="229"/>
      <c r="L585" s="230" t="s">
        <v>1768</v>
      </c>
      <c r="M585" s="226" t="s">
        <v>71</v>
      </c>
      <c r="N585" s="226" t="s">
        <v>68</v>
      </c>
      <c r="O585" s="226" t="s">
        <v>1769</v>
      </c>
      <c r="P585" s="226" t="s">
        <v>1770</v>
      </c>
      <c r="Q585" s="226" t="s">
        <v>1471</v>
      </c>
      <c r="R585" s="213" t="s">
        <v>1552</v>
      </c>
      <c r="S585" s="226" t="s">
        <v>71</v>
      </c>
      <c r="T585" s="229"/>
      <c r="U585" s="229"/>
      <c r="V585" s="229"/>
      <c r="W585" s="229"/>
      <c r="X585" s="229"/>
      <c r="Y585" s="229"/>
      <c r="Z585" s="229"/>
      <c r="AA585" s="229"/>
      <c r="AB585" s="229"/>
      <c r="AC585" s="229"/>
      <c r="AD585" s="229"/>
      <c r="AE585" s="229"/>
      <c r="AF585" s="229"/>
      <c r="AG585" s="229"/>
      <c r="AH585" s="229"/>
      <c r="AI585" s="229"/>
      <c r="AJ585" s="229"/>
      <c r="AK585" s="226" t="s">
        <v>1771</v>
      </c>
      <c r="AL585" s="229"/>
      <c r="AM585" s="229"/>
      <c r="AN585" s="229"/>
      <c r="AO585" s="229"/>
      <c r="AP585" s="229"/>
    </row>
    <row r="586">
      <c r="A586" s="226" t="s">
        <v>36</v>
      </c>
      <c r="B586" s="227">
        <v>45681.57470596065</v>
      </c>
      <c r="C586" s="226" t="s">
        <v>1772</v>
      </c>
      <c r="D586" s="226" t="s">
        <v>51</v>
      </c>
      <c r="E586" s="226" t="s">
        <v>138</v>
      </c>
      <c r="F586" s="226" t="s">
        <v>65</v>
      </c>
      <c r="G586" s="226" t="s">
        <v>54</v>
      </c>
      <c r="H586" s="11" t="s">
        <v>439</v>
      </c>
      <c r="I586" s="238">
        <v>3000.0</v>
      </c>
      <c r="J586" s="226" t="s">
        <v>1033</v>
      </c>
      <c r="K586" s="229"/>
      <c r="L586" s="229"/>
      <c r="M586" s="226" t="s">
        <v>71</v>
      </c>
      <c r="N586" s="226" t="s">
        <v>68</v>
      </c>
      <c r="O586" s="226" t="s">
        <v>1773</v>
      </c>
      <c r="P586" s="232" t="s">
        <v>1774</v>
      </c>
      <c r="Q586" s="226" t="s">
        <v>1438</v>
      </c>
      <c r="R586" s="213" t="s">
        <v>1552</v>
      </c>
      <c r="S586" s="213" t="s">
        <v>1557</v>
      </c>
      <c r="T586" s="213" t="s">
        <v>1775</v>
      </c>
      <c r="U586" s="239"/>
      <c r="V586" s="239"/>
      <c r="W586" s="239"/>
      <c r="X586" s="239"/>
      <c r="Y586" s="239"/>
      <c r="Z586" s="239"/>
      <c r="AA586" s="239"/>
      <c r="AB586" s="229"/>
      <c r="AC586" s="229"/>
      <c r="AD586" s="229"/>
      <c r="AE586" s="229"/>
      <c r="AF586" s="229"/>
      <c r="AG586" s="229"/>
      <c r="AH586" s="229"/>
      <c r="AI586" s="229"/>
      <c r="AJ586" s="229"/>
      <c r="AK586" s="226" t="s">
        <v>1771</v>
      </c>
      <c r="AL586" s="229"/>
      <c r="AM586" s="229"/>
      <c r="AN586" s="229"/>
      <c r="AO586" s="229"/>
      <c r="AP586" s="229"/>
    </row>
    <row r="587">
      <c r="A587" s="226" t="s">
        <v>36</v>
      </c>
      <c r="B587" s="227">
        <v>45681.71911585648</v>
      </c>
      <c r="C587" s="226" t="s">
        <v>710</v>
      </c>
      <c r="D587" s="226" t="s">
        <v>51</v>
      </c>
      <c r="E587" s="226" t="s">
        <v>52</v>
      </c>
      <c r="F587" s="226" t="s">
        <v>65</v>
      </c>
      <c r="G587" s="226" t="s">
        <v>54</v>
      </c>
      <c r="H587" s="226" t="s">
        <v>625</v>
      </c>
      <c r="I587" s="228">
        <v>895.0</v>
      </c>
      <c r="J587" s="226" t="s">
        <v>86</v>
      </c>
      <c r="K587" s="229"/>
      <c r="L587" s="230" t="s">
        <v>1776</v>
      </c>
      <c r="M587" s="226" t="s">
        <v>71</v>
      </c>
      <c r="N587" s="226" t="s">
        <v>96</v>
      </c>
      <c r="O587" s="226" t="s">
        <v>965</v>
      </c>
      <c r="P587" s="226" t="s">
        <v>1777</v>
      </c>
      <c r="Q587" s="226" t="s">
        <v>1438</v>
      </c>
      <c r="R587" s="213" t="s">
        <v>1552</v>
      </c>
      <c r="S587" s="213" t="s">
        <v>1557</v>
      </c>
      <c r="T587" s="213" t="s">
        <v>1778</v>
      </c>
      <c r="U587" s="239"/>
      <c r="V587" s="239"/>
      <c r="W587" s="239"/>
      <c r="X587" s="239"/>
      <c r="Y587" s="239"/>
      <c r="Z587" s="239"/>
      <c r="AA587" s="239"/>
      <c r="AB587" s="229"/>
      <c r="AC587" s="229"/>
      <c r="AD587" s="229"/>
      <c r="AE587" s="229"/>
      <c r="AF587" s="229"/>
      <c r="AG587" s="229"/>
      <c r="AH587" s="229"/>
      <c r="AI587" s="229"/>
      <c r="AJ587" s="229"/>
      <c r="AK587" s="226" t="s">
        <v>1771</v>
      </c>
      <c r="AL587" s="229"/>
      <c r="AM587" s="229"/>
      <c r="AN587" s="229"/>
      <c r="AO587" s="229"/>
      <c r="AP587" s="229"/>
    </row>
    <row r="588">
      <c r="A588" s="226" t="s">
        <v>36</v>
      </c>
      <c r="B588" s="227">
        <v>45681.916487361115</v>
      </c>
      <c r="C588" s="226" t="s">
        <v>153</v>
      </c>
      <c r="D588" s="226" t="s">
        <v>142</v>
      </c>
      <c r="E588" s="226" t="s">
        <v>52</v>
      </c>
      <c r="F588" s="226" t="s">
        <v>65</v>
      </c>
      <c r="G588" s="226" t="s">
        <v>41</v>
      </c>
      <c r="H588" s="226" t="s">
        <v>833</v>
      </c>
      <c r="I588" s="228">
        <v>3000.0</v>
      </c>
      <c r="J588" s="226" t="s">
        <v>100</v>
      </c>
      <c r="K588" s="229"/>
      <c r="L588" s="230" t="s">
        <v>1779</v>
      </c>
      <c r="M588" s="226" t="s">
        <v>71</v>
      </c>
      <c r="N588" s="226" t="s">
        <v>96</v>
      </c>
      <c r="O588" s="226" t="s">
        <v>1780</v>
      </c>
      <c r="P588" s="226" t="s">
        <v>1781</v>
      </c>
      <c r="Q588" s="226" t="s">
        <v>1471</v>
      </c>
      <c r="R588" s="213" t="s">
        <v>1552</v>
      </c>
      <c r="S588" s="226" t="s">
        <v>71</v>
      </c>
      <c r="T588" s="229"/>
      <c r="U588" s="229"/>
      <c r="V588" s="229"/>
      <c r="W588" s="229"/>
      <c r="X588" s="229"/>
      <c r="Y588" s="229"/>
      <c r="Z588" s="229"/>
      <c r="AA588" s="229"/>
      <c r="AB588" s="229"/>
      <c r="AC588" s="229"/>
      <c r="AD588" s="229"/>
      <c r="AE588" s="229"/>
      <c r="AF588" s="229"/>
      <c r="AG588" s="229"/>
      <c r="AH588" s="229"/>
      <c r="AI588" s="229"/>
      <c r="AJ588" s="229"/>
      <c r="AK588" s="226" t="s">
        <v>1771</v>
      </c>
      <c r="AL588" s="229"/>
      <c r="AM588" s="229"/>
      <c r="AN588" s="229"/>
      <c r="AO588" s="229"/>
      <c r="AP588" s="229"/>
    </row>
    <row r="589">
      <c r="A589" s="226" t="s">
        <v>36</v>
      </c>
      <c r="B589" s="227">
        <v>45684.58052888889</v>
      </c>
      <c r="C589" s="226" t="s">
        <v>720</v>
      </c>
      <c r="D589" s="226" t="s">
        <v>51</v>
      </c>
      <c r="E589" s="226" t="s">
        <v>52</v>
      </c>
      <c r="F589" s="226" t="s">
        <v>40</v>
      </c>
      <c r="G589" s="226" t="s">
        <v>131</v>
      </c>
      <c r="H589" s="226" t="s">
        <v>625</v>
      </c>
      <c r="I589" s="226" t="s">
        <v>1782</v>
      </c>
      <c r="J589" s="226" t="s">
        <v>514</v>
      </c>
      <c r="K589" s="229"/>
      <c r="L589" s="230" t="s">
        <v>1783</v>
      </c>
      <c r="M589" s="226" t="s">
        <v>71</v>
      </c>
      <c r="N589" s="226" t="s">
        <v>96</v>
      </c>
      <c r="O589" s="226" t="s">
        <v>1784</v>
      </c>
      <c r="P589" s="226" t="s">
        <v>1785</v>
      </c>
      <c r="Q589" s="226" t="s">
        <v>1438</v>
      </c>
      <c r="R589" s="213" t="s">
        <v>1552</v>
      </c>
      <c r="S589" s="226" t="s">
        <v>71</v>
      </c>
      <c r="T589" s="229"/>
      <c r="U589" s="229"/>
      <c r="V589" s="229"/>
      <c r="W589" s="229"/>
      <c r="X589" s="229"/>
      <c r="Y589" s="229"/>
      <c r="Z589" s="229"/>
      <c r="AA589" s="229"/>
      <c r="AB589" s="229"/>
      <c r="AC589" s="229"/>
      <c r="AD589" s="229"/>
      <c r="AE589" s="229"/>
      <c r="AF589" s="229"/>
      <c r="AG589" s="229"/>
      <c r="AH589" s="229"/>
      <c r="AI589" s="229"/>
      <c r="AJ589" s="229"/>
      <c r="AK589" s="226" t="s">
        <v>1786</v>
      </c>
      <c r="AL589" s="229"/>
      <c r="AM589" s="229"/>
      <c r="AN589" s="229"/>
      <c r="AO589" s="229"/>
      <c r="AP589" s="229"/>
    </row>
    <row r="590">
      <c r="A590" s="226" t="s">
        <v>36</v>
      </c>
      <c r="B590" s="227">
        <v>45684.8127712037</v>
      </c>
      <c r="C590" s="226" t="s">
        <v>1045</v>
      </c>
      <c r="D590" s="226" t="s">
        <v>109</v>
      </c>
      <c r="E590" s="226" t="s">
        <v>52</v>
      </c>
      <c r="F590" s="226" t="s">
        <v>65</v>
      </c>
      <c r="G590" s="226" t="s">
        <v>54</v>
      </c>
      <c r="H590" s="226" t="s">
        <v>833</v>
      </c>
      <c r="I590" s="228">
        <v>625.0</v>
      </c>
      <c r="J590" s="226" t="s">
        <v>1046</v>
      </c>
      <c r="K590" s="229"/>
      <c r="L590" s="240" t="s">
        <v>1787</v>
      </c>
      <c r="M590" s="226" t="s">
        <v>71</v>
      </c>
      <c r="N590" s="226" t="s">
        <v>96</v>
      </c>
      <c r="O590" s="226" t="s">
        <v>1788</v>
      </c>
      <c r="P590" s="232" t="s">
        <v>1789</v>
      </c>
      <c r="Q590" s="226" t="s">
        <v>1471</v>
      </c>
      <c r="R590" s="213" t="s">
        <v>1552</v>
      </c>
      <c r="S590" s="226" t="s">
        <v>1557</v>
      </c>
      <c r="T590" s="226" t="s">
        <v>1790</v>
      </c>
      <c r="U590" s="233"/>
      <c r="V590" s="233"/>
      <c r="W590" s="233"/>
      <c r="X590" s="233"/>
      <c r="Y590" s="233"/>
      <c r="Z590" s="233"/>
      <c r="AA590" s="233"/>
      <c r="AB590" s="229"/>
      <c r="AC590" s="229"/>
      <c r="AD590" s="229"/>
      <c r="AE590" s="229"/>
      <c r="AF590" s="229"/>
      <c r="AG590" s="229"/>
      <c r="AH590" s="229"/>
      <c r="AI590" s="229"/>
      <c r="AJ590" s="229"/>
      <c r="AK590" s="226" t="s">
        <v>1786</v>
      </c>
      <c r="AL590" s="229"/>
      <c r="AM590" s="229"/>
      <c r="AN590" s="229"/>
      <c r="AO590" s="229"/>
      <c r="AP590" s="229"/>
    </row>
    <row r="591">
      <c r="A591" s="226" t="s">
        <v>36</v>
      </c>
      <c r="B591" s="227">
        <v>45686.099515891205</v>
      </c>
      <c r="C591" s="226" t="s">
        <v>209</v>
      </c>
      <c r="D591" s="226" t="s">
        <v>51</v>
      </c>
      <c r="E591" s="226" t="s">
        <v>52</v>
      </c>
      <c r="F591" s="226" t="s">
        <v>210</v>
      </c>
      <c r="G591" s="226" t="s">
        <v>131</v>
      </c>
      <c r="H591" s="226" t="s">
        <v>625</v>
      </c>
      <c r="I591" s="226" t="s">
        <v>1791</v>
      </c>
      <c r="J591" s="226" t="s">
        <v>100</v>
      </c>
      <c r="K591" s="240" t="s">
        <v>1792</v>
      </c>
      <c r="L591" s="226" t="s">
        <v>1793</v>
      </c>
      <c r="M591" s="226" t="s">
        <v>71</v>
      </c>
      <c r="N591" s="226" t="s">
        <v>96</v>
      </c>
      <c r="O591" s="226" t="s">
        <v>1794</v>
      </c>
      <c r="P591" s="226" t="s">
        <v>1795</v>
      </c>
      <c r="Q591" s="226" t="s">
        <v>1471</v>
      </c>
      <c r="R591" s="213" t="s">
        <v>1552</v>
      </c>
      <c r="S591" s="226" t="s">
        <v>71</v>
      </c>
      <c r="T591" s="229"/>
      <c r="U591" s="229"/>
      <c r="V591" s="229"/>
      <c r="W591" s="229"/>
      <c r="X591" s="229"/>
      <c r="Y591" s="229"/>
      <c r="Z591" s="229"/>
      <c r="AA591" s="229"/>
      <c r="AB591" s="229"/>
      <c r="AC591" s="229"/>
      <c r="AD591" s="229"/>
      <c r="AE591" s="229"/>
      <c r="AF591" s="229"/>
      <c r="AG591" s="229"/>
      <c r="AH591" s="229"/>
      <c r="AI591" s="229"/>
      <c r="AJ591" s="229"/>
      <c r="AK591" s="213" t="s">
        <v>1796</v>
      </c>
      <c r="AL591" s="229"/>
      <c r="AM591" s="229"/>
      <c r="AN591" s="229"/>
      <c r="AO591" s="229"/>
      <c r="AP591" s="229"/>
    </row>
    <row r="592">
      <c r="A592" s="226" t="s">
        <v>36</v>
      </c>
      <c r="B592" s="227">
        <v>45687.413448645835</v>
      </c>
      <c r="C592" s="226" t="s">
        <v>1318</v>
      </c>
      <c r="D592" s="226" t="s">
        <v>734</v>
      </c>
      <c r="E592" s="226" t="s">
        <v>735</v>
      </c>
      <c r="F592" s="226" t="s">
        <v>735</v>
      </c>
      <c r="G592" s="226" t="s">
        <v>735</v>
      </c>
      <c r="H592" s="226" t="s">
        <v>625</v>
      </c>
      <c r="I592" s="238">
        <v>3000.0</v>
      </c>
      <c r="J592" s="226" t="s">
        <v>262</v>
      </c>
      <c r="K592" s="229"/>
      <c r="L592" s="251" t="s">
        <v>1797</v>
      </c>
      <c r="M592" s="226" t="s">
        <v>71</v>
      </c>
      <c r="N592" s="226" t="s">
        <v>68</v>
      </c>
      <c r="O592" s="226" t="s">
        <v>880</v>
      </c>
      <c r="P592" s="226" t="s">
        <v>1798</v>
      </c>
      <c r="Q592" s="226" t="s">
        <v>1471</v>
      </c>
      <c r="R592" s="213" t="s">
        <v>1552</v>
      </c>
      <c r="S592" s="226" t="s">
        <v>71</v>
      </c>
      <c r="T592" s="229"/>
      <c r="U592" s="229"/>
      <c r="V592" s="229"/>
      <c r="W592" s="229"/>
      <c r="X592" s="229"/>
      <c r="Y592" s="229"/>
      <c r="Z592" s="229"/>
      <c r="AA592" s="229"/>
      <c r="AB592" s="229"/>
      <c r="AC592" s="229"/>
      <c r="AD592" s="229"/>
      <c r="AE592" s="229"/>
      <c r="AF592" s="229"/>
      <c r="AG592" s="229"/>
      <c r="AH592" s="229"/>
      <c r="AI592" s="229"/>
      <c r="AJ592" s="229"/>
      <c r="AK592" s="213" t="s">
        <v>1799</v>
      </c>
      <c r="AL592" s="229"/>
      <c r="AM592" s="229"/>
      <c r="AN592" s="229"/>
      <c r="AO592" s="229"/>
      <c r="AP592" s="229"/>
    </row>
    <row r="593">
      <c r="A593" s="226" t="s">
        <v>36</v>
      </c>
      <c r="B593" s="227">
        <v>45687.447167210645</v>
      </c>
      <c r="C593" s="226" t="s">
        <v>201</v>
      </c>
      <c r="D593" s="226" t="s">
        <v>1800</v>
      </c>
      <c r="E593" s="226" t="s">
        <v>52</v>
      </c>
      <c r="F593" s="226" t="s">
        <v>65</v>
      </c>
      <c r="G593" s="226" t="s">
        <v>54</v>
      </c>
      <c r="H593" s="226" t="s">
        <v>625</v>
      </c>
      <c r="I593" s="226" t="s">
        <v>1801</v>
      </c>
      <c r="J593" s="226" t="s">
        <v>102</v>
      </c>
      <c r="K593" s="240" t="s">
        <v>1802</v>
      </c>
      <c r="L593" s="226" t="s">
        <v>1803</v>
      </c>
      <c r="M593" s="226" t="s">
        <v>71</v>
      </c>
      <c r="N593" s="226" t="s">
        <v>96</v>
      </c>
      <c r="O593" s="226" t="s">
        <v>1804</v>
      </c>
      <c r="P593" s="232" t="s">
        <v>1805</v>
      </c>
      <c r="Q593" s="213" t="s">
        <v>1438</v>
      </c>
      <c r="R593" s="213" t="s">
        <v>1552</v>
      </c>
      <c r="S593" s="226" t="s">
        <v>1557</v>
      </c>
      <c r="T593" s="229"/>
      <c r="U593" s="229"/>
      <c r="V593" s="229"/>
      <c r="W593" s="229"/>
      <c r="X593" s="229"/>
      <c r="Y593" s="229"/>
      <c r="Z593" s="229"/>
      <c r="AA593" s="229"/>
      <c r="AB593" s="229"/>
      <c r="AC593" s="229"/>
      <c r="AD593" s="229"/>
      <c r="AE593" s="229"/>
      <c r="AF593" s="229"/>
      <c r="AG593" s="229"/>
      <c r="AH593" s="229"/>
      <c r="AI593" s="229"/>
      <c r="AJ593" s="229"/>
      <c r="AK593" s="213" t="s">
        <v>1806</v>
      </c>
      <c r="AL593" s="229"/>
      <c r="AM593" s="229"/>
      <c r="AN593" s="229"/>
      <c r="AO593" s="229"/>
      <c r="AP593" s="229"/>
    </row>
    <row r="594">
      <c r="A594" s="226" t="s">
        <v>36</v>
      </c>
      <c r="B594" s="227">
        <v>45687.5268156713</v>
      </c>
      <c r="C594" s="226" t="s">
        <v>240</v>
      </c>
      <c r="D594" s="226" t="s">
        <v>142</v>
      </c>
      <c r="E594" s="226" t="s">
        <v>241</v>
      </c>
      <c r="F594" s="226" t="s">
        <v>139</v>
      </c>
      <c r="G594" s="226" t="s">
        <v>54</v>
      </c>
      <c r="H594" s="226" t="s">
        <v>625</v>
      </c>
      <c r="I594" s="226" t="s">
        <v>1807</v>
      </c>
      <c r="J594" s="226" t="s">
        <v>102</v>
      </c>
      <c r="K594" s="240" t="s">
        <v>1808</v>
      </c>
      <c r="L594" s="230" t="s">
        <v>1809</v>
      </c>
      <c r="M594" s="226" t="s">
        <v>71</v>
      </c>
      <c r="N594" s="226" t="s">
        <v>96</v>
      </c>
      <c r="O594" s="226" t="s">
        <v>1151</v>
      </c>
      <c r="P594" s="226" t="s">
        <v>1810</v>
      </c>
      <c r="Q594" s="226" t="s">
        <v>1438</v>
      </c>
      <c r="R594" s="213" t="s">
        <v>1552</v>
      </c>
      <c r="S594" s="226" t="s">
        <v>1557</v>
      </c>
      <c r="T594" s="213" t="s">
        <v>1811</v>
      </c>
      <c r="U594" s="239"/>
      <c r="V594" s="239"/>
      <c r="W594" s="239"/>
      <c r="X594" s="239"/>
      <c r="Y594" s="239"/>
      <c r="Z594" s="239"/>
      <c r="AA594" s="239"/>
      <c r="AB594" s="229"/>
      <c r="AC594" s="229"/>
      <c r="AD594" s="229"/>
      <c r="AE594" s="229"/>
      <c r="AF594" s="229"/>
      <c r="AG594" s="229"/>
      <c r="AH594" s="229"/>
      <c r="AI594" s="229"/>
      <c r="AJ594" s="229"/>
      <c r="AK594" s="226" t="s">
        <v>1812</v>
      </c>
      <c r="AL594" s="229"/>
      <c r="AM594" s="229"/>
      <c r="AN594" s="229"/>
      <c r="AO594" s="229"/>
      <c r="AP594" s="229"/>
    </row>
    <row r="595">
      <c r="A595" s="226" t="s">
        <v>36</v>
      </c>
      <c r="B595" s="227">
        <v>45687.87045829861</v>
      </c>
      <c r="C595" s="226" t="s">
        <v>715</v>
      </c>
      <c r="D595" s="226" t="s">
        <v>51</v>
      </c>
      <c r="E595" s="226" t="s">
        <v>52</v>
      </c>
      <c r="F595" s="226" t="s">
        <v>40</v>
      </c>
      <c r="G595" s="226" t="s">
        <v>54</v>
      </c>
      <c r="H595" s="226" t="s">
        <v>607</v>
      </c>
      <c r="I595" s="238">
        <v>106.0</v>
      </c>
      <c r="J595" s="226" t="s">
        <v>100</v>
      </c>
      <c r="K595" s="240" t="s">
        <v>1813</v>
      </c>
      <c r="L595" s="226" t="s">
        <v>1814</v>
      </c>
      <c r="M595" s="226" t="s">
        <v>71</v>
      </c>
      <c r="N595" s="226" t="s">
        <v>96</v>
      </c>
      <c r="O595" s="226" t="s">
        <v>1815</v>
      </c>
      <c r="P595" s="232" t="s">
        <v>1816</v>
      </c>
      <c r="Q595" s="226" t="s">
        <v>1438</v>
      </c>
      <c r="R595" s="213" t="s">
        <v>1552</v>
      </c>
      <c r="S595" s="226" t="s">
        <v>1557</v>
      </c>
      <c r="T595" s="226" t="s">
        <v>607</v>
      </c>
      <c r="U595" s="233"/>
      <c r="V595" s="233"/>
      <c r="W595" s="233"/>
      <c r="X595" s="233"/>
      <c r="Y595" s="233"/>
      <c r="Z595" s="233"/>
      <c r="AA595" s="233"/>
      <c r="AB595" s="229"/>
      <c r="AC595" s="229"/>
      <c r="AD595" s="229"/>
      <c r="AE595" s="229"/>
      <c r="AF595" s="229"/>
      <c r="AG595" s="229"/>
      <c r="AH595" s="229"/>
      <c r="AI595" s="229"/>
      <c r="AJ595" s="229"/>
      <c r="AK595" s="226" t="s">
        <v>1812</v>
      </c>
      <c r="AL595" s="229"/>
      <c r="AM595" s="229"/>
      <c r="AN595" s="229"/>
      <c r="AO595" s="229"/>
      <c r="AP595" s="229"/>
    </row>
    <row r="596">
      <c r="A596" s="226" t="s">
        <v>36</v>
      </c>
      <c r="B596" s="227">
        <v>45691.28157385417</v>
      </c>
      <c r="C596" s="226" t="s">
        <v>368</v>
      </c>
      <c r="D596" s="226" t="s">
        <v>142</v>
      </c>
      <c r="E596" s="226" t="s">
        <v>52</v>
      </c>
      <c r="F596" s="226" t="s">
        <v>40</v>
      </c>
      <c r="G596" s="226" t="s">
        <v>54</v>
      </c>
      <c r="H596" s="226" t="s">
        <v>625</v>
      </c>
      <c r="I596" s="213" t="s">
        <v>1817</v>
      </c>
      <c r="J596" s="226" t="s">
        <v>102</v>
      </c>
      <c r="K596" s="229"/>
      <c r="L596" s="230" t="s">
        <v>1818</v>
      </c>
      <c r="M596" s="226" t="s">
        <v>71</v>
      </c>
      <c r="N596" s="226" t="s">
        <v>96</v>
      </c>
      <c r="O596" s="226" t="s">
        <v>1819</v>
      </c>
      <c r="P596" s="226" t="s">
        <v>1820</v>
      </c>
      <c r="Q596" s="226" t="s">
        <v>1438</v>
      </c>
      <c r="R596" s="213" t="s">
        <v>1552</v>
      </c>
      <c r="S596" s="213" t="s">
        <v>1557</v>
      </c>
      <c r="T596" s="213" t="s">
        <v>1821</v>
      </c>
      <c r="U596" s="239"/>
      <c r="V596" s="239"/>
      <c r="W596" s="239"/>
      <c r="X596" s="239"/>
      <c r="Y596" s="239"/>
      <c r="Z596" s="239"/>
      <c r="AA596" s="239"/>
      <c r="AB596" s="229"/>
      <c r="AC596" s="229"/>
      <c r="AD596" s="229"/>
      <c r="AE596" s="229"/>
      <c r="AF596" s="229"/>
      <c r="AG596" s="229"/>
      <c r="AH596" s="229"/>
      <c r="AI596" s="229"/>
      <c r="AJ596" s="229"/>
      <c r="AK596" s="226" t="s">
        <v>1822</v>
      </c>
      <c r="AL596" s="229"/>
      <c r="AM596" s="229"/>
      <c r="AN596" s="229"/>
      <c r="AO596" s="229"/>
      <c r="AP596" s="229"/>
    </row>
    <row r="597">
      <c r="A597" s="226" t="s">
        <v>36</v>
      </c>
      <c r="B597" s="227">
        <v>45691.67473508102</v>
      </c>
      <c r="C597" s="226" t="s">
        <v>78</v>
      </c>
      <c r="D597" s="226" t="s">
        <v>800</v>
      </c>
      <c r="E597" s="226" t="s">
        <v>800</v>
      </c>
      <c r="F597" s="226" t="s">
        <v>800</v>
      </c>
      <c r="G597" s="226" t="s">
        <v>800</v>
      </c>
      <c r="H597" s="226" t="s">
        <v>1098</v>
      </c>
      <c r="I597" s="228">
        <v>15000.0</v>
      </c>
      <c r="J597" s="226" t="s">
        <v>82</v>
      </c>
      <c r="K597" s="229"/>
      <c r="L597" s="229"/>
      <c r="M597" s="226" t="s">
        <v>71</v>
      </c>
      <c r="N597" s="226" t="s">
        <v>96</v>
      </c>
      <c r="O597" s="226" t="s">
        <v>1823</v>
      </c>
      <c r="P597" s="232" t="s">
        <v>1824</v>
      </c>
      <c r="Q597" s="226" t="s">
        <v>1438</v>
      </c>
      <c r="R597" s="213" t="s">
        <v>1552</v>
      </c>
      <c r="S597" s="226" t="s">
        <v>1557</v>
      </c>
      <c r="T597" s="213" t="s">
        <v>1825</v>
      </c>
      <c r="U597" s="239"/>
      <c r="V597" s="239"/>
      <c r="W597" s="239"/>
      <c r="X597" s="239"/>
      <c r="Y597" s="239"/>
      <c r="Z597" s="239"/>
      <c r="AA597" s="239"/>
      <c r="AB597" s="229"/>
      <c r="AC597" s="229"/>
      <c r="AD597" s="229"/>
      <c r="AE597" s="229"/>
      <c r="AF597" s="229"/>
      <c r="AG597" s="229"/>
      <c r="AH597" s="229"/>
      <c r="AI597" s="229"/>
      <c r="AJ597" s="229"/>
      <c r="AK597" s="226" t="s">
        <v>1822</v>
      </c>
      <c r="AL597" s="229"/>
      <c r="AM597" s="229"/>
      <c r="AN597" s="229"/>
      <c r="AO597" s="229"/>
      <c r="AP597" s="229"/>
    </row>
    <row r="598">
      <c r="A598" s="234" t="s">
        <v>177</v>
      </c>
      <c r="B598" s="235">
        <v>45692.51751947917</v>
      </c>
      <c r="C598" s="234" t="s">
        <v>153</v>
      </c>
      <c r="D598" s="234" t="s">
        <v>142</v>
      </c>
      <c r="E598" s="234" t="s">
        <v>52</v>
      </c>
      <c r="F598" s="234" t="s">
        <v>65</v>
      </c>
      <c r="G598" s="234" t="s">
        <v>41</v>
      </c>
      <c r="H598" s="234" t="s">
        <v>625</v>
      </c>
      <c r="I598" s="252">
        <v>3000.0</v>
      </c>
      <c r="J598" s="234" t="s">
        <v>100</v>
      </c>
      <c r="K598" s="236"/>
      <c r="L598" s="234" t="s">
        <v>1826</v>
      </c>
      <c r="M598" s="234" t="s">
        <v>71</v>
      </c>
      <c r="N598" s="234" t="s">
        <v>96</v>
      </c>
      <c r="O598" s="253" t="s">
        <v>1827</v>
      </c>
      <c r="P598" s="253" t="s">
        <v>1720</v>
      </c>
      <c r="Q598" s="253" t="s">
        <v>1471</v>
      </c>
      <c r="R598" s="253" t="s">
        <v>1552</v>
      </c>
      <c r="S598" s="234" t="s">
        <v>71</v>
      </c>
      <c r="T598" s="234" t="s">
        <v>1828</v>
      </c>
      <c r="U598" s="254"/>
      <c r="V598" s="254"/>
      <c r="W598" s="254"/>
      <c r="X598" s="254"/>
      <c r="Y598" s="254"/>
      <c r="Z598" s="236"/>
      <c r="AA598" s="236"/>
      <c r="AB598" s="236"/>
      <c r="AC598" s="236"/>
      <c r="AD598" s="236"/>
      <c r="AE598" s="236"/>
      <c r="AF598" s="236"/>
      <c r="AG598" s="236"/>
      <c r="AH598" s="236"/>
      <c r="AI598" s="236"/>
      <c r="AJ598" s="236"/>
      <c r="AK598" s="234" t="s">
        <v>1829</v>
      </c>
      <c r="AL598" s="236"/>
      <c r="AM598" s="236"/>
      <c r="AN598" s="236"/>
      <c r="AO598" s="236"/>
      <c r="AP598" s="236"/>
    </row>
    <row r="599">
      <c r="A599" s="226" t="s">
        <v>36</v>
      </c>
      <c r="B599" s="227">
        <v>45692.65778046296</v>
      </c>
      <c r="C599" s="226" t="s">
        <v>600</v>
      </c>
      <c r="D599" s="226" t="s">
        <v>142</v>
      </c>
      <c r="E599" s="226" t="s">
        <v>52</v>
      </c>
      <c r="F599" s="226" t="s">
        <v>65</v>
      </c>
      <c r="G599" s="226" t="s">
        <v>54</v>
      </c>
      <c r="H599" s="226" t="s">
        <v>607</v>
      </c>
      <c r="I599" s="228">
        <v>66.0</v>
      </c>
      <c r="J599" s="226" t="s">
        <v>383</v>
      </c>
      <c r="K599" s="229"/>
      <c r="L599" s="226" t="s">
        <v>1830</v>
      </c>
      <c r="M599" s="226" t="s">
        <v>71</v>
      </c>
      <c r="N599" s="226" t="s">
        <v>96</v>
      </c>
      <c r="O599" s="226" t="s">
        <v>1831</v>
      </c>
      <c r="P599" s="226" t="s">
        <v>1832</v>
      </c>
      <c r="Q599" s="213" t="s">
        <v>1438</v>
      </c>
      <c r="R599" s="213" t="s">
        <v>1552</v>
      </c>
      <c r="S599" s="213" t="s">
        <v>1557</v>
      </c>
      <c r="T599" s="213" t="s">
        <v>1833</v>
      </c>
      <c r="U599" s="239"/>
      <c r="V599" s="239"/>
      <c r="W599" s="239"/>
      <c r="X599" s="239"/>
      <c r="Y599" s="239"/>
      <c r="Z599" s="229"/>
      <c r="AA599" s="229"/>
      <c r="AB599" s="229"/>
      <c r="AC599" s="229"/>
      <c r="AD599" s="229"/>
      <c r="AE599" s="229"/>
      <c r="AF599" s="229"/>
      <c r="AG599" s="229"/>
      <c r="AH599" s="229"/>
      <c r="AI599" s="229"/>
      <c r="AJ599" s="229"/>
      <c r="AK599" s="226" t="s">
        <v>1822</v>
      </c>
      <c r="AL599" s="229"/>
      <c r="AM599" s="229"/>
      <c r="AN599" s="229"/>
      <c r="AO599" s="229"/>
      <c r="AP599" s="229"/>
    </row>
    <row r="600">
      <c r="A600" s="255" t="s">
        <v>535</v>
      </c>
      <c r="B600" s="256">
        <v>45695.59462386574</v>
      </c>
      <c r="C600" s="255" t="s">
        <v>193</v>
      </c>
      <c r="D600" s="255" t="s">
        <v>51</v>
      </c>
      <c r="E600" s="255" t="s">
        <v>52</v>
      </c>
      <c r="F600" s="255" t="s">
        <v>40</v>
      </c>
      <c r="G600" s="255" t="s">
        <v>54</v>
      </c>
      <c r="H600" s="255" t="s">
        <v>625</v>
      </c>
      <c r="I600" s="257">
        <v>3650.0</v>
      </c>
      <c r="J600" s="255" t="s">
        <v>118</v>
      </c>
      <c r="K600" s="258" t="s">
        <v>1834</v>
      </c>
      <c r="L600" s="255" t="s">
        <v>1835</v>
      </c>
      <c r="M600" s="255" t="s">
        <v>71</v>
      </c>
      <c r="N600" s="255" t="s">
        <v>96</v>
      </c>
      <c r="O600" s="255" t="s">
        <v>1836</v>
      </c>
      <c r="P600" s="255" t="s">
        <v>1837</v>
      </c>
      <c r="Q600" s="259" t="s">
        <v>1438</v>
      </c>
      <c r="R600" s="259" t="s">
        <v>1598</v>
      </c>
      <c r="S600" s="255" t="s">
        <v>1557</v>
      </c>
      <c r="T600" s="259" t="s">
        <v>1838</v>
      </c>
      <c r="U600" s="260"/>
      <c r="V600" s="260"/>
      <c r="W600" s="260"/>
      <c r="X600" s="260"/>
      <c r="Y600" s="260"/>
      <c r="Z600" s="261"/>
      <c r="AA600" s="261"/>
      <c r="AB600" s="261"/>
      <c r="AC600" s="261"/>
      <c r="AD600" s="261"/>
      <c r="AE600" s="261"/>
      <c r="AF600" s="261"/>
      <c r="AG600" s="261"/>
      <c r="AH600" s="261"/>
      <c r="AI600" s="261"/>
      <c r="AJ600" s="261"/>
      <c r="AK600" s="255" t="s">
        <v>1839</v>
      </c>
      <c r="AL600" s="261"/>
      <c r="AM600" s="261"/>
      <c r="AN600" s="261"/>
      <c r="AO600" s="261"/>
      <c r="AP600" s="261"/>
    </row>
    <row r="601">
      <c r="A601" s="226" t="s">
        <v>36</v>
      </c>
      <c r="B601" s="227">
        <v>45698.34010263889</v>
      </c>
      <c r="C601" s="226" t="s">
        <v>234</v>
      </c>
      <c r="D601" s="226" t="s">
        <v>109</v>
      </c>
      <c r="E601" s="226" t="s">
        <v>52</v>
      </c>
      <c r="F601" s="226" t="s">
        <v>65</v>
      </c>
      <c r="G601" s="226" t="s">
        <v>54</v>
      </c>
      <c r="H601" s="226" t="s">
        <v>625</v>
      </c>
      <c r="I601" s="213" t="s">
        <v>1840</v>
      </c>
      <c r="J601" s="226" t="s">
        <v>48</v>
      </c>
      <c r="K601" s="229"/>
      <c r="L601" s="230" t="s">
        <v>1841</v>
      </c>
      <c r="M601" s="226" t="s">
        <v>71</v>
      </c>
      <c r="N601" s="226" t="s">
        <v>68</v>
      </c>
      <c r="O601" s="226" t="s">
        <v>1769</v>
      </c>
      <c r="P601" s="226" t="s">
        <v>1842</v>
      </c>
      <c r="Q601" s="226" t="s">
        <v>1471</v>
      </c>
      <c r="R601" s="213" t="s">
        <v>1552</v>
      </c>
      <c r="S601" s="226" t="s">
        <v>71</v>
      </c>
      <c r="T601" s="229"/>
      <c r="U601" s="229"/>
      <c r="V601" s="229"/>
      <c r="W601" s="229"/>
      <c r="X601" s="229"/>
      <c r="Y601" s="229"/>
      <c r="Z601" s="229"/>
      <c r="AA601" s="229"/>
      <c r="AB601" s="229"/>
      <c r="AC601" s="229"/>
      <c r="AD601" s="229"/>
      <c r="AE601" s="229"/>
      <c r="AF601" s="229"/>
      <c r="AG601" s="229"/>
      <c r="AH601" s="229"/>
      <c r="AI601" s="229"/>
      <c r="AJ601" s="229"/>
      <c r="AK601" s="226" t="s">
        <v>1843</v>
      </c>
      <c r="AL601" s="229"/>
      <c r="AM601" s="229"/>
      <c r="AN601" s="229"/>
      <c r="AO601" s="229"/>
      <c r="AP601" s="229"/>
    </row>
    <row r="602">
      <c r="A602" s="226" t="s">
        <v>36</v>
      </c>
      <c r="B602" s="227">
        <v>45698.45796809028</v>
      </c>
      <c r="C602" s="226" t="s">
        <v>333</v>
      </c>
      <c r="D602" s="226" t="s">
        <v>800</v>
      </c>
      <c r="E602" s="226" t="s">
        <v>800</v>
      </c>
      <c r="F602" s="226" t="s">
        <v>800</v>
      </c>
      <c r="G602" s="226" t="s">
        <v>800</v>
      </c>
      <c r="H602" s="226" t="s">
        <v>833</v>
      </c>
      <c r="I602" s="228">
        <v>10000.0</v>
      </c>
      <c r="J602" s="226" t="s">
        <v>102</v>
      </c>
      <c r="K602" s="229"/>
      <c r="L602" s="226" t="s">
        <v>1844</v>
      </c>
      <c r="M602" s="226" t="s">
        <v>71</v>
      </c>
      <c r="N602" s="226" t="s">
        <v>96</v>
      </c>
      <c r="O602" s="226" t="s">
        <v>1845</v>
      </c>
      <c r="P602" s="226" t="s">
        <v>1846</v>
      </c>
      <c r="Q602" s="213" t="s">
        <v>1438</v>
      </c>
      <c r="R602" s="213" t="s">
        <v>1552</v>
      </c>
      <c r="S602" s="213" t="s">
        <v>71</v>
      </c>
      <c r="T602" s="213" t="s">
        <v>1847</v>
      </c>
      <c r="U602" s="239"/>
      <c r="V602" s="239"/>
      <c r="W602" s="239"/>
      <c r="X602" s="239"/>
      <c r="Y602" s="239"/>
      <c r="Z602" s="229"/>
      <c r="AA602" s="229"/>
      <c r="AB602" s="229"/>
      <c r="AC602" s="229"/>
      <c r="AD602" s="229"/>
      <c r="AE602" s="229"/>
      <c r="AF602" s="229"/>
      <c r="AG602" s="229"/>
      <c r="AH602" s="229"/>
      <c r="AI602" s="229"/>
      <c r="AJ602" s="229"/>
      <c r="AK602" s="226" t="s">
        <v>1848</v>
      </c>
      <c r="AL602" s="229"/>
      <c r="AM602" s="229"/>
      <c r="AN602" s="229"/>
      <c r="AO602" s="229"/>
      <c r="AP602" s="229"/>
    </row>
    <row r="603">
      <c r="A603" s="226" t="s">
        <v>36</v>
      </c>
      <c r="B603" s="227">
        <v>45698.577318483796</v>
      </c>
      <c r="C603" s="226" t="s">
        <v>104</v>
      </c>
      <c r="D603" s="226" t="s">
        <v>142</v>
      </c>
      <c r="E603" s="226" t="s">
        <v>52</v>
      </c>
      <c r="F603" s="226" t="s">
        <v>65</v>
      </c>
      <c r="G603" s="226" t="s">
        <v>54</v>
      </c>
      <c r="H603" s="226" t="s">
        <v>625</v>
      </c>
      <c r="I603" s="226">
        <v>425.0</v>
      </c>
      <c r="J603" s="226" t="s">
        <v>102</v>
      </c>
      <c r="K603" s="240" t="s">
        <v>1849</v>
      </c>
      <c r="L603" s="226" t="s">
        <v>1850</v>
      </c>
      <c r="M603" s="226" t="s">
        <v>71</v>
      </c>
      <c r="N603" s="226" t="s">
        <v>96</v>
      </c>
      <c r="O603" s="226" t="s">
        <v>929</v>
      </c>
      <c r="P603" s="226" t="s">
        <v>1851</v>
      </c>
      <c r="Q603" s="226" t="s">
        <v>1438</v>
      </c>
      <c r="R603" s="213" t="s">
        <v>1552</v>
      </c>
      <c r="S603" s="226" t="s">
        <v>71</v>
      </c>
      <c r="T603" s="229"/>
      <c r="U603" s="229"/>
      <c r="V603" s="229"/>
      <c r="W603" s="229"/>
      <c r="X603" s="229"/>
      <c r="Y603" s="229"/>
      <c r="Z603" s="229"/>
      <c r="AA603" s="229"/>
      <c r="AB603" s="229"/>
      <c r="AC603" s="229"/>
      <c r="AD603" s="229"/>
      <c r="AE603" s="229"/>
      <c r="AF603" s="229"/>
      <c r="AG603" s="229"/>
      <c r="AH603" s="229"/>
      <c r="AI603" s="229"/>
      <c r="AJ603" s="229"/>
      <c r="AK603" s="226" t="s">
        <v>1843</v>
      </c>
      <c r="AL603" s="229"/>
      <c r="AM603" s="229"/>
      <c r="AN603" s="229"/>
      <c r="AO603" s="229"/>
      <c r="AP603" s="229"/>
    </row>
    <row r="604">
      <c r="A604" s="226" t="s">
        <v>36</v>
      </c>
      <c r="B604" s="227">
        <v>45698.57973337963</v>
      </c>
      <c r="C604" s="226" t="s">
        <v>104</v>
      </c>
      <c r="D604" s="226" t="s">
        <v>142</v>
      </c>
      <c r="E604" s="226" t="s">
        <v>52</v>
      </c>
      <c r="F604" s="226" t="s">
        <v>65</v>
      </c>
      <c r="G604" s="226" t="s">
        <v>54</v>
      </c>
      <c r="H604" s="226" t="s">
        <v>625</v>
      </c>
      <c r="I604" s="226">
        <v>250.0</v>
      </c>
      <c r="J604" s="226" t="s">
        <v>102</v>
      </c>
      <c r="K604" s="230" t="s">
        <v>1852</v>
      </c>
      <c r="L604" s="226" t="s">
        <v>1853</v>
      </c>
      <c r="M604" s="226" t="s">
        <v>71</v>
      </c>
      <c r="N604" s="226" t="s">
        <v>96</v>
      </c>
      <c r="O604" s="226" t="s">
        <v>929</v>
      </c>
      <c r="P604" s="232" t="s">
        <v>1854</v>
      </c>
      <c r="Q604" s="226" t="s">
        <v>1438</v>
      </c>
      <c r="R604" s="213" t="s">
        <v>1552</v>
      </c>
      <c r="S604" s="226" t="s">
        <v>71</v>
      </c>
      <c r="T604" s="229"/>
      <c r="U604" s="229"/>
      <c r="V604" s="229"/>
      <c r="W604" s="229"/>
      <c r="X604" s="229"/>
      <c r="Y604" s="229"/>
      <c r="Z604" s="229"/>
      <c r="AA604" s="229"/>
      <c r="AB604" s="229"/>
      <c r="AC604" s="229"/>
      <c r="AD604" s="229"/>
      <c r="AE604" s="229"/>
      <c r="AF604" s="229"/>
      <c r="AG604" s="229"/>
      <c r="AH604" s="229"/>
      <c r="AI604" s="229"/>
      <c r="AJ604" s="229"/>
      <c r="AK604" s="226" t="s">
        <v>1843</v>
      </c>
      <c r="AL604" s="229"/>
      <c r="AM604" s="229"/>
      <c r="AN604" s="229"/>
      <c r="AO604" s="229"/>
      <c r="AP604" s="229"/>
    </row>
    <row r="605">
      <c r="A605" s="226" t="s">
        <v>36</v>
      </c>
      <c r="B605" s="227">
        <v>45699.62267726852</v>
      </c>
      <c r="C605" s="226" t="s">
        <v>104</v>
      </c>
      <c r="D605" s="226" t="s">
        <v>142</v>
      </c>
      <c r="E605" s="226" t="s">
        <v>52</v>
      </c>
      <c r="F605" s="226" t="s">
        <v>65</v>
      </c>
      <c r="G605" s="226" t="s">
        <v>54</v>
      </c>
      <c r="H605" s="226" t="s">
        <v>607</v>
      </c>
      <c r="I605" s="226">
        <v>150.0</v>
      </c>
      <c r="J605" s="226" t="s">
        <v>102</v>
      </c>
      <c r="K605" s="240" t="s">
        <v>1855</v>
      </c>
      <c r="L605" s="226" t="s">
        <v>1856</v>
      </c>
      <c r="M605" s="226" t="s">
        <v>71</v>
      </c>
      <c r="N605" s="226" t="s">
        <v>96</v>
      </c>
      <c r="O605" s="226" t="s">
        <v>929</v>
      </c>
      <c r="P605" s="229"/>
      <c r="Q605" s="226" t="s">
        <v>1438</v>
      </c>
      <c r="R605" s="213" t="s">
        <v>1552</v>
      </c>
      <c r="S605" s="226" t="s">
        <v>1557</v>
      </c>
      <c r="T605" s="229"/>
      <c r="U605" s="229"/>
      <c r="V605" s="229"/>
      <c r="W605" s="229"/>
      <c r="X605" s="229"/>
      <c r="Y605" s="229"/>
      <c r="Z605" s="229"/>
      <c r="AA605" s="229"/>
      <c r="AB605" s="229"/>
      <c r="AC605" s="229"/>
      <c r="AD605" s="229"/>
      <c r="AE605" s="229"/>
      <c r="AF605" s="229"/>
      <c r="AG605" s="229"/>
      <c r="AH605" s="229"/>
      <c r="AI605" s="229"/>
      <c r="AJ605" s="229"/>
      <c r="AK605" s="226" t="s">
        <v>1857</v>
      </c>
      <c r="AL605" s="229"/>
      <c r="AM605" s="229"/>
      <c r="AN605" s="229"/>
      <c r="AO605" s="229"/>
      <c r="AP605" s="229"/>
    </row>
    <row r="606">
      <c r="A606" s="226" t="s">
        <v>36</v>
      </c>
      <c r="B606" s="227">
        <v>45699.6435152662</v>
      </c>
      <c r="C606" s="226" t="s">
        <v>675</v>
      </c>
      <c r="D606" s="226" t="s">
        <v>109</v>
      </c>
      <c r="E606" s="226" t="s">
        <v>52</v>
      </c>
      <c r="F606" s="226" t="s">
        <v>65</v>
      </c>
      <c r="G606" s="226" t="s">
        <v>54</v>
      </c>
      <c r="H606" s="226" t="s">
        <v>833</v>
      </c>
      <c r="I606" s="238">
        <v>4000.0</v>
      </c>
      <c r="J606" s="226" t="s">
        <v>226</v>
      </c>
      <c r="K606" s="240" t="s">
        <v>1858</v>
      </c>
      <c r="L606" s="251" t="s">
        <v>1859</v>
      </c>
      <c r="M606" s="226" t="s">
        <v>71</v>
      </c>
      <c r="N606" s="226" t="s">
        <v>96</v>
      </c>
      <c r="O606" s="226" t="s">
        <v>1860</v>
      </c>
      <c r="P606" s="226" t="s">
        <v>1861</v>
      </c>
      <c r="Q606" s="226" t="s">
        <v>1471</v>
      </c>
      <c r="R606" s="213" t="s">
        <v>1598</v>
      </c>
      <c r="S606" s="213" t="s">
        <v>1557</v>
      </c>
      <c r="T606" s="213" t="s">
        <v>1862</v>
      </c>
      <c r="U606" s="239"/>
      <c r="V606" s="239"/>
      <c r="W606" s="239"/>
      <c r="X606" s="239"/>
      <c r="Y606" s="239"/>
      <c r="Z606" s="229"/>
      <c r="AA606" s="229"/>
      <c r="AB606" s="229"/>
      <c r="AC606" s="229"/>
      <c r="AD606" s="229"/>
      <c r="AE606" s="229"/>
      <c r="AF606" s="229"/>
      <c r="AG606" s="229"/>
      <c r="AH606" s="229"/>
      <c r="AI606" s="229"/>
      <c r="AJ606" s="229"/>
      <c r="AK606" s="226" t="s">
        <v>1857</v>
      </c>
      <c r="AL606" s="229"/>
      <c r="AM606" s="229"/>
      <c r="AN606" s="229"/>
      <c r="AO606" s="229"/>
      <c r="AP606" s="229"/>
    </row>
    <row r="607">
      <c r="A607" s="226" t="s">
        <v>36</v>
      </c>
      <c r="B607" s="227">
        <v>45700.39641883102</v>
      </c>
      <c r="C607" s="226" t="s">
        <v>431</v>
      </c>
      <c r="D607" s="226" t="s">
        <v>51</v>
      </c>
      <c r="E607" s="226" t="s">
        <v>52</v>
      </c>
      <c r="F607" s="226" t="s">
        <v>40</v>
      </c>
      <c r="G607" s="226" t="s">
        <v>54</v>
      </c>
      <c r="H607" s="226" t="s">
        <v>625</v>
      </c>
      <c r="I607" s="226" t="s">
        <v>1863</v>
      </c>
      <c r="J607" s="226" t="s">
        <v>433</v>
      </c>
      <c r="K607" s="262" t="s">
        <v>1864</v>
      </c>
      <c r="L607" s="226" t="s">
        <v>1865</v>
      </c>
      <c r="M607" s="226" t="s">
        <v>71</v>
      </c>
      <c r="N607" s="226" t="s">
        <v>68</v>
      </c>
      <c r="O607" s="226" t="s">
        <v>1866</v>
      </c>
      <c r="P607" s="226" t="s">
        <v>1867</v>
      </c>
      <c r="Q607" s="226" t="s">
        <v>1471</v>
      </c>
      <c r="R607" s="213" t="s">
        <v>1552</v>
      </c>
      <c r="S607" s="226" t="s">
        <v>1557</v>
      </c>
      <c r="T607" s="213" t="s">
        <v>1868</v>
      </c>
      <c r="U607" s="239"/>
      <c r="V607" s="239"/>
      <c r="W607" s="239"/>
      <c r="X607" s="239"/>
      <c r="Y607" s="239"/>
      <c r="Z607" s="229"/>
      <c r="AA607" s="229"/>
      <c r="AB607" s="229"/>
      <c r="AC607" s="229"/>
      <c r="AD607" s="229"/>
      <c r="AE607" s="229"/>
      <c r="AF607" s="229"/>
      <c r="AG607" s="229"/>
      <c r="AH607" s="229"/>
      <c r="AI607" s="229"/>
      <c r="AJ607" s="229"/>
      <c r="AK607" s="226" t="s">
        <v>1857</v>
      </c>
      <c r="AL607" s="229"/>
      <c r="AM607" s="229"/>
      <c r="AN607" s="229"/>
      <c r="AO607" s="229"/>
      <c r="AP607" s="229"/>
    </row>
    <row r="608">
      <c r="A608" s="226" t="s">
        <v>36</v>
      </c>
      <c r="B608" s="227">
        <v>45700.57267623843</v>
      </c>
      <c r="C608" s="226" t="s">
        <v>1869</v>
      </c>
      <c r="D608" s="226" t="s">
        <v>1217</v>
      </c>
      <c r="E608" s="226" t="s">
        <v>1494</v>
      </c>
      <c r="F608" s="226" t="s">
        <v>80</v>
      </c>
      <c r="G608" s="226" t="s">
        <v>41</v>
      </c>
      <c r="H608" s="226" t="s">
        <v>679</v>
      </c>
      <c r="I608" s="228">
        <v>525.0</v>
      </c>
      <c r="J608" s="226" t="s">
        <v>446</v>
      </c>
      <c r="K608" s="229"/>
      <c r="L608" s="230" t="s">
        <v>1870</v>
      </c>
      <c r="M608" s="226" t="s">
        <v>71</v>
      </c>
      <c r="N608" s="226" t="s">
        <v>68</v>
      </c>
      <c r="O608" s="226" t="s">
        <v>1871</v>
      </c>
      <c r="P608" s="226" t="s">
        <v>1872</v>
      </c>
      <c r="Q608" s="226" t="s">
        <v>1438</v>
      </c>
      <c r="R608" s="213" t="s">
        <v>1552</v>
      </c>
      <c r="S608" s="226" t="s">
        <v>71</v>
      </c>
      <c r="T608" s="226" t="s">
        <v>1873</v>
      </c>
      <c r="U608" s="233"/>
      <c r="V608" s="233"/>
      <c r="W608" s="233"/>
      <c r="X608" s="233"/>
      <c r="Y608" s="233"/>
      <c r="Z608" s="229"/>
      <c r="AA608" s="229"/>
      <c r="AB608" s="229"/>
      <c r="AC608" s="229"/>
      <c r="AD608" s="229"/>
      <c r="AE608" s="229"/>
      <c r="AF608" s="229"/>
      <c r="AG608" s="229"/>
      <c r="AH608" s="229"/>
      <c r="AI608" s="229"/>
      <c r="AJ608" s="229"/>
      <c r="AK608" s="226" t="s">
        <v>1857</v>
      </c>
      <c r="AL608" s="229"/>
      <c r="AM608" s="229"/>
      <c r="AN608" s="229"/>
      <c r="AO608" s="229"/>
      <c r="AP608" s="229"/>
    </row>
    <row r="609">
      <c r="A609" s="226" t="s">
        <v>36</v>
      </c>
      <c r="B609" s="227">
        <v>45700.6828547801</v>
      </c>
      <c r="C609" s="226" t="s">
        <v>314</v>
      </c>
      <c r="D609" s="226" t="s">
        <v>315</v>
      </c>
      <c r="E609" s="226" t="s">
        <v>252</v>
      </c>
      <c r="F609" s="226" t="s">
        <v>549</v>
      </c>
      <c r="G609" s="226" t="s">
        <v>131</v>
      </c>
      <c r="H609" s="226" t="s">
        <v>625</v>
      </c>
      <c r="I609" s="228">
        <v>219.0</v>
      </c>
      <c r="J609" s="226" t="s">
        <v>100</v>
      </c>
      <c r="K609" s="229"/>
      <c r="L609" s="226" t="s">
        <v>1874</v>
      </c>
      <c r="M609" s="226" t="s">
        <v>71</v>
      </c>
      <c r="N609" s="226" t="s">
        <v>68</v>
      </c>
      <c r="O609" s="226" t="s">
        <v>1875</v>
      </c>
      <c r="P609" s="226" t="s">
        <v>1876</v>
      </c>
      <c r="Q609" s="226" t="s">
        <v>1438</v>
      </c>
      <c r="R609" s="213" t="s">
        <v>1552</v>
      </c>
      <c r="S609" s="226" t="s">
        <v>71</v>
      </c>
      <c r="T609" s="229"/>
      <c r="U609" s="229"/>
      <c r="V609" s="229"/>
      <c r="W609" s="229"/>
      <c r="X609" s="229"/>
      <c r="Y609" s="229"/>
      <c r="Z609" s="229"/>
      <c r="AA609" s="229"/>
      <c r="AB609" s="229"/>
      <c r="AC609" s="229"/>
      <c r="AD609" s="229"/>
      <c r="AE609" s="229"/>
      <c r="AF609" s="229"/>
      <c r="AG609" s="229"/>
      <c r="AH609" s="229"/>
      <c r="AI609" s="229"/>
      <c r="AJ609" s="229"/>
      <c r="AK609" s="226" t="s">
        <v>1857</v>
      </c>
      <c r="AL609" s="229"/>
      <c r="AM609" s="229"/>
      <c r="AN609" s="229"/>
      <c r="AO609" s="229"/>
      <c r="AP609" s="229"/>
    </row>
    <row r="610">
      <c r="A610" s="226" t="s">
        <v>36</v>
      </c>
      <c r="B610" s="227">
        <v>45701.41128613426</v>
      </c>
      <c r="C610" s="226" t="s">
        <v>1025</v>
      </c>
      <c r="D610" s="226" t="s">
        <v>734</v>
      </c>
      <c r="E610" s="226" t="s">
        <v>735</v>
      </c>
      <c r="F610" s="226" t="s">
        <v>735</v>
      </c>
      <c r="G610" s="226" t="s">
        <v>735</v>
      </c>
      <c r="H610" s="226" t="s">
        <v>625</v>
      </c>
      <c r="I610" s="226">
        <v>300.0</v>
      </c>
      <c r="J610" s="226" t="s">
        <v>262</v>
      </c>
      <c r="K610" s="226"/>
      <c r="L610" s="230" t="s">
        <v>1877</v>
      </c>
      <c r="M610" s="226" t="s">
        <v>71</v>
      </c>
      <c r="N610" s="226" t="s">
        <v>68</v>
      </c>
      <c r="O610" s="226" t="s">
        <v>1878</v>
      </c>
      <c r="P610" s="226" t="s">
        <v>1879</v>
      </c>
      <c r="Q610" s="226" t="s">
        <v>1438</v>
      </c>
      <c r="R610" s="213" t="s">
        <v>1598</v>
      </c>
      <c r="S610" s="226" t="s">
        <v>1557</v>
      </c>
      <c r="T610" s="229"/>
      <c r="U610" s="229"/>
      <c r="V610" s="229"/>
      <c r="W610" s="229"/>
      <c r="X610" s="229"/>
      <c r="Y610" s="229"/>
      <c r="Z610" s="229"/>
      <c r="AA610" s="229"/>
      <c r="AB610" s="229"/>
      <c r="AC610" s="229"/>
      <c r="AD610" s="229"/>
      <c r="AE610" s="229"/>
      <c r="AF610" s="229"/>
      <c r="AG610" s="229"/>
      <c r="AH610" s="229"/>
      <c r="AI610" s="229"/>
      <c r="AJ610" s="229"/>
      <c r="AK610" s="213" t="s">
        <v>1880</v>
      </c>
      <c r="AL610" s="229"/>
      <c r="AM610" s="229"/>
      <c r="AN610" s="229"/>
      <c r="AO610" s="229"/>
      <c r="AP610" s="229"/>
    </row>
    <row r="611">
      <c r="A611" s="226" t="s">
        <v>36</v>
      </c>
      <c r="B611" s="227">
        <v>45701.53625146991</v>
      </c>
      <c r="C611" s="226" t="s">
        <v>231</v>
      </c>
      <c r="D611" s="226" t="s">
        <v>51</v>
      </c>
      <c r="E611" s="226" t="s">
        <v>40</v>
      </c>
      <c r="F611" s="226" t="s">
        <v>40</v>
      </c>
      <c r="G611" s="226" t="s">
        <v>54</v>
      </c>
      <c r="H611" s="226" t="s">
        <v>625</v>
      </c>
      <c r="I611" s="228">
        <v>100.0</v>
      </c>
      <c r="J611" s="226" t="s">
        <v>184</v>
      </c>
      <c r="K611" s="240" t="s">
        <v>1881</v>
      </c>
      <c r="L611" s="230" t="s">
        <v>1882</v>
      </c>
      <c r="M611" s="226" t="s">
        <v>71</v>
      </c>
      <c r="N611" s="226" t="s">
        <v>68</v>
      </c>
      <c r="O611" s="226" t="s">
        <v>1883</v>
      </c>
      <c r="P611" s="226" t="s">
        <v>1884</v>
      </c>
      <c r="Q611" s="226" t="s">
        <v>1438</v>
      </c>
      <c r="R611" s="213" t="s">
        <v>1552</v>
      </c>
      <c r="S611" s="213" t="s">
        <v>71</v>
      </c>
      <c r="T611" s="213" t="s">
        <v>1885</v>
      </c>
      <c r="U611" s="239"/>
      <c r="V611" s="239"/>
      <c r="W611" s="239"/>
      <c r="X611" s="239"/>
      <c r="Y611" s="239"/>
      <c r="Z611" s="229"/>
      <c r="AA611" s="229"/>
      <c r="AB611" s="229"/>
      <c r="AC611" s="229"/>
      <c r="AD611" s="229"/>
      <c r="AE611" s="229"/>
      <c r="AF611" s="229"/>
      <c r="AG611" s="229"/>
      <c r="AH611" s="229"/>
      <c r="AI611" s="229"/>
      <c r="AJ611" s="229"/>
      <c r="AK611" s="213" t="s">
        <v>1886</v>
      </c>
      <c r="AL611" s="229"/>
      <c r="AM611" s="229"/>
      <c r="AN611" s="229"/>
      <c r="AO611" s="229"/>
      <c r="AP611" s="229"/>
    </row>
    <row r="612">
      <c r="A612" s="226" t="s">
        <v>36</v>
      </c>
      <c r="B612" s="227">
        <v>45701.59531916666</v>
      </c>
      <c r="C612" s="226" t="s">
        <v>424</v>
      </c>
      <c r="D612" s="226" t="s">
        <v>734</v>
      </c>
      <c r="E612" s="226" t="s">
        <v>735</v>
      </c>
      <c r="F612" s="226" t="s">
        <v>735</v>
      </c>
      <c r="G612" s="226" t="s">
        <v>735</v>
      </c>
      <c r="H612" s="226" t="s">
        <v>625</v>
      </c>
      <c r="I612" s="238">
        <v>300.0</v>
      </c>
      <c r="J612" s="226" t="s">
        <v>262</v>
      </c>
      <c r="K612" s="229"/>
      <c r="L612" s="226" t="s">
        <v>1887</v>
      </c>
      <c r="M612" s="226" t="s">
        <v>71</v>
      </c>
      <c r="N612" s="226" t="s">
        <v>68</v>
      </c>
      <c r="O612" s="226" t="s">
        <v>880</v>
      </c>
      <c r="P612" s="213" t="s">
        <v>1887</v>
      </c>
      <c r="Q612" s="226" t="s">
        <v>1438</v>
      </c>
      <c r="R612" s="226" t="s">
        <v>1621</v>
      </c>
      <c r="S612" s="226" t="s">
        <v>71</v>
      </c>
      <c r="T612" s="226" t="s">
        <v>1888</v>
      </c>
      <c r="U612" s="233"/>
      <c r="V612" s="233"/>
      <c r="W612" s="233"/>
      <c r="X612" s="233"/>
      <c r="Y612" s="233"/>
      <c r="Z612" s="229"/>
      <c r="AA612" s="229"/>
      <c r="AB612" s="229"/>
      <c r="AC612" s="229"/>
      <c r="AD612" s="229"/>
      <c r="AE612" s="229"/>
      <c r="AF612" s="229"/>
      <c r="AG612" s="229"/>
      <c r="AH612" s="229"/>
      <c r="AI612" s="229"/>
      <c r="AJ612" s="229"/>
      <c r="AK612" s="226" t="s">
        <v>1889</v>
      </c>
      <c r="AL612" s="229"/>
      <c r="AM612" s="229"/>
      <c r="AN612" s="229"/>
      <c r="AO612" s="229"/>
      <c r="AP612" s="229"/>
    </row>
    <row r="613">
      <c r="A613" s="226" t="s">
        <v>36</v>
      </c>
      <c r="B613" s="227">
        <v>45705.31855098379</v>
      </c>
      <c r="C613" s="226" t="s">
        <v>385</v>
      </c>
      <c r="D613" s="226" t="s">
        <v>109</v>
      </c>
      <c r="E613" s="226" t="s">
        <v>52</v>
      </c>
      <c r="F613" s="226" t="s">
        <v>65</v>
      </c>
      <c r="G613" s="226" t="s">
        <v>54</v>
      </c>
      <c r="H613" s="226" t="s">
        <v>625</v>
      </c>
      <c r="I613" s="226" t="s">
        <v>1890</v>
      </c>
      <c r="J613" s="226" t="s">
        <v>102</v>
      </c>
      <c r="K613" s="229"/>
      <c r="L613" s="226" t="s">
        <v>1891</v>
      </c>
      <c r="M613" s="226" t="s">
        <v>71</v>
      </c>
      <c r="N613" s="226" t="s">
        <v>96</v>
      </c>
      <c r="O613" s="226" t="s">
        <v>1059</v>
      </c>
      <c r="P613" s="229"/>
      <c r="Q613" s="226" t="s">
        <v>1438</v>
      </c>
      <c r="R613" s="213" t="s">
        <v>1552</v>
      </c>
      <c r="S613" s="226" t="s">
        <v>71</v>
      </c>
      <c r="T613" s="226" t="s">
        <v>1892</v>
      </c>
      <c r="U613" s="233"/>
      <c r="V613" s="233"/>
      <c r="W613" s="233"/>
      <c r="X613" s="233"/>
      <c r="Y613" s="233"/>
      <c r="Z613" s="229"/>
      <c r="AA613" s="229"/>
      <c r="AB613" s="229"/>
      <c r="AC613" s="229"/>
      <c r="AD613" s="229"/>
      <c r="AE613" s="229"/>
      <c r="AF613" s="229"/>
      <c r="AG613" s="229"/>
      <c r="AH613" s="229"/>
      <c r="AI613" s="229"/>
      <c r="AJ613" s="229"/>
      <c r="AK613" s="226" t="s">
        <v>1893</v>
      </c>
      <c r="AL613" s="229"/>
      <c r="AM613" s="229"/>
      <c r="AN613" s="229"/>
      <c r="AO613" s="229"/>
      <c r="AP613" s="229"/>
    </row>
    <row r="614">
      <c r="A614" s="226" t="s">
        <v>36</v>
      </c>
      <c r="B614" s="227">
        <v>45705.87648733796</v>
      </c>
      <c r="C614" s="226" t="s">
        <v>382</v>
      </c>
      <c r="D614" s="226" t="s">
        <v>109</v>
      </c>
      <c r="E614" s="226" t="s">
        <v>52</v>
      </c>
      <c r="F614" s="226" t="s">
        <v>65</v>
      </c>
      <c r="G614" s="226" t="s">
        <v>131</v>
      </c>
      <c r="H614" s="226" t="s">
        <v>625</v>
      </c>
      <c r="I614" s="226" t="s">
        <v>1894</v>
      </c>
      <c r="J614" s="226" t="s">
        <v>383</v>
      </c>
      <c r="K614" s="229"/>
      <c r="L614" s="230" t="s">
        <v>1895</v>
      </c>
      <c r="M614" s="226" t="s">
        <v>71</v>
      </c>
      <c r="N614" s="226" t="s">
        <v>96</v>
      </c>
      <c r="O614" s="226" t="s">
        <v>903</v>
      </c>
      <c r="P614" s="232" t="s">
        <v>1896</v>
      </c>
      <c r="Q614" s="226" t="s">
        <v>1438</v>
      </c>
      <c r="R614" s="213" t="s">
        <v>1552</v>
      </c>
      <c r="S614" s="226" t="s">
        <v>71</v>
      </c>
      <c r="T614" s="226" t="s">
        <v>1897</v>
      </c>
      <c r="U614" s="233"/>
      <c r="V614" s="233"/>
      <c r="W614" s="233"/>
      <c r="X614" s="233"/>
      <c r="Y614" s="233"/>
      <c r="Z614" s="229"/>
      <c r="AA614" s="229"/>
      <c r="AB614" s="229"/>
      <c r="AC614" s="229"/>
      <c r="AD614" s="229"/>
      <c r="AE614" s="229"/>
      <c r="AF614" s="229"/>
      <c r="AG614" s="229"/>
      <c r="AH614" s="229"/>
      <c r="AI614" s="229"/>
      <c r="AJ614" s="229"/>
      <c r="AK614" s="226" t="s">
        <v>1893</v>
      </c>
      <c r="AL614" s="229"/>
      <c r="AM614" s="229"/>
      <c r="AN614" s="229"/>
      <c r="AO614" s="229"/>
      <c r="AP614" s="229"/>
    </row>
    <row r="615">
      <c r="A615" s="226" t="s">
        <v>36</v>
      </c>
      <c r="B615" s="227">
        <v>45706.655194363426</v>
      </c>
      <c r="C615" s="226" t="s">
        <v>171</v>
      </c>
      <c r="D615" s="226" t="s">
        <v>51</v>
      </c>
      <c r="E615" s="226" t="s">
        <v>52</v>
      </c>
      <c r="F615" s="226" t="s">
        <v>40</v>
      </c>
      <c r="G615" s="226" t="s">
        <v>131</v>
      </c>
      <c r="H615" s="226" t="s">
        <v>625</v>
      </c>
      <c r="I615" s="228">
        <v>209.0</v>
      </c>
      <c r="J615" s="226" t="s">
        <v>100</v>
      </c>
      <c r="K615" s="229"/>
      <c r="L615" s="226" t="s">
        <v>1898</v>
      </c>
      <c r="M615" s="226" t="s">
        <v>71</v>
      </c>
      <c r="N615" s="226" t="s">
        <v>96</v>
      </c>
      <c r="O615" s="226" t="s">
        <v>894</v>
      </c>
      <c r="P615" s="226" t="s">
        <v>1899</v>
      </c>
      <c r="Q615" s="226" t="s">
        <v>1438</v>
      </c>
      <c r="R615" s="213" t="s">
        <v>1552</v>
      </c>
      <c r="S615" s="226" t="s">
        <v>71</v>
      </c>
      <c r="T615" s="226" t="s">
        <v>1900</v>
      </c>
      <c r="U615" s="233"/>
      <c r="V615" s="233"/>
      <c r="W615" s="233"/>
      <c r="X615" s="233"/>
      <c r="Y615" s="233"/>
      <c r="Z615" s="229"/>
      <c r="AA615" s="229"/>
      <c r="AB615" s="229"/>
      <c r="AC615" s="229"/>
      <c r="AD615" s="229"/>
      <c r="AE615" s="229"/>
      <c r="AF615" s="229"/>
      <c r="AG615" s="229"/>
      <c r="AH615" s="229"/>
      <c r="AI615" s="229"/>
      <c r="AJ615" s="229"/>
      <c r="AK615" s="213" t="s">
        <v>1901</v>
      </c>
      <c r="AL615" s="229"/>
      <c r="AM615" s="229"/>
      <c r="AN615" s="229"/>
      <c r="AO615" s="229"/>
      <c r="AP615" s="229"/>
    </row>
    <row r="616">
      <c r="A616" s="226" t="s">
        <v>36</v>
      </c>
      <c r="B616" s="227">
        <v>45706.837288055554</v>
      </c>
      <c r="C616" s="226" t="s">
        <v>1902</v>
      </c>
      <c r="D616" s="226" t="s">
        <v>38</v>
      </c>
      <c r="E616" s="226" t="s">
        <v>40</v>
      </c>
      <c r="F616" s="226" t="s">
        <v>40</v>
      </c>
      <c r="G616" s="226" t="s">
        <v>54</v>
      </c>
      <c r="H616" s="226" t="s">
        <v>625</v>
      </c>
      <c r="I616" s="228">
        <v>219.0</v>
      </c>
      <c r="J616" s="226" t="s">
        <v>100</v>
      </c>
      <c r="K616" s="229"/>
      <c r="L616" s="226" t="s">
        <v>1903</v>
      </c>
      <c r="M616" s="226" t="s">
        <v>71</v>
      </c>
      <c r="N616" s="226" t="s">
        <v>96</v>
      </c>
      <c r="O616" s="226" t="s">
        <v>1904</v>
      </c>
      <c r="P616" s="226" t="s">
        <v>1905</v>
      </c>
      <c r="Q616" s="226" t="s">
        <v>1438</v>
      </c>
      <c r="R616" s="213" t="s">
        <v>1552</v>
      </c>
      <c r="S616" s="226" t="s">
        <v>71</v>
      </c>
      <c r="T616" s="229"/>
      <c r="U616" s="229"/>
      <c r="V616" s="229"/>
      <c r="W616" s="229"/>
      <c r="X616" s="229"/>
      <c r="Y616" s="229"/>
      <c r="Z616" s="229"/>
      <c r="AA616" s="229"/>
      <c r="AB616" s="229"/>
      <c r="AC616" s="229"/>
      <c r="AD616" s="229"/>
      <c r="AE616" s="229"/>
      <c r="AF616" s="229"/>
      <c r="AG616" s="229"/>
      <c r="AH616" s="229"/>
      <c r="AI616" s="229"/>
      <c r="AJ616" s="229"/>
      <c r="AK616" s="213" t="s">
        <v>1906</v>
      </c>
      <c r="AL616" s="229"/>
      <c r="AM616" s="229"/>
      <c r="AN616" s="229"/>
      <c r="AO616" s="229"/>
      <c r="AP616" s="229"/>
    </row>
    <row r="617">
      <c r="A617" s="226" t="s">
        <v>36</v>
      </c>
      <c r="B617" s="227">
        <v>45707.954568587964</v>
      </c>
      <c r="C617" s="226" t="s">
        <v>209</v>
      </c>
      <c r="D617" s="226" t="s">
        <v>51</v>
      </c>
      <c r="E617" s="226" t="s">
        <v>52</v>
      </c>
      <c r="F617" s="226" t="s">
        <v>210</v>
      </c>
      <c r="G617" s="226" t="s">
        <v>131</v>
      </c>
      <c r="H617" s="226" t="s">
        <v>625</v>
      </c>
      <c r="I617" s="228">
        <v>159.0</v>
      </c>
      <c r="J617" s="226" t="s">
        <v>100</v>
      </c>
      <c r="K617" s="229"/>
      <c r="L617" s="226" t="s">
        <v>1907</v>
      </c>
      <c r="M617" s="226" t="s">
        <v>71</v>
      </c>
      <c r="N617" s="226" t="s">
        <v>96</v>
      </c>
      <c r="O617" s="226" t="s">
        <v>1794</v>
      </c>
      <c r="P617" s="226" t="s">
        <v>1908</v>
      </c>
      <c r="Q617" s="226" t="s">
        <v>1438</v>
      </c>
      <c r="R617" s="213" t="s">
        <v>1552</v>
      </c>
      <c r="S617" s="226" t="s">
        <v>71</v>
      </c>
      <c r="T617" s="226" t="s">
        <v>1909</v>
      </c>
      <c r="U617" s="233"/>
      <c r="V617" s="233"/>
      <c r="W617" s="233"/>
      <c r="X617" s="233"/>
      <c r="Y617" s="233"/>
      <c r="Z617" s="229"/>
      <c r="AA617" s="229"/>
      <c r="AB617" s="229"/>
      <c r="AC617" s="229"/>
      <c r="AD617" s="229"/>
      <c r="AE617" s="229"/>
      <c r="AF617" s="229"/>
      <c r="AG617" s="229"/>
      <c r="AH617" s="229"/>
      <c r="AI617" s="229"/>
      <c r="AJ617" s="229"/>
      <c r="AK617" s="213" t="s">
        <v>1910</v>
      </c>
      <c r="AL617" s="229"/>
      <c r="AM617" s="229"/>
      <c r="AN617" s="229"/>
      <c r="AO617" s="229"/>
      <c r="AP617" s="229"/>
    </row>
    <row r="618">
      <c r="A618" s="226" t="s">
        <v>36</v>
      </c>
      <c r="B618" s="227">
        <v>45708.559984374995</v>
      </c>
      <c r="C618" s="226" t="s">
        <v>148</v>
      </c>
      <c r="D618" s="226" t="s">
        <v>51</v>
      </c>
      <c r="E618" s="226" t="s">
        <v>52</v>
      </c>
      <c r="F618" s="226" t="s">
        <v>40</v>
      </c>
      <c r="G618" s="226" t="s">
        <v>41</v>
      </c>
      <c r="H618" s="226" t="s">
        <v>625</v>
      </c>
      <c r="I618" s="226">
        <v>219.0</v>
      </c>
      <c r="J618" s="226" t="s">
        <v>100</v>
      </c>
      <c r="K618" s="229"/>
      <c r="L618" s="230" t="s">
        <v>1911</v>
      </c>
      <c r="M618" s="226" t="s">
        <v>71</v>
      </c>
      <c r="N618" s="226" t="s">
        <v>96</v>
      </c>
      <c r="O618" s="226" t="s">
        <v>907</v>
      </c>
      <c r="P618" s="232" t="s">
        <v>1912</v>
      </c>
      <c r="Q618" s="226" t="s">
        <v>1438</v>
      </c>
      <c r="R618" s="213" t="s">
        <v>1552</v>
      </c>
      <c r="S618" s="226" t="s">
        <v>71</v>
      </c>
      <c r="T618" s="229"/>
      <c r="U618" s="229"/>
      <c r="V618" s="229"/>
      <c r="W618" s="229"/>
      <c r="X618" s="229"/>
      <c r="Y618" s="229"/>
      <c r="Z618" s="229"/>
      <c r="AA618" s="229"/>
      <c r="AB618" s="229"/>
      <c r="AC618" s="229"/>
      <c r="AD618" s="229"/>
      <c r="AE618" s="229"/>
      <c r="AF618" s="229"/>
      <c r="AG618" s="229"/>
      <c r="AH618" s="229"/>
      <c r="AI618" s="229"/>
      <c r="AJ618" s="229"/>
      <c r="AK618" s="213" t="s">
        <v>1913</v>
      </c>
      <c r="AL618" s="229"/>
      <c r="AM618" s="229"/>
      <c r="AN618" s="229"/>
      <c r="AO618" s="229"/>
      <c r="AP618" s="229"/>
    </row>
    <row r="619">
      <c r="A619" s="226" t="s">
        <v>36</v>
      </c>
      <c r="B619" s="227">
        <v>45708.57067237268</v>
      </c>
      <c r="C619" s="226" t="s">
        <v>1242</v>
      </c>
      <c r="D619" s="226" t="s">
        <v>142</v>
      </c>
      <c r="E619" s="226" t="s">
        <v>52</v>
      </c>
      <c r="F619" s="226" t="s">
        <v>40</v>
      </c>
      <c r="G619" s="226" t="s">
        <v>54</v>
      </c>
      <c r="H619" s="226" t="s">
        <v>833</v>
      </c>
      <c r="I619" s="228">
        <v>50.0</v>
      </c>
      <c r="J619" s="226" t="s">
        <v>1243</v>
      </c>
      <c r="K619" s="240" t="s">
        <v>1914</v>
      </c>
      <c r="L619" s="230" t="s">
        <v>1915</v>
      </c>
      <c r="M619" s="226" t="s">
        <v>71</v>
      </c>
      <c r="N619" s="226" t="s">
        <v>96</v>
      </c>
      <c r="O619" s="226" t="s">
        <v>1916</v>
      </c>
      <c r="P619" s="232" t="s">
        <v>1917</v>
      </c>
      <c r="Q619" s="226" t="s">
        <v>1438</v>
      </c>
      <c r="R619" s="213" t="s">
        <v>1552</v>
      </c>
      <c r="S619" s="226" t="s">
        <v>1557</v>
      </c>
      <c r="T619" s="229"/>
      <c r="U619" s="229"/>
      <c r="V619" s="229"/>
      <c r="W619" s="229"/>
      <c r="X619" s="229"/>
      <c r="Y619" s="229"/>
      <c r="Z619" s="229"/>
      <c r="AA619" s="229"/>
      <c r="AB619" s="229"/>
      <c r="AC619" s="229"/>
      <c r="AD619" s="229"/>
      <c r="AE619" s="229"/>
      <c r="AF619" s="229"/>
      <c r="AG619" s="229"/>
      <c r="AH619" s="229"/>
      <c r="AI619" s="229"/>
      <c r="AJ619" s="229"/>
      <c r="AK619" s="226" t="s">
        <v>1918</v>
      </c>
      <c r="AL619" s="229"/>
      <c r="AM619" s="229"/>
      <c r="AN619" s="229"/>
      <c r="AO619" s="229"/>
      <c r="AP619" s="229"/>
    </row>
    <row r="620">
      <c r="A620" s="226" t="s">
        <v>36</v>
      </c>
      <c r="B620" s="227">
        <v>45708.66603800926</v>
      </c>
      <c r="C620" s="226" t="s">
        <v>150</v>
      </c>
      <c r="D620" s="226" t="s">
        <v>51</v>
      </c>
      <c r="E620" s="226" t="s">
        <v>52</v>
      </c>
      <c r="F620" s="226" t="s">
        <v>65</v>
      </c>
      <c r="G620" s="226" t="s">
        <v>54</v>
      </c>
      <c r="H620" s="226" t="s">
        <v>625</v>
      </c>
      <c r="I620" s="228">
        <v>219.0</v>
      </c>
      <c r="J620" s="226" t="s">
        <v>100</v>
      </c>
      <c r="K620" s="240" t="s">
        <v>1919</v>
      </c>
      <c r="L620" s="230" t="s">
        <v>1920</v>
      </c>
      <c r="M620" s="226" t="s">
        <v>71</v>
      </c>
      <c r="N620" s="226" t="s">
        <v>96</v>
      </c>
      <c r="O620" s="226" t="s">
        <v>842</v>
      </c>
      <c r="P620" s="226" t="s">
        <v>1921</v>
      </c>
      <c r="Q620" s="226" t="s">
        <v>1438</v>
      </c>
      <c r="R620" s="213" t="s">
        <v>1552</v>
      </c>
      <c r="S620" s="226" t="s">
        <v>71</v>
      </c>
      <c r="T620" s="226" t="s">
        <v>1922</v>
      </c>
      <c r="U620" s="233"/>
      <c r="V620" s="233"/>
      <c r="W620" s="233"/>
      <c r="X620" s="233"/>
      <c r="Y620" s="233"/>
      <c r="Z620" s="229"/>
      <c r="AA620" s="229"/>
      <c r="AB620" s="229"/>
      <c r="AC620" s="229"/>
      <c r="AD620" s="229"/>
      <c r="AE620" s="229"/>
      <c r="AF620" s="229"/>
      <c r="AG620" s="229"/>
      <c r="AH620" s="229"/>
      <c r="AI620" s="229"/>
      <c r="AJ620" s="229"/>
      <c r="AK620" s="226" t="s">
        <v>1923</v>
      </c>
      <c r="AL620" s="229"/>
      <c r="AM620" s="229"/>
      <c r="AN620" s="229"/>
      <c r="AO620" s="229"/>
      <c r="AP620" s="229"/>
    </row>
    <row r="621">
      <c r="A621" s="226" t="s">
        <v>36</v>
      </c>
      <c r="B621" s="227">
        <v>45709.656066157404</v>
      </c>
      <c r="C621" s="226" t="s">
        <v>600</v>
      </c>
      <c r="D621" s="226" t="s">
        <v>142</v>
      </c>
      <c r="E621" s="226" t="s">
        <v>52</v>
      </c>
      <c r="F621" s="226" t="s">
        <v>65</v>
      </c>
      <c r="G621" s="226" t="s">
        <v>54</v>
      </c>
      <c r="H621" s="226" t="s">
        <v>833</v>
      </c>
      <c r="I621" s="228">
        <v>50.0</v>
      </c>
      <c r="J621" s="226" t="s">
        <v>383</v>
      </c>
      <c r="K621" s="229"/>
      <c r="L621" s="230" t="s">
        <v>1924</v>
      </c>
      <c r="M621" s="226" t="s">
        <v>71</v>
      </c>
      <c r="N621" s="226" t="s">
        <v>96</v>
      </c>
      <c r="O621" s="226" t="s">
        <v>1925</v>
      </c>
      <c r="P621" s="232" t="s">
        <v>1926</v>
      </c>
      <c r="Q621" s="226" t="s">
        <v>1438</v>
      </c>
      <c r="R621" s="213" t="s">
        <v>1552</v>
      </c>
      <c r="S621" s="213" t="s">
        <v>1557</v>
      </c>
      <c r="T621" s="213" t="s">
        <v>1927</v>
      </c>
      <c r="U621" s="239"/>
      <c r="V621" s="239"/>
      <c r="W621" s="239"/>
      <c r="X621" s="239"/>
      <c r="Y621" s="239"/>
      <c r="Z621" s="229"/>
      <c r="AA621" s="229"/>
      <c r="AB621" s="229"/>
      <c r="AC621" s="229"/>
      <c r="AD621" s="229"/>
      <c r="AE621" s="229"/>
      <c r="AF621" s="229"/>
      <c r="AG621" s="229"/>
      <c r="AH621" s="229"/>
      <c r="AI621" s="229"/>
      <c r="AJ621" s="229"/>
      <c r="AK621" s="226" t="s">
        <v>1923</v>
      </c>
      <c r="AL621" s="229"/>
      <c r="AM621" s="229"/>
      <c r="AN621" s="229"/>
      <c r="AO621" s="229"/>
      <c r="AP621" s="229"/>
    </row>
    <row r="622">
      <c r="A622" s="226" t="s">
        <v>36</v>
      </c>
      <c r="B622" s="227">
        <v>45712.59615395834</v>
      </c>
      <c r="C622" s="226" t="s">
        <v>188</v>
      </c>
      <c r="D622" s="226" t="s">
        <v>142</v>
      </c>
      <c r="E622" s="226" t="s">
        <v>52</v>
      </c>
      <c r="F622" s="226" t="s">
        <v>65</v>
      </c>
      <c r="G622" s="226" t="s">
        <v>41</v>
      </c>
      <c r="H622" s="226" t="s">
        <v>625</v>
      </c>
      <c r="I622" s="226">
        <v>899.0</v>
      </c>
      <c r="J622" s="226" t="s">
        <v>189</v>
      </c>
      <c r="K622" s="229"/>
      <c r="L622" s="230" t="s">
        <v>1928</v>
      </c>
      <c r="M622" s="226" t="s">
        <v>71</v>
      </c>
      <c r="N622" s="226" t="s">
        <v>68</v>
      </c>
      <c r="O622" s="226" t="s">
        <v>1009</v>
      </c>
      <c r="P622" s="226" t="s">
        <v>1929</v>
      </c>
      <c r="Q622" s="226" t="s">
        <v>1438</v>
      </c>
      <c r="R622" s="213" t="s">
        <v>1598</v>
      </c>
      <c r="S622" s="213" t="s">
        <v>1557</v>
      </c>
      <c r="T622" s="213" t="s">
        <v>1930</v>
      </c>
      <c r="U622" s="239"/>
      <c r="V622" s="239"/>
      <c r="W622" s="239"/>
      <c r="X622" s="239"/>
      <c r="Y622" s="239"/>
      <c r="Z622" s="229"/>
      <c r="AA622" s="229"/>
      <c r="AB622" s="229"/>
      <c r="AC622" s="229"/>
      <c r="AD622" s="229"/>
      <c r="AE622" s="229"/>
      <c r="AF622" s="229"/>
      <c r="AG622" s="229"/>
      <c r="AH622" s="229"/>
      <c r="AI622" s="229"/>
      <c r="AJ622" s="229"/>
      <c r="AK622" s="226" t="s">
        <v>1923</v>
      </c>
      <c r="AL622" s="229"/>
      <c r="AM622" s="229"/>
      <c r="AN622" s="229"/>
      <c r="AO622" s="229"/>
      <c r="AP622" s="229"/>
    </row>
    <row r="623">
      <c r="A623" s="226" t="s">
        <v>36</v>
      </c>
      <c r="B623" s="227">
        <v>45712.64516699074</v>
      </c>
      <c r="C623" s="226" t="s">
        <v>1931</v>
      </c>
      <c r="D623" s="226" t="s">
        <v>317</v>
      </c>
      <c r="E623" s="226" t="s">
        <v>52</v>
      </c>
      <c r="F623" s="226" t="s">
        <v>65</v>
      </c>
      <c r="G623" s="226" t="s">
        <v>54</v>
      </c>
      <c r="H623" s="226" t="s">
        <v>625</v>
      </c>
      <c r="I623" s="228">
        <v>209.0</v>
      </c>
      <c r="J623" s="226" t="s">
        <v>100</v>
      </c>
      <c r="K623" s="229"/>
      <c r="L623" s="226" t="s">
        <v>1932</v>
      </c>
      <c r="M623" s="226" t="s">
        <v>71</v>
      </c>
      <c r="N623" s="226" t="s">
        <v>96</v>
      </c>
      <c r="O623" s="226" t="s">
        <v>1933</v>
      </c>
      <c r="P623" s="226" t="s">
        <v>1934</v>
      </c>
      <c r="Q623" s="226" t="s">
        <v>1438</v>
      </c>
      <c r="R623" s="213" t="s">
        <v>1552</v>
      </c>
      <c r="S623" s="226" t="s">
        <v>71</v>
      </c>
      <c r="T623" s="229"/>
      <c r="U623" s="229"/>
      <c r="V623" s="229"/>
      <c r="W623" s="229"/>
      <c r="X623" s="229"/>
      <c r="Y623" s="229"/>
      <c r="Z623" s="229"/>
      <c r="AA623" s="229"/>
      <c r="AB623" s="229"/>
      <c r="AC623" s="229"/>
      <c r="AD623" s="229"/>
      <c r="AE623" s="229"/>
      <c r="AF623" s="229"/>
      <c r="AG623" s="229"/>
      <c r="AH623" s="229"/>
      <c r="AI623" s="229"/>
      <c r="AJ623" s="229"/>
      <c r="AK623" s="226" t="s">
        <v>1923</v>
      </c>
      <c r="AL623" s="229"/>
      <c r="AM623" s="229"/>
      <c r="AN623" s="229"/>
      <c r="AO623" s="229"/>
      <c r="AP623" s="229"/>
    </row>
    <row r="624">
      <c r="A624" s="226" t="s">
        <v>36</v>
      </c>
      <c r="B624" s="227">
        <v>45713.50754040509</v>
      </c>
      <c r="C624" s="226" t="s">
        <v>650</v>
      </c>
      <c r="D624" s="226" t="s">
        <v>202</v>
      </c>
      <c r="E624" s="226" t="s">
        <v>138</v>
      </c>
      <c r="F624" s="226" t="s">
        <v>65</v>
      </c>
      <c r="G624" s="226" t="s">
        <v>54</v>
      </c>
      <c r="H624" s="226" t="s">
        <v>1098</v>
      </c>
      <c r="I624" s="250">
        <v>15000.0</v>
      </c>
      <c r="J624" s="226" t="s">
        <v>262</v>
      </c>
      <c r="K624" s="229"/>
      <c r="L624" s="229"/>
      <c r="M624" s="226" t="s">
        <v>71</v>
      </c>
      <c r="N624" s="226" t="s">
        <v>96</v>
      </c>
      <c r="O624" s="213" t="s">
        <v>1935</v>
      </c>
      <c r="P624" s="213" t="s">
        <v>1936</v>
      </c>
      <c r="Q624" s="213" t="s">
        <v>1438</v>
      </c>
      <c r="R624" s="213" t="s">
        <v>1598</v>
      </c>
      <c r="S624" s="226" t="s">
        <v>1557</v>
      </c>
      <c r="T624" s="229"/>
      <c r="U624" s="229"/>
      <c r="V624" s="229"/>
      <c r="W624" s="229"/>
      <c r="X624" s="229"/>
      <c r="Y624" s="229"/>
      <c r="Z624" s="229"/>
      <c r="AA624" s="229"/>
      <c r="AB624" s="229"/>
      <c r="AC624" s="229"/>
      <c r="AD624" s="229"/>
      <c r="AE624" s="229"/>
      <c r="AF624" s="229"/>
      <c r="AG624" s="229"/>
      <c r="AH624" s="229"/>
      <c r="AI624" s="229"/>
      <c r="AJ624" s="229"/>
      <c r="AK624" s="226" t="s">
        <v>1937</v>
      </c>
      <c r="AL624" s="229"/>
      <c r="AM624" s="229"/>
      <c r="AN624" s="229"/>
      <c r="AO624" s="229"/>
      <c r="AP624" s="229"/>
    </row>
    <row r="625">
      <c r="A625" s="226" t="s">
        <v>36</v>
      </c>
      <c r="B625" s="227">
        <v>45713.51385903935</v>
      </c>
      <c r="C625" s="226" t="s">
        <v>697</v>
      </c>
      <c r="D625" s="226" t="s">
        <v>832</v>
      </c>
      <c r="E625" s="226" t="s">
        <v>138</v>
      </c>
      <c r="F625" s="226" t="s">
        <v>65</v>
      </c>
      <c r="G625" s="226" t="s">
        <v>54</v>
      </c>
      <c r="H625" s="226" t="s">
        <v>625</v>
      </c>
      <c r="I625" s="226">
        <v>295.0</v>
      </c>
      <c r="J625" s="226" t="s">
        <v>229</v>
      </c>
      <c r="K625" s="229"/>
      <c r="L625" s="226" t="s">
        <v>1938</v>
      </c>
      <c r="M625" s="226" t="s">
        <v>71</v>
      </c>
      <c r="N625" s="226" t="s">
        <v>96</v>
      </c>
      <c r="O625" s="213" t="s">
        <v>1939</v>
      </c>
      <c r="P625" s="263" t="s">
        <v>1940</v>
      </c>
      <c r="Q625" s="213" t="s">
        <v>1438</v>
      </c>
      <c r="R625" s="213" t="s">
        <v>1552</v>
      </c>
      <c r="S625" s="213" t="s">
        <v>1557</v>
      </c>
      <c r="T625" s="213" t="s">
        <v>1941</v>
      </c>
      <c r="U625" s="239"/>
      <c r="V625" s="239"/>
      <c r="W625" s="239"/>
      <c r="X625" s="239"/>
      <c r="Y625" s="239"/>
      <c r="Z625" s="229"/>
      <c r="AA625" s="229"/>
      <c r="AB625" s="229"/>
      <c r="AC625" s="229"/>
      <c r="AD625" s="229"/>
      <c r="AE625" s="229"/>
      <c r="AF625" s="229"/>
      <c r="AG625" s="229"/>
      <c r="AH625" s="229"/>
      <c r="AI625" s="229"/>
      <c r="AJ625" s="229"/>
      <c r="AK625" s="226" t="s">
        <v>1937</v>
      </c>
      <c r="AL625" s="229"/>
      <c r="AM625" s="229"/>
      <c r="AN625" s="229"/>
      <c r="AO625" s="229"/>
      <c r="AP625" s="229"/>
    </row>
    <row r="626">
      <c r="A626" s="226" t="s">
        <v>36</v>
      </c>
      <c r="B626" s="227">
        <v>45713.674942708334</v>
      </c>
      <c r="C626" s="226" t="s">
        <v>516</v>
      </c>
      <c r="D626" s="226" t="s">
        <v>51</v>
      </c>
      <c r="E626" s="226" t="s">
        <v>52</v>
      </c>
      <c r="F626" s="226" t="s">
        <v>549</v>
      </c>
      <c r="G626" s="226" t="s">
        <v>54</v>
      </c>
      <c r="H626" s="226" t="s">
        <v>625</v>
      </c>
      <c r="I626" s="228">
        <v>135.0</v>
      </c>
      <c r="J626" s="226" t="s">
        <v>383</v>
      </c>
      <c r="K626" s="229"/>
      <c r="L626" s="230" t="s">
        <v>1942</v>
      </c>
      <c r="M626" s="226" t="s">
        <v>71</v>
      </c>
      <c r="N626" s="226" t="s">
        <v>68</v>
      </c>
      <c r="O626" s="226" t="s">
        <v>1943</v>
      </c>
      <c r="P626" s="232" t="s">
        <v>1944</v>
      </c>
      <c r="Q626" s="226" t="s">
        <v>1438</v>
      </c>
      <c r="R626" s="213" t="s">
        <v>1552</v>
      </c>
      <c r="S626" s="226" t="s">
        <v>1557</v>
      </c>
      <c r="T626" s="226" t="s">
        <v>1945</v>
      </c>
      <c r="U626" s="233"/>
      <c r="V626" s="233"/>
      <c r="W626" s="233"/>
      <c r="X626" s="233"/>
      <c r="Y626" s="233"/>
      <c r="Z626" s="229"/>
      <c r="AA626" s="229"/>
      <c r="AB626" s="229"/>
      <c r="AC626" s="229"/>
      <c r="AD626" s="229"/>
      <c r="AE626" s="229"/>
      <c r="AF626" s="229"/>
      <c r="AG626" s="229"/>
      <c r="AH626" s="229"/>
      <c r="AI626" s="229"/>
      <c r="AJ626" s="229"/>
      <c r="AK626" s="226" t="s">
        <v>1937</v>
      </c>
      <c r="AL626" s="229"/>
      <c r="AM626" s="229"/>
      <c r="AN626" s="229"/>
      <c r="AO626" s="229"/>
      <c r="AP626" s="229"/>
    </row>
    <row r="627">
      <c r="A627" s="226" t="s">
        <v>36</v>
      </c>
      <c r="B627" s="227">
        <v>45714.48215241898</v>
      </c>
      <c r="C627" s="226" t="s">
        <v>123</v>
      </c>
      <c r="D627" s="226" t="s">
        <v>124</v>
      </c>
      <c r="E627" s="226" t="s">
        <v>52</v>
      </c>
      <c r="F627" s="226" t="s">
        <v>65</v>
      </c>
      <c r="G627" s="226" t="s">
        <v>54</v>
      </c>
      <c r="H627" s="226" t="s">
        <v>625</v>
      </c>
      <c r="I627" s="226">
        <v>395.0</v>
      </c>
      <c r="J627" s="226" t="s">
        <v>194</v>
      </c>
      <c r="K627" s="229"/>
      <c r="L627" s="230" t="s">
        <v>1946</v>
      </c>
      <c r="M627" s="226" t="s">
        <v>71</v>
      </c>
      <c r="N627" s="226" t="s">
        <v>68</v>
      </c>
      <c r="O627" s="226" t="s">
        <v>1522</v>
      </c>
      <c r="P627" s="226" t="s">
        <v>1947</v>
      </c>
      <c r="Q627" s="226" t="s">
        <v>1438</v>
      </c>
      <c r="R627" s="213" t="s">
        <v>1552</v>
      </c>
      <c r="S627" s="226" t="s">
        <v>71</v>
      </c>
      <c r="T627" s="229"/>
      <c r="U627" s="229"/>
      <c r="V627" s="229"/>
      <c r="W627" s="229"/>
      <c r="X627" s="229"/>
      <c r="Y627" s="229"/>
      <c r="Z627" s="229"/>
      <c r="AA627" s="229"/>
      <c r="AB627" s="229"/>
      <c r="AC627" s="229"/>
      <c r="AD627" s="229"/>
      <c r="AE627" s="229"/>
      <c r="AF627" s="229"/>
      <c r="AG627" s="229"/>
      <c r="AH627" s="229"/>
      <c r="AI627" s="229"/>
      <c r="AJ627" s="229"/>
      <c r="AK627" s="226" t="s">
        <v>1937</v>
      </c>
      <c r="AL627" s="229"/>
      <c r="AM627" s="229"/>
      <c r="AN627" s="229"/>
      <c r="AO627" s="229"/>
      <c r="AP627" s="229"/>
    </row>
    <row r="628">
      <c r="A628" s="226" t="s">
        <v>36</v>
      </c>
      <c r="B628" s="227">
        <v>45714.53676361111</v>
      </c>
      <c r="C628" s="226" t="s">
        <v>1284</v>
      </c>
      <c r="D628" s="226" t="s">
        <v>51</v>
      </c>
      <c r="E628" s="226" t="s">
        <v>52</v>
      </c>
      <c r="F628" s="226" t="s">
        <v>40</v>
      </c>
      <c r="G628" s="226" t="s">
        <v>54</v>
      </c>
      <c r="H628" s="226" t="s">
        <v>607</v>
      </c>
      <c r="I628" s="226">
        <v>286.0</v>
      </c>
      <c r="J628" s="226" t="s">
        <v>102</v>
      </c>
      <c r="K628" s="229"/>
      <c r="L628" s="230" t="s">
        <v>1948</v>
      </c>
      <c r="M628" s="226" t="s">
        <v>71</v>
      </c>
      <c r="N628" s="226" t="s">
        <v>96</v>
      </c>
      <c r="O628" s="226" t="s">
        <v>1286</v>
      </c>
      <c r="P628" s="232" t="s">
        <v>1949</v>
      </c>
      <c r="Q628" s="226" t="s">
        <v>1438</v>
      </c>
      <c r="R628" s="213" t="s">
        <v>1552</v>
      </c>
      <c r="S628" s="226" t="s">
        <v>71</v>
      </c>
      <c r="T628" s="226" t="s">
        <v>1950</v>
      </c>
      <c r="U628" s="233"/>
      <c r="V628" s="233"/>
      <c r="W628" s="233"/>
      <c r="X628" s="233"/>
      <c r="Y628" s="233"/>
      <c r="Z628" s="229"/>
      <c r="AA628" s="229"/>
      <c r="AB628" s="229"/>
      <c r="AC628" s="229"/>
      <c r="AD628" s="229"/>
      <c r="AE628" s="229"/>
      <c r="AF628" s="229"/>
      <c r="AG628" s="229"/>
      <c r="AH628" s="229"/>
      <c r="AI628" s="229"/>
      <c r="AJ628" s="229"/>
      <c r="AK628" s="226" t="s">
        <v>1937</v>
      </c>
      <c r="AL628" s="229"/>
      <c r="AM628" s="229"/>
      <c r="AN628" s="229"/>
      <c r="AO628" s="229"/>
      <c r="AP628" s="229"/>
    </row>
    <row r="629">
      <c r="A629" s="226" t="s">
        <v>36</v>
      </c>
      <c r="B629" s="227">
        <v>45714.5983503125</v>
      </c>
      <c r="C629" s="226" t="s">
        <v>311</v>
      </c>
      <c r="D629" s="226" t="s">
        <v>105</v>
      </c>
      <c r="E629" s="226" t="s">
        <v>52</v>
      </c>
      <c r="F629" s="226" t="s">
        <v>65</v>
      </c>
      <c r="G629" s="226" t="s">
        <v>54</v>
      </c>
      <c r="H629" s="226" t="s">
        <v>625</v>
      </c>
      <c r="I629" s="238">
        <v>219.0</v>
      </c>
      <c r="J629" s="226" t="s">
        <v>100</v>
      </c>
      <c r="K629" s="229"/>
      <c r="L629" s="230" t="s">
        <v>1951</v>
      </c>
      <c r="M629" s="226" t="s">
        <v>71</v>
      </c>
      <c r="N629" s="226" t="s">
        <v>96</v>
      </c>
      <c r="O629" s="226" t="s">
        <v>1952</v>
      </c>
      <c r="P629" s="226" t="s">
        <v>1953</v>
      </c>
      <c r="Q629" s="226" t="s">
        <v>1438</v>
      </c>
      <c r="R629" s="213" t="s">
        <v>1552</v>
      </c>
      <c r="S629" s="226" t="s">
        <v>71</v>
      </c>
      <c r="T629" s="226" t="s">
        <v>1954</v>
      </c>
      <c r="U629" s="233"/>
      <c r="V629" s="233"/>
      <c r="W629" s="233"/>
      <c r="X629" s="233"/>
      <c r="Y629" s="233"/>
      <c r="Z629" s="229"/>
      <c r="AA629" s="229"/>
      <c r="AB629" s="229"/>
      <c r="AC629" s="229"/>
      <c r="AD629" s="229"/>
      <c r="AE629" s="229"/>
      <c r="AF629" s="229"/>
      <c r="AG629" s="229"/>
      <c r="AH629" s="229"/>
      <c r="AI629" s="229"/>
      <c r="AJ629" s="229"/>
      <c r="AK629" s="226" t="s">
        <v>1937</v>
      </c>
      <c r="AL629" s="229"/>
      <c r="AM629" s="229"/>
      <c r="AN629" s="229"/>
      <c r="AO629" s="229"/>
      <c r="AP629" s="229"/>
    </row>
    <row r="630">
      <c r="A630" s="226" t="s">
        <v>36</v>
      </c>
      <c r="B630" s="227">
        <v>45714.91939113426</v>
      </c>
      <c r="C630" s="226" t="s">
        <v>385</v>
      </c>
      <c r="D630" s="226" t="s">
        <v>109</v>
      </c>
      <c r="E630" s="226" t="s">
        <v>52</v>
      </c>
      <c r="F630" s="226" t="s">
        <v>65</v>
      </c>
      <c r="G630" s="226" t="s">
        <v>54</v>
      </c>
      <c r="H630" s="226" t="s">
        <v>625</v>
      </c>
      <c r="I630" s="226" t="s">
        <v>1955</v>
      </c>
      <c r="J630" s="226" t="s">
        <v>102</v>
      </c>
      <c r="K630" s="229"/>
      <c r="L630" s="226" t="s">
        <v>1956</v>
      </c>
      <c r="M630" s="226" t="s">
        <v>71</v>
      </c>
      <c r="N630" s="226" t="s">
        <v>96</v>
      </c>
      <c r="O630" s="226" t="s">
        <v>1059</v>
      </c>
      <c r="P630" s="232" t="s">
        <v>1957</v>
      </c>
      <c r="Q630" s="226" t="s">
        <v>1438</v>
      </c>
      <c r="R630" s="213" t="s">
        <v>1552</v>
      </c>
      <c r="S630" s="226" t="s">
        <v>71</v>
      </c>
      <c r="T630" s="226" t="s">
        <v>1958</v>
      </c>
      <c r="U630" s="233"/>
      <c r="V630" s="233"/>
      <c r="W630" s="233"/>
      <c r="X630" s="233"/>
      <c r="Y630" s="233"/>
      <c r="Z630" s="229"/>
      <c r="AA630" s="229"/>
      <c r="AB630" s="229"/>
      <c r="AC630" s="229"/>
      <c r="AD630" s="229"/>
      <c r="AE630" s="229"/>
      <c r="AF630" s="229"/>
      <c r="AG630" s="229"/>
      <c r="AH630" s="229"/>
      <c r="AI630" s="229"/>
      <c r="AJ630" s="229"/>
      <c r="AK630" s="226" t="s">
        <v>1937</v>
      </c>
      <c r="AL630" s="229"/>
      <c r="AM630" s="229"/>
      <c r="AN630" s="229"/>
      <c r="AO630" s="229"/>
      <c r="AP630" s="229"/>
    </row>
    <row r="631">
      <c r="A631" s="226" t="s">
        <v>36</v>
      </c>
      <c r="B631" s="227">
        <v>45715.4973565625</v>
      </c>
      <c r="C631" s="226" t="s">
        <v>436</v>
      </c>
      <c r="D631" s="226" t="s">
        <v>51</v>
      </c>
      <c r="E631" s="226" t="s">
        <v>52</v>
      </c>
      <c r="F631" s="226" t="s">
        <v>65</v>
      </c>
      <c r="G631" s="226" t="s">
        <v>54</v>
      </c>
      <c r="H631" s="226" t="s">
        <v>625</v>
      </c>
      <c r="I631" s="226">
        <v>209.0</v>
      </c>
      <c r="J631" s="226" t="s">
        <v>100</v>
      </c>
      <c r="K631" s="230" t="s">
        <v>1959</v>
      </c>
      <c r="L631" s="226" t="s">
        <v>1932</v>
      </c>
      <c r="M631" s="226" t="s">
        <v>71</v>
      </c>
      <c r="N631" s="226" t="s">
        <v>96</v>
      </c>
      <c r="O631" s="226" t="s">
        <v>1050</v>
      </c>
      <c r="P631" s="232" t="s">
        <v>1960</v>
      </c>
      <c r="Q631" s="226" t="s">
        <v>1438</v>
      </c>
      <c r="R631" s="213" t="s">
        <v>1552</v>
      </c>
      <c r="S631" s="226" t="s">
        <v>71</v>
      </c>
      <c r="T631" s="229"/>
      <c r="U631" s="229"/>
      <c r="V631" s="229"/>
      <c r="W631" s="229"/>
      <c r="X631" s="229"/>
      <c r="Y631" s="229"/>
      <c r="Z631" s="229"/>
      <c r="AA631" s="229"/>
      <c r="AB631" s="229"/>
      <c r="AC631" s="229"/>
      <c r="AD631" s="229"/>
      <c r="AE631" s="229"/>
      <c r="AF631" s="229"/>
      <c r="AG631" s="229"/>
      <c r="AH631" s="229"/>
      <c r="AI631" s="229"/>
      <c r="AJ631" s="229"/>
      <c r="AK631" s="226" t="s">
        <v>1961</v>
      </c>
      <c r="AL631" s="229"/>
      <c r="AM631" s="229"/>
      <c r="AN631" s="229"/>
      <c r="AO631" s="229"/>
      <c r="AP631" s="229"/>
    </row>
    <row r="632">
      <c r="A632" s="226" t="s">
        <v>36</v>
      </c>
      <c r="B632" s="227">
        <v>45715.59311753472</v>
      </c>
      <c r="C632" s="226" t="s">
        <v>130</v>
      </c>
      <c r="D632" s="226" t="s">
        <v>51</v>
      </c>
      <c r="E632" s="226" t="s">
        <v>52</v>
      </c>
      <c r="F632" s="226" t="s">
        <v>1962</v>
      </c>
      <c r="G632" s="226" t="s">
        <v>131</v>
      </c>
      <c r="H632" s="226" t="s">
        <v>833</v>
      </c>
      <c r="I632" s="226" t="s">
        <v>1963</v>
      </c>
      <c r="J632" s="226" t="s">
        <v>100</v>
      </c>
      <c r="K632" s="229"/>
      <c r="L632" s="226" t="s">
        <v>1964</v>
      </c>
      <c r="M632" s="226" t="s">
        <v>71</v>
      </c>
      <c r="N632" s="226" t="s">
        <v>68</v>
      </c>
      <c r="O632" s="226" t="s">
        <v>1965</v>
      </c>
      <c r="P632" s="226" t="s">
        <v>1966</v>
      </c>
      <c r="Q632" s="226" t="s">
        <v>1438</v>
      </c>
      <c r="R632" s="213" t="s">
        <v>1552</v>
      </c>
      <c r="S632" s="226" t="s">
        <v>71</v>
      </c>
      <c r="T632" s="226" t="s">
        <v>1967</v>
      </c>
      <c r="U632" s="233"/>
      <c r="V632" s="233"/>
      <c r="W632" s="233"/>
      <c r="X632" s="233"/>
      <c r="Y632" s="233"/>
      <c r="Z632" s="229"/>
      <c r="AA632" s="229"/>
      <c r="AB632" s="229"/>
      <c r="AC632" s="229"/>
      <c r="AD632" s="229"/>
      <c r="AE632" s="229"/>
      <c r="AF632" s="229"/>
      <c r="AG632" s="229"/>
      <c r="AH632" s="229"/>
      <c r="AI632" s="229"/>
      <c r="AJ632" s="229"/>
      <c r="AK632" s="226" t="s">
        <v>1961</v>
      </c>
      <c r="AL632" s="229"/>
      <c r="AM632" s="229"/>
      <c r="AN632" s="229"/>
      <c r="AO632" s="229"/>
      <c r="AP632" s="229"/>
    </row>
    <row r="633" ht="48.0" customHeight="1">
      <c r="A633" s="226" t="s">
        <v>36</v>
      </c>
      <c r="B633" s="227">
        <v>45716.38426287037</v>
      </c>
      <c r="C633" s="226" t="s">
        <v>193</v>
      </c>
      <c r="D633" s="226" t="s">
        <v>800</v>
      </c>
      <c r="E633" s="226" t="s">
        <v>800</v>
      </c>
      <c r="F633" s="226" t="s">
        <v>800</v>
      </c>
      <c r="G633" s="226" t="s">
        <v>800</v>
      </c>
      <c r="H633" s="226" t="s">
        <v>1098</v>
      </c>
      <c r="I633" s="230" t="s">
        <v>1968</v>
      </c>
      <c r="J633" s="226" t="s">
        <v>118</v>
      </c>
      <c r="K633" s="229"/>
      <c r="L633" s="229"/>
      <c r="M633" s="226" t="s">
        <v>71</v>
      </c>
      <c r="N633" s="226" t="s">
        <v>68</v>
      </c>
      <c r="O633" s="226" t="s">
        <v>1969</v>
      </c>
      <c r="P633" s="232" t="s">
        <v>1944</v>
      </c>
      <c r="Q633" s="226" t="s">
        <v>1438</v>
      </c>
      <c r="R633" s="213" t="s">
        <v>1598</v>
      </c>
      <c r="S633" s="213" t="s">
        <v>1557</v>
      </c>
      <c r="T633" s="213" t="s">
        <v>1970</v>
      </c>
      <c r="U633" s="239"/>
      <c r="V633" s="239"/>
      <c r="W633" s="239"/>
      <c r="X633" s="239"/>
      <c r="Y633" s="239"/>
      <c r="Z633" s="229"/>
      <c r="AA633" s="229"/>
      <c r="AB633" s="229"/>
      <c r="AC633" s="229"/>
      <c r="AD633" s="229"/>
      <c r="AE633" s="229"/>
      <c r="AF633" s="229"/>
      <c r="AG633" s="229"/>
      <c r="AH633" s="229"/>
      <c r="AI633" s="229"/>
      <c r="AJ633" s="229"/>
      <c r="AK633" s="226" t="s">
        <v>1961</v>
      </c>
      <c r="AL633" s="229"/>
      <c r="AM633" s="229"/>
      <c r="AN633" s="229"/>
      <c r="AO633" s="229"/>
      <c r="AP633" s="229"/>
    </row>
    <row r="634">
      <c r="A634" s="226" t="s">
        <v>36</v>
      </c>
      <c r="B634" s="227">
        <v>45716.456006168984</v>
      </c>
      <c r="C634" s="226" t="s">
        <v>323</v>
      </c>
      <c r="D634" s="226" t="s">
        <v>51</v>
      </c>
      <c r="E634" s="226" t="s">
        <v>138</v>
      </c>
      <c r="F634" s="226" t="s">
        <v>65</v>
      </c>
      <c r="G634" s="226" t="s">
        <v>54</v>
      </c>
      <c r="H634" s="226" t="s">
        <v>679</v>
      </c>
      <c r="I634" s="238">
        <v>249.99</v>
      </c>
      <c r="J634" s="226" t="s">
        <v>194</v>
      </c>
      <c r="K634" s="240" t="s">
        <v>1971</v>
      </c>
      <c r="L634" s="226" t="s">
        <v>1972</v>
      </c>
      <c r="M634" s="226" t="s">
        <v>71</v>
      </c>
      <c r="N634" s="226" t="s">
        <v>68</v>
      </c>
      <c r="O634" s="226" t="s">
        <v>1973</v>
      </c>
      <c r="P634" s="232" t="s">
        <v>1974</v>
      </c>
      <c r="Q634" s="226" t="s">
        <v>1438</v>
      </c>
      <c r="R634" s="213" t="s">
        <v>1552</v>
      </c>
      <c r="S634" s="213" t="s">
        <v>71</v>
      </c>
      <c r="T634" s="217"/>
      <c r="U634" s="217"/>
      <c r="V634" s="217"/>
      <c r="W634" s="217"/>
      <c r="X634" s="217"/>
      <c r="Y634" s="217"/>
      <c r="Z634" s="229"/>
      <c r="AA634" s="229"/>
      <c r="AB634" s="229"/>
      <c r="AC634" s="229"/>
      <c r="AD634" s="229"/>
      <c r="AE634" s="229"/>
      <c r="AF634" s="229"/>
      <c r="AG634" s="229"/>
      <c r="AH634" s="229"/>
      <c r="AI634" s="229"/>
      <c r="AJ634" s="229"/>
      <c r="AK634" s="226" t="s">
        <v>1975</v>
      </c>
      <c r="AL634" s="229"/>
      <c r="AM634" s="229"/>
      <c r="AN634" s="229"/>
      <c r="AO634" s="229"/>
      <c r="AP634" s="229"/>
    </row>
    <row r="635">
      <c r="A635" s="226" t="s">
        <v>36</v>
      </c>
      <c r="B635" s="227">
        <v>45716.45651130787</v>
      </c>
      <c r="C635" s="226" t="s">
        <v>64</v>
      </c>
      <c r="D635" s="226" t="s">
        <v>51</v>
      </c>
      <c r="E635" s="226" t="s">
        <v>52</v>
      </c>
      <c r="F635" s="226" t="s">
        <v>65</v>
      </c>
      <c r="G635" s="226" t="s">
        <v>54</v>
      </c>
      <c r="H635" s="226" t="s">
        <v>1098</v>
      </c>
      <c r="I635" s="228">
        <v>15000.0</v>
      </c>
      <c r="J635" s="226" t="s">
        <v>1976</v>
      </c>
      <c r="K635" s="229"/>
      <c r="L635" s="229"/>
      <c r="M635" s="226" t="s">
        <v>71</v>
      </c>
      <c r="N635" s="226" t="s">
        <v>96</v>
      </c>
      <c r="O635" s="226" t="s">
        <v>1977</v>
      </c>
      <c r="P635" s="232" t="s">
        <v>1978</v>
      </c>
      <c r="Q635" s="226" t="s">
        <v>1438</v>
      </c>
      <c r="R635" s="213" t="s">
        <v>1598</v>
      </c>
      <c r="S635" s="213" t="s">
        <v>1557</v>
      </c>
      <c r="T635" s="213" t="s">
        <v>1979</v>
      </c>
      <c r="U635" s="239"/>
      <c r="V635" s="239"/>
      <c r="W635" s="239"/>
      <c r="X635" s="239"/>
      <c r="Y635" s="239"/>
      <c r="Z635" s="229"/>
      <c r="AA635" s="229"/>
      <c r="AB635" s="229"/>
      <c r="AC635" s="229"/>
      <c r="AD635" s="229"/>
      <c r="AE635" s="229"/>
      <c r="AF635" s="229"/>
      <c r="AG635" s="229"/>
      <c r="AH635" s="229"/>
      <c r="AI635" s="229"/>
      <c r="AJ635" s="229"/>
      <c r="AK635" s="226" t="s">
        <v>1975</v>
      </c>
      <c r="AL635" s="229"/>
      <c r="AM635" s="229"/>
      <c r="AN635" s="229"/>
      <c r="AO635" s="229"/>
      <c r="AP635" s="229"/>
    </row>
    <row r="636">
      <c r="A636" s="226" t="s">
        <v>36</v>
      </c>
      <c r="B636" s="227">
        <v>45716.4601290162</v>
      </c>
      <c r="C636" s="226" t="s">
        <v>323</v>
      </c>
      <c r="D636" s="226" t="s">
        <v>734</v>
      </c>
      <c r="E636" s="226" t="s">
        <v>735</v>
      </c>
      <c r="F636" s="226" t="s">
        <v>735</v>
      </c>
      <c r="G636" s="226" t="s">
        <v>735</v>
      </c>
      <c r="H636" s="226" t="s">
        <v>1098</v>
      </c>
      <c r="I636" s="228">
        <v>15000.0</v>
      </c>
      <c r="J636" s="226" t="s">
        <v>194</v>
      </c>
      <c r="K636" s="229"/>
      <c r="L636" s="229"/>
      <c r="M636" s="226" t="s">
        <v>71</v>
      </c>
      <c r="N636" s="226" t="s">
        <v>68</v>
      </c>
      <c r="O636" s="226" t="s">
        <v>1980</v>
      </c>
      <c r="P636" s="232" t="s">
        <v>1981</v>
      </c>
      <c r="Q636" s="226" t="s">
        <v>1438</v>
      </c>
      <c r="R636" s="213" t="s">
        <v>1598</v>
      </c>
      <c r="S636" s="213" t="s">
        <v>1557</v>
      </c>
      <c r="T636" s="213" t="s">
        <v>1982</v>
      </c>
      <c r="U636" s="239"/>
      <c r="V636" s="239"/>
      <c r="W636" s="239"/>
      <c r="X636" s="239"/>
      <c r="Y636" s="239"/>
      <c r="Z636" s="229"/>
      <c r="AA636" s="229"/>
      <c r="AB636" s="229"/>
      <c r="AC636" s="229"/>
      <c r="AD636" s="229"/>
      <c r="AE636" s="229"/>
      <c r="AF636" s="229"/>
      <c r="AG636" s="229"/>
      <c r="AH636" s="229"/>
      <c r="AI636" s="229"/>
      <c r="AJ636" s="229"/>
      <c r="AK636" s="226" t="s">
        <v>1975</v>
      </c>
      <c r="AL636" s="229"/>
      <c r="AM636" s="229"/>
      <c r="AN636" s="229"/>
      <c r="AO636" s="229"/>
      <c r="AP636" s="229"/>
    </row>
    <row r="637">
      <c r="A637" s="226" t="s">
        <v>36</v>
      </c>
      <c r="B637" s="227">
        <v>45716.51492435185</v>
      </c>
      <c r="C637" s="226" t="s">
        <v>123</v>
      </c>
      <c r="D637" s="226" t="s">
        <v>800</v>
      </c>
      <c r="E637" s="226" t="s">
        <v>735</v>
      </c>
      <c r="F637" s="226" t="s">
        <v>735</v>
      </c>
      <c r="G637" s="226" t="s">
        <v>800</v>
      </c>
      <c r="H637" s="226" t="s">
        <v>625</v>
      </c>
      <c r="I637" s="238">
        <v>2145.0</v>
      </c>
      <c r="J637" s="226" t="s">
        <v>1983</v>
      </c>
      <c r="K637" s="229"/>
      <c r="L637" s="226" t="s">
        <v>1984</v>
      </c>
      <c r="M637" s="226" t="s">
        <v>71</v>
      </c>
      <c r="N637" s="226" t="s">
        <v>96</v>
      </c>
      <c r="O637" s="226" t="s">
        <v>1969</v>
      </c>
      <c r="P637" s="226" t="s">
        <v>1985</v>
      </c>
      <c r="Q637" s="226" t="s">
        <v>1438</v>
      </c>
      <c r="R637" s="213" t="s">
        <v>1552</v>
      </c>
      <c r="S637" s="226" t="s">
        <v>71</v>
      </c>
      <c r="T637" s="229"/>
      <c r="U637" s="229"/>
      <c r="V637" s="229"/>
      <c r="W637" s="229"/>
      <c r="X637" s="229"/>
      <c r="Y637" s="229"/>
      <c r="Z637" s="229"/>
      <c r="AA637" s="229"/>
      <c r="AB637" s="229"/>
      <c r="AC637" s="229"/>
      <c r="AD637" s="229"/>
      <c r="AE637" s="229"/>
      <c r="AF637" s="229"/>
      <c r="AG637" s="229"/>
      <c r="AH637" s="229"/>
      <c r="AI637" s="229"/>
      <c r="AJ637" s="229"/>
      <c r="AK637" s="226" t="s">
        <v>1975</v>
      </c>
      <c r="AL637" s="229"/>
      <c r="AM637" s="229"/>
      <c r="AN637" s="229"/>
      <c r="AO637" s="229"/>
      <c r="AP637" s="229"/>
    </row>
    <row r="638">
      <c r="A638" s="226" t="s">
        <v>36</v>
      </c>
      <c r="B638" s="227">
        <v>45716.65181619213</v>
      </c>
      <c r="C638" s="226" t="s">
        <v>494</v>
      </c>
      <c r="D638" s="226" t="s">
        <v>142</v>
      </c>
      <c r="E638" s="226" t="s">
        <v>52</v>
      </c>
      <c r="F638" s="226" t="s">
        <v>65</v>
      </c>
      <c r="G638" s="226" t="s">
        <v>54</v>
      </c>
      <c r="H638" s="226" t="s">
        <v>625</v>
      </c>
      <c r="I638" s="226">
        <v>219.0</v>
      </c>
      <c r="J638" s="226" t="s">
        <v>100</v>
      </c>
      <c r="K638" s="240" t="s">
        <v>1986</v>
      </c>
      <c r="L638" s="226" t="s">
        <v>1987</v>
      </c>
      <c r="M638" s="226" t="s">
        <v>71</v>
      </c>
      <c r="N638" s="226" t="s">
        <v>96</v>
      </c>
      <c r="O638" s="226" t="s">
        <v>1988</v>
      </c>
      <c r="P638" s="226" t="s">
        <v>1989</v>
      </c>
      <c r="Q638" s="226" t="s">
        <v>1438</v>
      </c>
      <c r="R638" s="213" t="s">
        <v>1552</v>
      </c>
      <c r="S638" s="226" t="s">
        <v>71</v>
      </c>
      <c r="T638" s="229"/>
      <c r="U638" s="229"/>
      <c r="V638" s="229"/>
      <c r="W638" s="229"/>
      <c r="X638" s="229"/>
      <c r="Y638" s="229"/>
      <c r="Z638" s="229"/>
      <c r="AA638" s="229"/>
      <c r="AB638" s="229"/>
      <c r="AC638" s="229"/>
      <c r="AD638" s="229"/>
      <c r="AE638" s="229"/>
      <c r="AF638" s="229"/>
      <c r="AG638" s="229"/>
      <c r="AH638" s="229"/>
      <c r="AI638" s="229"/>
      <c r="AJ638" s="229"/>
      <c r="AK638" s="226" t="s">
        <v>1975</v>
      </c>
      <c r="AL638" s="229"/>
      <c r="AM638" s="229"/>
      <c r="AN638" s="229"/>
      <c r="AO638" s="229"/>
      <c r="AP638" s="229"/>
    </row>
    <row r="639">
      <c r="A639" s="226" t="s">
        <v>36</v>
      </c>
      <c r="B639" s="227">
        <v>45716.71695758102</v>
      </c>
      <c r="C639" s="226" t="s">
        <v>1990</v>
      </c>
      <c r="D639" s="226" t="s">
        <v>51</v>
      </c>
      <c r="E639" s="226" t="s">
        <v>138</v>
      </c>
      <c r="F639" s="226" t="s">
        <v>40</v>
      </c>
      <c r="G639" s="226" t="s">
        <v>41</v>
      </c>
      <c r="H639" s="226" t="s">
        <v>833</v>
      </c>
      <c r="I639" s="226">
        <v>219.0</v>
      </c>
      <c r="J639" s="226" t="s">
        <v>229</v>
      </c>
      <c r="K639" s="229"/>
      <c r="L639" s="226" t="s">
        <v>1991</v>
      </c>
      <c r="M639" s="226" t="s">
        <v>71</v>
      </c>
      <c r="N639" s="226" t="s">
        <v>96</v>
      </c>
      <c r="O639" s="226" t="s">
        <v>1992</v>
      </c>
      <c r="P639" s="226" t="s">
        <v>1993</v>
      </c>
      <c r="Q639" s="226" t="s">
        <v>1438</v>
      </c>
      <c r="R639" s="213" t="s">
        <v>1552</v>
      </c>
      <c r="S639" s="226" t="s">
        <v>71</v>
      </c>
      <c r="T639" s="229"/>
      <c r="U639" s="229"/>
      <c r="V639" s="229"/>
      <c r="W639" s="229"/>
      <c r="X639" s="229"/>
      <c r="Y639" s="229"/>
      <c r="Z639" s="229"/>
      <c r="AA639" s="229"/>
      <c r="AB639" s="229"/>
      <c r="AC639" s="229"/>
      <c r="AD639" s="229"/>
      <c r="AE639" s="229"/>
      <c r="AF639" s="229"/>
      <c r="AG639" s="229"/>
      <c r="AH639" s="229"/>
      <c r="AI639" s="229"/>
      <c r="AJ639" s="229"/>
      <c r="AK639" s="226" t="s">
        <v>1975</v>
      </c>
      <c r="AL639" s="229"/>
      <c r="AM639" s="229"/>
      <c r="AN639" s="229"/>
      <c r="AO639" s="229"/>
      <c r="AP639" s="229"/>
    </row>
    <row r="640">
      <c r="A640" s="226" t="s">
        <v>36</v>
      </c>
      <c r="B640" s="227">
        <v>45716.73048370371</v>
      </c>
      <c r="C640" s="226" t="s">
        <v>1994</v>
      </c>
      <c r="D640" s="226" t="s">
        <v>142</v>
      </c>
      <c r="E640" s="226" t="s">
        <v>138</v>
      </c>
      <c r="F640" s="226" t="s">
        <v>139</v>
      </c>
      <c r="G640" s="226" t="s">
        <v>41</v>
      </c>
      <c r="H640" s="226" t="s">
        <v>625</v>
      </c>
      <c r="I640" s="228">
        <v>219.0</v>
      </c>
      <c r="J640" s="226" t="s">
        <v>100</v>
      </c>
      <c r="K640" s="229"/>
      <c r="L640" s="226" t="s">
        <v>1995</v>
      </c>
      <c r="M640" s="226" t="s">
        <v>71</v>
      </c>
      <c r="N640" s="226" t="s">
        <v>96</v>
      </c>
      <c r="O640" s="226" t="s">
        <v>1996</v>
      </c>
      <c r="P640" s="226" t="s">
        <v>1989</v>
      </c>
      <c r="Q640" s="226" t="s">
        <v>1438</v>
      </c>
      <c r="R640" s="213" t="s">
        <v>1552</v>
      </c>
      <c r="S640" s="226" t="s">
        <v>71</v>
      </c>
      <c r="T640" s="229"/>
      <c r="U640" s="229"/>
      <c r="V640" s="229"/>
      <c r="W640" s="229"/>
      <c r="X640" s="229"/>
      <c r="Y640" s="229"/>
      <c r="Z640" s="229"/>
      <c r="AA640" s="229"/>
      <c r="AB640" s="229"/>
      <c r="AC640" s="229"/>
      <c r="AD640" s="229"/>
      <c r="AE640" s="229"/>
      <c r="AF640" s="229"/>
      <c r="AG640" s="229"/>
      <c r="AH640" s="229"/>
      <c r="AI640" s="229"/>
      <c r="AJ640" s="229"/>
      <c r="AK640" s="226" t="s">
        <v>1975</v>
      </c>
      <c r="AL640" s="229"/>
      <c r="AM640" s="229"/>
      <c r="AN640" s="229"/>
      <c r="AO640" s="229"/>
      <c r="AP640" s="229"/>
    </row>
    <row r="641">
      <c r="A641" s="226" t="s">
        <v>36</v>
      </c>
      <c r="B641" s="227">
        <v>45717.6365865625</v>
      </c>
      <c r="C641" s="226" t="s">
        <v>1994</v>
      </c>
      <c r="D641" s="226" t="s">
        <v>142</v>
      </c>
      <c r="E641" s="226" t="s">
        <v>138</v>
      </c>
      <c r="F641" s="226" t="s">
        <v>139</v>
      </c>
      <c r="G641" s="226" t="s">
        <v>41</v>
      </c>
      <c r="H641" s="226" t="s">
        <v>833</v>
      </c>
      <c r="I641" s="228">
        <v>3500.0</v>
      </c>
      <c r="J641" s="226" t="s">
        <v>100</v>
      </c>
      <c r="K641" s="229"/>
      <c r="L641" s="216" t="s">
        <v>1997</v>
      </c>
      <c r="M641" s="226" t="s">
        <v>71</v>
      </c>
      <c r="N641" s="226" t="s">
        <v>96</v>
      </c>
      <c r="O641" s="226" t="s">
        <v>1996</v>
      </c>
      <c r="P641" s="226" t="s">
        <v>1998</v>
      </c>
      <c r="Q641" s="226" t="s">
        <v>1471</v>
      </c>
      <c r="R641" s="213" t="s">
        <v>1552</v>
      </c>
      <c r="S641" s="226" t="s">
        <v>71</v>
      </c>
      <c r="T641" s="226" t="s">
        <v>1999</v>
      </c>
      <c r="U641" s="233"/>
      <c r="V641" s="233"/>
      <c r="W641" s="233"/>
      <c r="X641" s="233"/>
      <c r="Y641" s="233"/>
      <c r="Z641" s="229"/>
      <c r="AA641" s="229"/>
      <c r="AB641" s="229"/>
      <c r="AC641" s="229"/>
      <c r="AD641" s="229"/>
      <c r="AE641" s="229"/>
      <c r="AF641" s="229"/>
      <c r="AG641" s="229"/>
      <c r="AH641" s="229"/>
      <c r="AI641" s="229"/>
      <c r="AJ641" s="229"/>
      <c r="AK641" s="226" t="s">
        <v>1975</v>
      </c>
      <c r="AL641" s="229"/>
      <c r="AM641" s="229"/>
      <c r="AN641" s="229"/>
      <c r="AO641" s="229"/>
      <c r="AP641" s="229"/>
    </row>
    <row r="642">
      <c r="A642" s="242" t="s">
        <v>36</v>
      </c>
      <c r="B642" s="243">
        <v>45720.26394751157</v>
      </c>
      <c r="C642" s="242" t="s">
        <v>237</v>
      </c>
      <c r="D642" s="242" t="s">
        <v>51</v>
      </c>
      <c r="E642" s="242" t="s">
        <v>52</v>
      </c>
      <c r="F642" s="242" t="s">
        <v>65</v>
      </c>
      <c r="G642" s="242" t="s">
        <v>54</v>
      </c>
      <c r="H642" s="242" t="s">
        <v>625</v>
      </c>
      <c r="I642" s="264">
        <v>219.0</v>
      </c>
      <c r="J642" s="242" t="s">
        <v>100</v>
      </c>
      <c r="K642" s="245" t="s">
        <v>1911</v>
      </c>
      <c r="L642" s="242" t="s">
        <v>1932</v>
      </c>
      <c r="M642" s="242" t="s">
        <v>71</v>
      </c>
      <c r="N642" s="242" t="s">
        <v>96</v>
      </c>
      <c r="O642" s="242" t="s">
        <v>1411</v>
      </c>
      <c r="P642" s="242" t="s">
        <v>1989</v>
      </c>
      <c r="Q642" s="242" t="s">
        <v>1438</v>
      </c>
      <c r="R642" s="242" t="s">
        <v>1552</v>
      </c>
      <c r="S642" s="242" t="s">
        <v>71</v>
      </c>
      <c r="T642" s="244"/>
      <c r="U642" s="244"/>
      <c r="V642" s="244"/>
      <c r="W642" s="244"/>
      <c r="X642" s="244"/>
      <c r="Y642" s="244"/>
      <c r="Z642" s="244"/>
      <c r="AA642" s="244"/>
      <c r="AB642" s="244"/>
      <c r="AC642" s="244"/>
      <c r="AD642" s="244"/>
      <c r="AE642" s="244"/>
      <c r="AF642" s="244"/>
      <c r="AG642" s="244"/>
      <c r="AH642" s="244"/>
      <c r="AI642" s="244"/>
      <c r="AJ642" s="244"/>
      <c r="AK642" s="242" t="s">
        <v>2000</v>
      </c>
      <c r="AL642" s="244"/>
      <c r="AM642" s="244"/>
      <c r="AN642" s="244"/>
      <c r="AO642" s="244"/>
      <c r="AP642" s="244"/>
    </row>
    <row r="643">
      <c r="A643" s="242" t="s">
        <v>36</v>
      </c>
      <c r="B643" s="243">
        <v>45720.41299596065</v>
      </c>
      <c r="C643" s="242" t="s">
        <v>123</v>
      </c>
      <c r="D643" s="242" t="s">
        <v>800</v>
      </c>
      <c r="E643" s="242" t="s">
        <v>800</v>
      </c>
      <c r="F643" s="242" t="s">
        <v>800</v>
      </c>
      <c r="G643" s="242" t="s">
        <v>800</v>
      </c>
      <c r="H643" s="242" t="s">
        <v>833</v>
      </c>
      <c r="I643" s="265">
        <v>14000.0</v>
      </c>
      <c r="J643" s="242" t="s">
        <v>1435</v>
      </c>
      <c r="K643" s="247" t="s">
        <v>2001</v>
      </c>
      <c r="L643" s="242" t="s">
        <v>2002</v>
      </c>
      <c r="M643" s="242" t="s">
        <v>71</v>
      </c>
      <c r="N643" s="242" t="s">
        <v>96</v>
      </c>
      <c r="O643" s="242" t="s">
        <v>1198</v>
      </c>
      <c r="P643" s="242" t="s">
        <v>2003</v>
      </c>
      <c r="Q643" s="242" t="s">
        <v>1438</v>
      </c>
      <c r="R643" s="242" t="s">
        <v>1552</v>
      </c>
      <c r="S643" s="242" t="s">
        <v>1557</v>
      </c>
      <c r="T643" s="244"/>
      <c r="U643" s="244"/>
      <c r="V643" s="244"/>
      <c r="W643" s="244"/>
      <c r="X643" s="244"/>
      <c r="Y643" s="244"/>
      <c r="Z643" s="244"/>
      <c r="AA643" s="244"/>
      <c r="AB643" s="244"/>
      <c r="AC643" s="244"/>
      <c r="AD643" s="244"/>
      <c r="AE643" s="244"/>
      <c r="AF643" s="244"/>
      <c r="AG643" s="244"/>
      <c r="AH643" s="244"/>
      <c r="AI643" s="244"/>
      <c r="AJ643" s="244"/>
      <c r="AK643" s="242" t="s">
        <v>2004</v>
      </c>
      <c r="AL643" s="244"/>
      <c r="AM643" s="244"/>
      <c r="AN643" s="244"/>
      <c r="AO643" s="244"/>
      <c r="AP643" s="244"/>
    </row>
    <row r="644">
      <c r="A644" s="242" t="s">
        <v>36</v>
      </c>
      <c r="B644" s="243">
        <v>45720.45732391204</v>
      </c>
      <c r="C644" s="242" t="s">
        <v>104</v>
      </c>
      <c r="D644" s="242" t="s">
        <v>105</v>
      </c>
      <c r="E644" s="242" t="s">
        <v>52</v>
      </c>
      <c r="F644" s="242" t="s">
        <v>65</v>
      </c>
      <c r="G644" s="242" t="s">
        <v>54</v>
      </c>
      <c r="H644" s="242" t="s">
        <v>625</v>
      </c>
      <c r="I644" s="242">
        <v>150.0</v>
      </c>
      <c r="J644" s="242" t="s">
        <v>102</v>
      </c>
      <c r="K644" s="244"/>
      <c r="L644" s="247" t="s">
        <v>2005</v>
      </c>
      <c r="M644" s="242" t="s">
        <v>71</v>
      </c>
      <c r="N644" s="242" t="s">
        <v>96</v>
      </c>
      <c r="O644" s="242" t="s">
        <v>929</v>
      </c>
      <c r="P644" s="242" t="s">
        <v>2006</v>
      </c>
      <c r="Q644" s="242" t="s">
        <v>1438</v>
      </c>
      <c r="R644" s="242" t="s">
        <v>1552</v>
      </c>
      <c r="S644" s="242" t="s">
        <v>71</v>
      </c>
      <c r="T644" s="244"/>
      <c r="U644" s="244"/>
      <c r="V644" s="244"/>
      <c r="W644" s="244"/>
      <c r="X644" s="244"/>
      <c r="Y644" s="244"/>
      <c r="Z644" s="244"/>
      <c r="AA644" s="244"/>
      <c r="AB644" s="244"/>
      <c r="AC644" s="244"/>
      <c r="AD644" s="244"/>
      <c r="AE644" s="244"/>
      <c r="AF644" s="244"/>
      <c r="AG644" s="244"/>
      <c r="AH644" s="244"/>
      <c r="AI644" s="244"/>
      <c r="AJ644" s="244"/>
      <c r="AK644" s="242" t="s">
        <v>2000</v>
      </c>
      <c r="AL644" s="244"/>
      <c r="AM644" s="244"/>
      <c r="AN644" s="244"/>
      <c r="AO644" s="244"/>
      <c r="AP644" s="244"/>
    </row>
    <row r="645">
      <c r="A645" s="242" t="s">
        <v>36</v>
      </c>
      <c r="B645" s="243">
        <v>45720.73196655093</v>
      </c>
      <c r="C645" s="242" t="s">
        <v>219</v>
      </c>
      <c r="D645" s="242" t="s">
        <v>800</v>
      </c>
      <c r="E645" s="242" t="s">
        <v>800</v>
      </c>
      <c r="F645" s="242" t="s">
        <v>800</v>
      </c>
      <c r="G645" s="242" t="s">
        <v>800</v>
      </c>
      <c r="H645" s="242" t="s">
        <v>625</v>
      </c>
      <c r="I645" s="242" t="s">
        <v>2007</v>
      </c>
      <c r="J645" s="242" t="s">
        <v>184</v>
      </c>
      <c r="K645" s="244"/>
      <c r="L645" s="242" t="s">
        <v>2008</v>
      </c>
      <c r="M645" s="242" t="s">
        <v>71</v>
      </c>
      <c r="N645" s="242" t="s">
        <v>96</v>
      </c>
      <c r="O645" s="242" t="s">
        <v>1252</v>
      </c>
      <c r="P645" s="242" t="s">
        <v>2009</v>
      </c>
      <c r="Q645" s="242" t="s">
        <v>1471</v>
      </c>
      <c r="R645" s="242" t="s">
        <v>1552</v>
      </c>
      <c r="S645" s="242" t="s">
        <v>71</v>
      </c>
      <c r="T645" s="244"/>
      <c r="U645" s="244"/>
      <c r="V645" s="244"/>
      <c r="W645" s="244"/>
      <c r="X645" s="244"/>
      <c r="Y645" s="244"/>
      <c r="Z645" s="244"/>
      <c r="AA645" s="244"/>
      <c r="AB645" s="244"/>
      <c r="AC645" s="244"/>
      <c r="AD645" s="244"/>
      <c r="AE645" s="244"/>
      <c r="AF645" s="244"/>
      <c r="AG645" s="244"/>
      <c r="AH645" s="244"/>
      <c r="AI645" s="244"/>
      <c r="AJ645" s="244"/>
      <c r="AK645" s="242" t="s">
        <v>2000</v>
      </c>
      <c r="AL645" s="244"/>
      <c r="AM645" s="244"/>
      <c r="AN645" s="244"/>
      <c r="AO645" s="244"/>
      <c r="AP645" s="244"/>
    </row>
    <row r="646">
      <c r="A646" s="242" t="s">
        <v>36</v>
      </c>
      <c r="B646" s="243">
        <v>45720.89317196759</v>
      </c>
      <c r="C646" s="242" t="s">
        <v>1539</v>
      </c>
      <c r="D646" s="242" t="s">
        <v>51</v>
      </c>
      <c r="E646" s="242" t="s">
        <v>52</v>
      </c>
      <c r="F646" s="242" t="s">
        <v>65</v>
      </c>
      <c r="G646" s="242" t="s">
        <v>131</v>
      </c>
      <c r="H646" s="242" t="s">
        <v>625</v>
      </c>
      <c r="I646" s="213" t="s">
        <v>2010</v>
      </c>
      <c r="J646" s="242" t="s">
        <v>538</v>
      </c>
      <c r="K646" s="245" t="s">
        <v>2011</v>
      </c>
      <c r="L646" s="247" t="s">
        <v>2012</v>
      </c>
      <c r="M646" s="242" t="s">
        <v>71</v>
      </c>
      <c r="N646" s="242" t="s">
        <v>96</v>
      </c>
      <c r="O646" s="242" t="s">
        <v>1541</v>
      </c>
      <c r="P646" s="242" t="s">
        <v>2013</v>
      </c>
      <c r="Q646" s="242" t="s">
        <v>1471</v>
      </c>
      <c r="R646" s="242" t="s">
        <v>1552</v>
      </c>
      <c r="S646" s="242" t="s">
        <v>71</v>
      </c>
      <c r="T646" s="242" t="s">
        <v>2014</v>
      </c>
      <c r="U646" s="248"/>
      <c r="V646" s="248"/>
      <c r="W646" s="248"/>
      <c r="X646" s="248"/>
      <c r="Y646" s="248"/>
      <c r="Z646" s="244"/>
      <c r="AA646" s="244"/>
      <c r="AB646" s="244"/>
      <c r="AC646" s="244"/>
      <c r="AD646" s="244"/>
      <c r="AE646" s="244"/>
      <c r="AF646" s="244"/>
      <c r="AG646" s="244"/>
      <c r="AH646" s="244"/>
      <c r="AI646" s="244"/>
      <c r="AJ646" s="244"/>
      <c r="AK646" s="242" t="s">
        <v>2000</v>
      </c>
      <c r="AL646" s="244"/>
      <c r="AM646" s="244"/>
      <c r="AN646" s="244"/>
      <c r="AO646" s="244"/>
      <c r="AP646" s="244"/>
    </row>
    <row r="647">
      <c r="A647" s="242" t="s">
        <v>36</v>
      </c>
      <c r="B647" s="243">
        <v>45721.63462144676</v>
      </c>
      <c r="C647" s="242" t="s">
        <v>487</v>
      </c>
      <c r="D647" s="242" t="s">
        <v>142</v>
      </c>
      <c r="E647" s="242" t="s">
        <v>52</v>
      </c>
      <c r="F647" s="242" t="s">
        <v>65</v>
      </c>
      <c r="G647" s="242" t="s">
        <v>41</v>
      </c>
      <c r="H647" s="242" t="s">
        <v>625</v>
      </c>
      <c r="I647" s="266">
        <v>390.0</v>
      </c>
      <c r="J647" s="242" t="s">
        <v>383</v>
      </c>
      <c r="K647" s="244"/>
      <c r="L647" s="247" t="s">
        <v>2015</v>
      </c>
      <c r="M647" s="242" t="s">
        <v>71</v>
      </c>
      <c r="N647" s="242" t="s">
        <v>96</v>
      </c>
      <c r="O647" s="242" t="s">
        <v>1276</v>
      </c>
      <c r="P647" s="242" t="s">
        <v>2016</v>
      </c>
      <c r="Q647" s="242" t="s">
        <v>1438</v>
      </c>
      <c r="R647" s="242" t="s">
        <v>1552</v>
      </c>
      <c r="S647" s="242" t="s">
        <v>1557</v>
      </c>
      <c r="T647" s="242" t="s">
        <v>2017</v>
      </c>
      <c r="U647" s="248"/>
      <c r="V647" s="248"/>
      <c r="W647" s="248"/>
      <c r="X647" s="248"/>
      <c r="Y647" s="248"/>
      <c r="Z647" s="244"/>
      <c r="AA647" s="244"/>
      <c r="AB647" s="244"/>
      <c r="AC647" s="244"/>
      <c r="AD647" s="244"/>
      <c r="AE647" s="244"/>
      <c r="AF647" s="244"/>
      <c r="AG647" s="244"/>
      <c r="AH647" s="244"/>
      <c r="AI647" s="244"/>
      <c r="AJ647" s="244"/>
      <c r="AK647" s="242" t="s">
        <v>2018</v>
      </c>
      <c r="AL647" s="244"/>
      <c r="AM647" s="244"/>
      <c r="AN647" s="244"/>
      <c r="AO647" s="244"/>
      <c r="AP647" s="244"/>
    </row>
    <row r="648">
      <c r="A648" s="242" t="s">
        <v>36</v>
      </c>
      <c r="B648" s="243">
        <v>45722.40835817129</v>
      </c>
      <c r="C648" s="242" t="s">
        <v>123</v>
      </c>
      <c r="D648" s="242" t="s">
        <v>800</v>
      </c>
      <c r="E648" s="242" t="s">
        <v>800</v>
      </c>
      <c r="F648" s="242" t="s">
        <v>800</v>
      </c>
      <c r="G648" s="242" t="s">
        <v>800</v>
      </c>
      <c r="H648" s="242" t="s">
        <v>625</v>
      </c>
      <c r="I648" s="266">
        <v>2000.0</v>
      </c>
      <c r="J648" s="242" t="s">
        <v>2019</v>
      </c>
      <c r="K648" s="244"/>
      <c r="L648" s="242" t="s">
        <v>2020</v>
      </c>
      <c r="M648" s="242" t="s">
        <v>71</v>
      </c>
      <c r="N648" s="242" t="s">
        <v>96</v>
      </c>
      <c r="O648" s="242" t="s">
        <v>2021</v>
      </c>
      <c r="P648" s="242" t="s">
        <v>2022</v>
      </c>
      <c r="Q648" s="242" t="s">
        <v>1438</v>
      </c>
      <c r="R648" s="242" t="s">
        <v>1552</v>
      </c>
      <c r="S648" s="242" t="s">
        <v>71</v>
      </c>
      <c r="T648" s="242" t="s">
        <v>2023</v>
      </c>
      <c r="U648" s="248"/>
      <c r="V648" s="248"/>
      <c r="W648" s="248"/>
      <c r="X648" s="248"/>
      <c r="Y648" s="248"/>
      <c r="Z648" s="244"/>
      <c r="AA648" s="244"/>
      <c r="AB648" s="244"/>
      <c r="AC648" s="244"/>
      <c r="AD648" s="244"/>
      <c r="AE648" s="244"/>
      <c r="AF648" s="244"/>
      <c r="AG648" s="244"/>
      <c r="AH648" s="244"/>
      <c r="AI648" s="244"/>
      <c r="AJ648" s="244"/>
      <c r="AK648" s="242" t="s">
        <v>2018</v>
      </c>
      <c r="AL648" s="244"/>
      <c r="AM648" s="244"/>
      <c r="AN648" s="244"/>
      <c r="AO648" s="244"/>
      <c r="AP648" s="244"/>
    </row>
    <row r="649">
      <c r="A649" s="242" t="s">
        <v>36</v>
      </c>
      <c r="B649" s="243">
        <v>45722.52691788194</v>
      </c>
      <c r="C649" s="242" t="s">
        <v>760</v>
      </c>
      <c r="D649" s="242" t="s">
        <v>800</v>
      </c>
      <c r="E649" s="242" t="s">
        <v>800</v>
      </c>
      <c r="F649" s="242" t="s">
        <v>800</v>
      </c>
      <c r="G649" s="242" t="s">
        <v>800</v>
      </c>
      <c r="H649" s="242" t="s">
        <v>625</v>
      </c>
      <c r="I649" s="242" t="s">
        <v>2024</v>
      </c>
      <c r="J649" s="242" t="s">
        <v>383</v>
      </c>
      <c r="K649" s="247" t="s">
        <v>2025</v>
      </c>
      <c r="L649" s="242" t="s">
        <v>2026</v>
      </c>
      <c r="M649" s="242" t="s">
        <v>71</v>
      </c>
      <c r="N649" s="242" t="s">
        <v>96</v>
      </c>
      <c r="O649" s="242" t="s">
        <v>2027</v>
      </c>
      <c r="P649" s="246" t="s">
        <v>2028</v>
      </c>
      <c r="Q649" s="242" t="s">
        <v>1438</v>
      </c>
      <c r="R649" s="242" t="s">
        <v>1552</v>
      </c>
      <c r="S649" s="242" t="s">
        <v>1557</v>
      </c>
      <c r="T649" s="242" t="s">
        <v>2029</v>
      </c>
      <c r="U649" s="248"/>
      <c r="V649" s="248"/>
      <c r="W649" s="248"/>
      <c r="X649" s="248"/>
      <c r="Y649" s="248"/>
      <c r="Z649" s="244"/>
      <c r="AA649" s="244"/>
      <c r="AB649" s="244"/>
      <c r="AC649" s="244"/>
      <c r="AD649" s="244"/>
      <c r="AE649" s="244"/>
      <c r="AF649" s="244"/>
      <c r="AG649" s="244"/>
      <c r="AH649" s="244"/>
      <c r="AI649" s="244"/>
      <c r="AJ649" s="244"/>
      <c r="AK649" s="242" t="s">
        <v>2018</v>
      </c>
      <c r="AL649" s="244"/>
      <c r="AM649" s="244"/>
      <c r="AN649" s="244"/>
      <c r="AO649" s="244"/>
      <c r="AP649" s="244"/>
    </row>
    <row r="650">
      <c r="A650" s="242" t="s">
        <v>36</v>
      </c>
      <c r="B650" s="243">
        <v>45722.58154876158</v>
      </c>
      <c r="C650" s="242" t="s">
        <v>333</v>
      </c>
      <c r="D650" s="242" t="s">
        <v>800</v>
      </c>
      <c r="E650" s="242" t="s">
        <v>800</v>
      </c>
      <c r="F650" s="242" t="s">
        <v>800</v>
      </c>
      <c r="G650" s="242" t="s">
        <v>800</v>
      </c>
      <c r="H650" s="242" t="s">
        <v>833</v>
      </c>
      <c r="I650" s="242" t="s">
        <v>2030</v>
      </c>
      <c r="J650" s="242" t="s">
        <v>102</v>
      </c>
      <c r="K650" s="244"/>
      <c r="L650" s="242" t="s">
        <v>2031</v>
      </c>
      <c r="M650" s="242" t="s">
        <v>71</v>
      </c>
      <c r="N650" s="242" t="s">
        <v>96</v>
      </c>
      <c r="O650" s="242" t="s">
        <v>2032</v>
      </c>
      <c r="P650" s="242" t="s">
        <v>2033</v>
      </c>
      <c r="Q650" s="242" t="s">
        <v>1438</v>
      </c>
      <c r="R650" s="242" t="s">
        <v>1552</v>
      </c>
      <c r="S650" s="242" t="s">
        <v>71</v>
      </c>
      <c r="T650" s="244"/>
      <c r="U650" s="244"/>
      <c r="V650" s="244"/>
      <c r="W650" s="244"/>
      <c r="X650" s="244"/>
      <c r="Y650" s="244"/>
      <c r="Z650" s="244"/>
      <c r="AA650" s="244"/>
      <c r="AB650" s="244"/>
      <c r="AC650" s="244"/>
      <c r="AD650" s="244"/>
      <c r="AE650" s="244"/>
      <c r="AF650" s="244"/>
      <c r="AG650" s="244"/>
      <c r="AH650" s="244"/>
      <c r="AI650" s="244"/>
      <c r="AJ650" s="244"/>
      <c r="AK650" s="242" t="s">
        <v>2018</v>
      </c>
      <c r="AL650" s="244"/>
      <c r="AM650" s="244"/>
      <c r="AN650" s="244"/>
      <c r="AO650" s="244"/>
      <c r="AP650" s="244"/>
    </row>
    <row r="651">
      <c r="A651" s="242" t="s">
        <v>36</v>
      </c>
      <c r="B651" s="243">
        <v>45723.36617609954</v>
      </c>
      <c r="C651" s="242" t="s">
        <v>117</v>
      </c>
      <c r="D651" s="242" t="s">
        <v>51</v>
      </c>
      <c r="E651" s="242" t="s">
        <v>52</v>
      </c>
      <c r="F651" s="242" t="s">
        <v>65</v>
      </c>
      <c r="G651" s="242" t="s">
        <v>54</v>
      </c>
      <c r="H651" s="242" t="s">
        <v>607</v>
      </c>
      <c r="I651" s="266">
        <v>286.0</v>
      </c>
      <c r="J651" s="242" t="s">
        <v>118</v>
      </c>
      <c r="K651" s="247" t="s">
        <v>2034</v>
      </c>
      <c r="L651" s="242" t="s">
        <v>2035</v>
      </c>
      <c r="M651" s="242" t="s">
        <v>71</v>
      </c>
      <c r="N651" s="242" t="s">
        <v>68</v>
      </c>
      <c r="O651" s="242" t="s">
        <v>1676</v>
      </c>
      <c r="P651" s="244"/>
      <c r="Q651" s="242" t="s">
        <v>1438</v>
      </c>
      <c r="R651" s="242" t="s">
        <v>1552</v>
      </c>
      <c r="S651" s="242" t="s">
        <v>1557</v>
      </c>
      <c r="T651" s="244"/>
      <c r="U651" s="244"/>
      <c r="V651" s="244"/>
      <c r="W651" s="244"/>
      <c r="X651" s="244"/>
      <c r="Y651" s="244"/>
      <c r="Z651" s="244"/>
      <c r="AA651" s="244"/>
      <c r="AB651" s="244"/>
      <c r="AC651" s="244"/>
      <c r="AD651" s="244"/>
      <c r="AE651" s="244"/>
      <c r="AF651" s="244"/>
      <c r="AG651" s="244"/>
      <c r="AH651" s="244"/>
      <c r="AI651" s="244"/>
      <c r="AJ651" s="244"/>
      <c r="AK651" s="242" t="s">
        <v>2018</v>
      </c>
      <c r="AL651" s="244"/>
      <c r="AM651" s="244"/>
      <c r="AN651" s="244"/>
      <c r="AO651" s="244"/>
      <c r="AP651" s="244"/>
    </row>
    <row r="652">
      <c r="A652" s="242" t="s">
        <v>36</v>
      </c>
      <c r="B652" s="243">
        <v>45723.61814013889</v>
      </c>
      <c r="C652" s="242" t="s">
        <v>715</v>
      </c>
      <c r="D652" s="242" t="s">
        <v>51</v>
      </c>
      <c r="E652" s="242" t="s">
        <v>52</v>
      </c>
      <c r="F652" s="242" t="s">
        <v>40</v>
      </c>
      <c r="G652" s="242" t="s">
        <v>41</v>
      </c>
      <c r="H652" s="242" t="s">
        <v>625</v>
      </c>
      <c r="I652" s="266">
        <v>99.0</v>
      </c>
      <c r="J652" s="242" t="s">
        <v>100</v>
      </c>
      <c r="K652" s="244"/>
      <c r="L652" s="242" t="s">
        <v>2036</v>
      </c>
      <c r="M652" s="242" t="s">
        <v>71</v>
      </c>
      <c r="N652" s="242" t="s">
        <v>96</v>
      </c>
      <c r="O652" s="242" t="s">
        <v>2037</v>
      </c>
      <c r="P652" s="246" t="s">
        <v>2038</v>
      </c>
      <c r="Q652" s="242" t="s">
        <v>1438</v>
      </c>
      <c r="R652" s="242" t="s">
        <v>1552</v>
      </c>
      <c r="S652" s="242" t="s">
        <v>71</v>
      </c>
      <c r="T652" s="244"/>
      <c r="U652" s="244"/>
      <c r="V652" s="244"/>
      <c r="W652" s="244"/>
      <c r="X652" s="244"/>
      <c r="Y652" s="244"/>
      <c r="Z652" s="244"/>
      <c r="AA652" s="244"/>
      <c r="AB652" s="244"/>
      <c r="AC652" s="244"/>
      <c r="AD652" s="244"/>
      <c r="AE652" s="244"/>
      <c r="AF652" s="244"/>
      <c r="AG652" s="244"/>
      <c r="AH652" s="244"/>
      <c r="AI652" s="244"/>
      <c r="AJ652" s="244"/>
      <c r="AK652" s="242" t="s">
        <v>2039</v>
      </c>
      <c r="AL652" s="244"/>
      <c r="AM652" s="244"/>
      <c r="AN652" s="244"/>
      <c r="AO652" s="244"/>
      <c r="AP652" s="244"/>
    </row>
    <row r="653">
      <c r="A653" s="242" t="s">
        <v>36</v>
      </c>
      <c r="B653" s="243">
        <v>45726.372891493054</v>
      </c>
      <c r="C653" s="242" t="s">
        <v>1280</v>
      </c>
      <c r="D653" s="242" t="s">
        <v>51</v>
      </c>
      <c r="E653" s="242" t="s">
        <v>149</v>
      </c>
      <c r="F653" s="242" t="s">
        <v>549</v>
      </c>
      <c r="G653" s="242" t="s">
        <v>131</v>
      </c>
      <c r="H653" s="242" t="s">
        <v>833</v>
      </c>
      <c r="I653" s="266">
        <v>75.0</v>
      </c>
      <c r="J653" s="242" t="s">
        <v>184</v>
      </c>
      <c r="K653" s="244"/>
      <c r="L653" s="242" t="s">
        <v>2040</v>
      </c>
      <c r="M653" s="242" t="s">
        <v>71</v>
      </c>
      <c r="N653" s="242" t="s">
        <v>96</v>
      </c>
      <c r="O653" s="242" t="s">
        <v>1283</v>
      </c>
      <c r="P653" s="246" t="s">
        <v>2041</v>
      </c>
      <c r="Q653" s="242" t="s">
        <v>1438</v>
      </c>
      <c r="R653" s="242" t="s">
        <v>1552</v>
      </c>
      <c r="S653" s="242" t="s">
        <v>71</v>
      </c>
      <c r="T653" s="242" t="s">
        <v>2042</v>
      </c>
      <c r="U653" s="248"/>
      <c r="V653" s="248"/>
      <c r="W653" s="248"/>
      <c r="X653" s="248"/>
      <c r="Y653" s="248"/>
      <c r="Z653" s="244"/>
      <c r="AA653" s="244"/>
      <c r="AB653" s="244"/>
      <c r="AC653" s="244"/>
      <c r="AD653" s="244"/>
      <c r="AE653" s="244"/>
      <c r="AF653" s="244"/>
      <c r="AG653" s="244"/>
      <c r="AH653" s="244"/>
      <c r="AI653" s="244"/>
      <c r="AJ653" s="244"/>
      <c r="AK653" s="242" t="s">
        <v>2039</v>
      </c>
      <c r="AL653" s="244"/>
      <c r="AM653" s="244"/>
      <c r="AN653" s="244"/>
      <c r="AO653" s="244"/>
      <c r="AP653" s="244"/>
    </row>
    <row r="654">
      <c r="A654" s="242" t="s">
        <v>36</v>
      </c>
      <c r="B654" s="243">
        <v>45726.57559501157</v>
      </c>
      <c r="C654" s="242" t="s">
        <v>333</v>
      </c>
      <c r="D654" s="242" t="s">
        <v>800</v>
      </c>
      <c r="E654" s="242" t="s">
        <v>800</v>
      </c>
      <c r="F654" s="242" t="s">
        <v>800</v>
      </c>
      <c r="G654" s="242" t="s">
        <v>800</v>
      </c>
      <c r="H654" s="242" t="s">
        <v>833</v>
      </c>
      <c r="I654" s="266">
        <v>200.0</v>
      </c>
      <c r="J654" s="242" t="s">
        <v>102</v>
      </c>
      <c r="K654" s="244"/>
      <c r="L654" s="242" t="s">
        <v>2043</v>
      </c>
      <c r="M654" s="242" t="s">
        <v>71</v>
      </c>
      <c r="N654" s="242" t="s">
        <v>96</v>
      </c>
      <c r="O654" s="242" t="s">
        <v>2044</v>
      </c>
      <c r="P654" s="242" t="s">
        <v>2033</v>
      </c>
      <c r="Q654" s="242" t="s">
        <v>1438</v>
      </c>
      <c r="R654" s="242" t="s">
        <v>1552</v>
      </c>
      <c r="S654" s="242" t="s">
        <v>71</v>
      </c>
      <c r="T654" s="244"/>
      <c r="U654" s="244"/>
      <c r="V654" s="244"/>
      <c r="W654" s="244"/>
      <c r="X654" s="244"/>
      <c r="Y654" s="244"/>
      <c r="Z654" s="244"/>
      <c r="AA654" s="244"/>
      <c r="AB654" s="244"/>
      <c r="AC654" s="244"/>
      <c r="AD654" s="244"/>
      <c r="AE654" s="244"/>
      <c r="AF654" s="244"/>
      <c r="AG654" s="244"/>
      <c r="AH654" s="244"/>
      <c r="AI654" s="244"/>
      <c r="AJ654" s="244"/>
      <c r="AK654" s="242" t="s">
        <v>2039</v>
      </c>
      <c r="AL654" s="244"/>
      <c r="AM654" s="244"/>
      <c r="AN654" s="244"/>
      <c r="AO654" s="244"/>
      <c r="AP654" s="244"/>
    </row>
    <row r="655">
      <c r="A655" s="242" t="s">
        <v>36</v>
      </c>
      <c r="B655" s="243">
        <v>45726.59443511574</v>
      </c>
      <c r="C655" s="242" t="s">
        <v>2045</v>
      </c>
      <c r="D655" s="242" t="s">
        <v>109</v>
      </c>
      <c r="E655" s="242" t="s">
        <v>138</v>
      </c>
      <c r="F655" s="242" t="s">
        <v>65</v>
      </c>
      <c r="G655" s="242" t="s">
        <v>54</v>
      </c>
      <c r="H655" s="242" t="s">
        <v>625</v>
      </c>
      <c r="I655" s="242">
        <v>776.0</v>
      </c>
      <c r="J655" s="242" t="s">
        <v>102</v>
      </c>
      <c r="K655" s="244"/>
      <c r="L655" s="242" t="s">
        <v>2046</v>
      </c>
      <c r="M655" s="242" t="s">
        <v>71</v>
      </c>
      <c r="N655" s="242" t="s">
        <v>96</v>
      </c>
      <c r="O655" s="242" t="s">
        <v>2047</v>
      </c>
      <c r="P655" s="242" t="s">
        <v>2048</v>
      </c>
      <c r="Q655" s="242" t="s">
        <v>1438</v>
      </c>
      <c r="R655" s="242" t="s">
        <v>1552</v>
      </c>
      <c r="S655" s="242" t="s">
        <v>71</v>
      </c>
      <c r="T655" s="244"/>
      <c r="U655" s="244"/>
      <c r="V655" s="244"/>
      <c r="W655" s="244"/>
      <c r="X655" s="244"/>
      <c r="Y655" s="244"/>
      <c r="Z655" s="244"/>
      <c r="AA655" s="244"/>
      <c r="AB655" s="244"/>
      <c r="AC655" s="244"/>
      <c r="AD655" s="244"/>
      <c r="AE655" s="244"/>
      <c r="AF655" s="244"/>
      <c r="AG655" s="244"/>
      <c r="AH655" s="244"/>
      <c r="AI655" s="244"/>
      <c r="AJ655" s="244"/>
      <c r="AK655" s="242" t="s">
        <v>2039</v>
      </c>
      <c r="AL655" s="244"/>
      <c r="AM655" s="244"/>
      <c r="AN655" s="244"/>
      <c r="AO655" s="244"/>
      <c r="AP655" s="244"/>
    </row>
    <row r="656">
      <c r="A656" s="242" t="s">
        <v>36</v>
      </c>
      <c r="B656" s="243">
        <v>45726.606836921295</v>
      </c>
      <c r="C656" s="242" t="s">
        <v>2045</v>
      </c>
      <c r="D656" s="242" t="s">
        <v>109</v>
      </c>
      <c r="E656" s="242" t="s">
        <v>138</v>
      </c>
      <c r="F656" s="242" t="s">
        <v>65</v>
      </c>
      <c r="G656" s="242" t="s">
        <v>54</v>
      </c>
      <c r="H656" s="242" t="s">
        <v>607</v>
      </c>
      <c r="I656" s="242" t="s">
        <v>2049</v>
      </c>
      <c r="J656" s="242" t="s">
        <v>102</v>
      </c>
      <c r="K656" s="244"/>
      <c r="L656" s="242" t="s">
        <v>736</v>
      </c>
      <c r="M656" s="242" t="s">
        <v>71</v>
      </c>
      <c r="N656" s="242" t="s">
        <v>96</v>
      </c>
      <c r="O656" s="242" t="s">
        <v>2047</v>
      </c>
      <c r="P656" s="246" t="s">
        <v>2050</v>
      </c>
      <c r="Q656" s="242" t="s">
        <v>1438</v>
      </c>
      <c r="R656" s="242" t="s">
        <v>1552</v>
      </c>
      <c r="S656" s="242" t="s">
        <v>1557</v>
      </c>
      <c r="T656" s="242" t="s">
        <v>2051</v>
      </c>
      <c r="U656" s="248"/>
      <c r="V656" s="248"/>
      <c r="W656" s="248"/>
      <c r="X656" s="248"/>
      <c r="Y656" s="248"/>
      <c r="Z656" s="244"/>
      <c r="AA656" s="244"/>
      <c r="AB656" s="244"/>
      <c r="AC656" s="244"/>
      <c r="AD656" s="244"/>
      <c r="AE656" s="244"/>
      <c r="AF656" s="244"/>
      <c r="AG656" s="244"/>
      <c r="AH656" s="244"/>
      <c r="AI656" s="244"/>
      <c r="AJ656" s="244"/>
      <c r="AK656" s="242" t="s">
        <v>2052</v>
      </c>
      <c r="AL656" s="244"/>
      <c r="AM656" s="244"/>
      <c r="AN656" s="244"/>
      <c r="AO656" s="244"/>
      <c r="AP656" s="244"/>
    </row>
    <row r="657">
      <c r="A657" s="242" t="s">
        <v>36</v>
      </c>
      <c r="B657" s="243">
        <v>45726.62473671296</v>
      </c>
      <c r="C657" s="242" t="s">
        <v>2045</v>
      </c>
      <c r="D657" s="242" t="s">
        <v>109</v>
      </c>
      <c r="E657" s="242" t="s">
        <v>138</v>
      </c>
      <c r="F657" s="242" t="s">
        <v>65</v>
      </c>
      <c r="G657" s="242" t="s">
        <v>54</v>
      </c>
      <c r="H657" s="242" t="s">
        <v>625</v>
      </c>
      <c r="I657" s="242">
        <v>226.9</v>
      </c>
      <c r="J657" s="242" t="s">
        <v>102</v>
      </c>
      <c r="K657" s="244"/>
      <c r="L657" s="242" t="s">
        <v>2053</v>
      </c>
      <c r="M657" s="242" t="s">
        <v>71</v>
      </c>
      <c r="N657" s="242" t="s">
        <v>96</v>
      </c>
      <c r="O657" s="242" t="s">
        <v>2047</v>
      </c>
      <c r="P657" s="246" t="s">
        <v>2050</v>
      </c>
      <c r="Q657" s="242" t="s">
        <v>1438</v>
      </c>
      <c r="R657" s="242" t="s">
        <v>1552</v>
      </c>
      <c r="S657" s="242" t="s">
        <v>1557</v>
      </c>
      <c r="T657" s="242" t="s">
        <v>736</v>
      </c>
      <c r="U657" s="248"/>
      <c r="V657" s="248"/>
      <c r="W657" s="248"/>
      <c r="X657" s="248"/>
      <c r="Y657" s="248"/>
      <c r="Z657" s="244"/>
      <c r="AA657" s="244"/>
      <c r="AB657" s="244"/>
      <c r="AC657" s="244"/>
      <c r="AD657" s="244"/>
      <c r="AE657" s="244"/>
      <c r="AF657" s="244"/>
      <c r="AG657" s="244"/>
      <c r="AH657" s="244"/>
      <c r="AI657" s="244"/>
      <c r="AJ657" s="244"/>
      <c r="AK657" s="242" t="s">
        <v>2052</v>
      </c>
      <c r="AL657" s="244"/>
      <c r="AM657" s="244"/>
      <c r="AN657" s="244"/>
      <c r="AO657" s="244"/>
      <c r="AP657" s="244"/>
    </row>
    <row r="658">
      <c r="A658" s="242" t="s">
        <v>36</v>
      </c>
      <c r="B658" s="243">
        <v>45726.67585484954</v>
      </c>
      <c r="C658" s="242" t="s">
        <v>272</v>
      </c>
      <c r="D658" s="242" t="s">
        <v>51</v>
      </c>
      <c r="E658" s="242" t="s">
        <v>52</v>
      </c>
      <c r="F658" s="242" t="s">
        <v>65</v>
      </c>
      <c r="G658" s="242" t="s">
        <v>131</v>
      </c>
      <c r="H658" s="242" t="s">
        <v>625</v>
      </c>
      <c r="I658" s="266">
        <v>899.0</v>
      </c>
      <c r="J658" s="242" t="s">
        <v>189</v>
      </c>
      <c r="K658" s="244"/>
      <c r="L658" s="247" t="s">
        <v>2054</v>
      </c>
      <c r="M658" s="242" t="s">
        <v>71</v>
      </c>
      <c r="N658" s="242" t="s">
        <v>68</v>
      </c>
      <c r="O658" s="242" t="s">
        <v>2055</v>
      </c>
      <c r="P658" s="242" t="s">
        <v>2056</v>
      </c>
      <c r="Q658" s="242" t="s">
        <v>1438</v>
      </c>
      <c r="R658" s="242" t="s">
        <v>1552</v>
      </c>
      <c r="S658" s="242" t="s">
        <v>71</v>
      </c>
      <c r="T658" s="242" t="s">
        <v>2057</v>
      </c>
      <c r="U658" s="248"/>
      <c r="V658" s="248"/>
      <c r="W658" s="248"/>
      <c r="X658" s="248"/>
      <c r="Y658" s="248"/>
      <c r="Z658" s="244"/>
      <c r="AA658" s="244"/>
      <c r="AB658" s="244"/>
      <c r="AC658" s="244"/>
      <c r="AD658" s="244"/>
      <c r="AE658" s="244"/>
      <c r="AF658" s="244"/>
      <c r="AG658" s="244"/>
      <c r="AH658" s="244"/>
      <c r="AI658" s="244"/>
      <c r="AJ658" s="244"/>
      <c r="AK658" s="242" t="s">
        <v>2052</v>
      </c>
      <c r="AL658" s="244"/>
      <c r="AM658" s="244"/>
      <c r="AN658" s="244"/>
      <c r="AO658" s="244"/>
      <c r="AP658" s="244"/>
    </row>
    <row r="659">
      <c r="A659" s="242" t="s">
        <v>36</v>
      </c>
      <c r="B659" s="243">
        <v>45727.34549216436</v>
      </c>
      <c r="C659" s="242" t="s">
        <v>368</v>
      </c>
      <c r="D659" s="242" t="s">
        <v>142</v>
      </c>
      <c r="E659" s="242" t="s">
        <v>52</v>
      </c>
      <c r="F659" s="242" t="s">
        <v>40</v>
      </c>
      <c r="G659" s="242" t="s">
        <v>54</v>
      </c>
      <c r="H659" s="242" t="s">
        <v>625</v>
      </c>
      <c r="I659" s="242" t="s">
        <v>2058</v>
      </c>
      <c r="J659" s="242" t="s">
        <v>102</v>
      </c>
      <c r="K659" s="247" t="s">
        <v>2059</v>
      </c>
      <c r="L659" s="242" t="s">
        <v>2060</v>
      </c>
      <c r="M659" s="242" t="s">
        <v>71</v>
      </c>
      <c r="N659" s="242" t="s">
        <v>96</v>
      </c>
      <c r="O659" s="242" t="s">
        <v>1327</v>
      </c>
      <c r="P659" s="242" t="s">
        <v>2061</v>
      </c>
      <c r="Q659" s="242" t="s">
        <v>1438</v>
      </c>
      <c r="R659" s="242" t="s">
        <v>1552</v>
      </c>
      <c r="S659" s="242" t="s">
        <v>1557</v>
      </c>
      <c r="T659" s="242" t="s">
        <v>2062</v>
      </c>
      <c r="U659" s="248"/>
      <c r="V659" s="248"/>
      <c r="W659" s="248"/>
      <c r="X659" s="248"/>
      <c r="Y659" s="248"/>
      <c r="Z659" s="244"/>
      <c r="AA659" s="244"/>
      <c r="AB659" s="244"/>
      <c r="AC659" s="244"/>
      <c r="AD659" s="244"/>
      <c r="AE659" s="244"/>
      <c r="AF659" s="244"/>
      <c r="AG659" s="244"/>
      <c r="AH659" s="244"/>
      <c r="AI659" s="244"/>
      <c r="AJ659" s="244"/>
      <c r="AK659" s="242" t="s">
        <v>2052</v>
      </c>
      <c r="AL659" s="244"/>
      <c r="AM659" s="244"/>
      <c r="AN659" s="244"/>
      <c r="AO659" s="244"/>
      <c r="AP659" s="244"/>
    </row>
    <row r="660" ht="15.0" customHeight="1">
      <c r="A660" s="242" t="s">
        <v>36</v>
      </c>
      <c r="B660" s="243">
        <v>45727.39563237269</v>
      </c>
      <c r="C660" s="242" t="s">
        <v>697</v>
      </c>
      <c r="D660" s="242" t="s">
        <v>832</v>
      </c>
      <c r="E660" s="242" t="s">
        <v>138</v>
      </c>
      <c r="F660" s="242" t="s">
        <v>65</v>
      </c>
      <c r="G660" s="242" t="s">
        <v>54</v>
      </c>
      <c r="H660" s="242" t="s">
        <v>625</v>
      </c>
      <c r="I660" s="242">
        <v>129.99</v>
      </c>
      <c r="J660" s="242" t="s">
        <v>418</v>
      </c>
      <c r="K660" s="244"/>
      <c r="L660" s="247" t="s">
        <v>2063</v>
      </c>
      <c r="M660" s="242" t="s">
        <v>71</v>
      </c>
      <c r="N660" s="242" t="s">
        <v>96</v>
      </c>
      <c r="O660" s="242" t="s">
        <v>1065</v>
      </c>
      <c r="P660" s="242" t="s">
        <v>2064</v>
      </c>
      <c r="Q660" s="242" t="s">
        <v>1438</v>
      </c>
      <c r="R660" s="242" t="s">
        <v>1552</v>
      </c>
      <c r="S660" s="242" t="s">
        <v>71</v>
      </c>
      <c r="T660" s="244"/>
      <c r="U660" s="244"/>
      <c r="V660" s="244"/>
      <c r="W660" s="244"/>
      <c r="X660" s="244"/>
      <c r="Y660" s="244"/>
      <c r="Z660" s="244"/>
      <c r="AA660" s="244"/>
      <c r="AB660" s="244"/>
      <c r="AC660" s="244"/>
      <c r="AD660" s="244"/>
      <c r="AE660" s="244"/>
      <c r="AF660" s="244"/>
      <c r="AG660" s="244"/>
      <c r="AH660" s="244"/>
      <c r="AI660" s="244"/>
      <c r="AJ660" s="244"/>
      <c r="AK660" s="242" t="s">
        <v>2052</v>
      </c>
      <c r="AL660" s="244"/>
      <c r="AM660" s="244"/>
      <c r="AN660" s="244"/>
      <c r="AO660" s="244"/>
      <c r="AP660" s="244"/>
    </row>
    <row r="661">
      <c r="A661" s="242" t="s">
        <v>36</v>
      </c>
      <c r="B661" s="243">
        <v>45728.3519347338</v>
      </c>
      <c r="C661" s="242" t="s">
        <v>245</v>
      </c>
      <c r="D661" s="242" t="s">
        <v>142</v>
      </c>
      <c r="E661" s="242" t="s">
        <v>52</v>
      </c>
      <c r="F661" s="242" t="s">
        <v>65</v>
      </c>
      <c r="G661" s="242" t="s">
        <v>54</v>
      </c>
      <c r="H661" s="242" t="s">
        <v>625</v>
      </c>
      <c r="I661" s="242" t="s">
        <v>2065</v>
      </c>
      <c r="J661" s="242" t="s">
        <v>102</v>
      </c>
      <c r="K661" s="244"/>
      <c r="L661" s="242" t="s">
        <v>2066</v>
      </c>
      <c r="M661" s="242" t="s">
        <v>71</v>
      </c>
      <c r="N661" s="242" t="s">
        <v>96</v>
      </c>
      <c r="O661" s="242" t="s">
        <v>1115</v>
      </c>
      <c r="P661" s="242" t="s">
        <v>2067</v>
      </c>
      <c r="Q661" s="242" t="s">
        <v>1438</v>
      </c>
      <c r="R661" s="242" t="s">
        <v>1552</v>
      </c>
      <c r="S661" s="242" t="s">
        <v>71</v>
      </c>
      <c r="T661" s="242" t="s">
        <v>2068</v>
      </c>
      <c r="U661" s="248"/>
      <c r="V661" s="248"/>
      <c r="W661" s="248"/>
      <c r="X661" s="248"/>
      <c r="Y661" s="248"/>
      <c r="Z661" s="244"/>
      <c r="AA661" s="244"/>
      <c r="AB661" s="244"/>
      <c r="AC661" s="244"/>
      <c r="AD661" s="244"/>
      <c r="AE661" s="244"/>
      <c r="AF661" s="244"/>
      <c r="AG661" s="244"/>
      <c r="AH661" s="244"/>
      <c r="AI661" s="244"/>
      <c r="AJ661" s="244"/>
      <c r="AK661" s="242" t="s">
        <v>2052</v>
      </c>
      <c r="AL661" s="244"/>
      <c r="AM661" s="244"/>
      <c r="AN661" s="244"/>
      <c r="AO661" s="244"/>
      <c r="AP661" s="244"/>
    </row>
    <row r="662">
      <c r="A662" s="242" t="s">
        <v>36</v>
      </c>
      <c r="B662" s="243">
        <v>45728.36931658565</v>
      </c>
      <c r="C662" s="242" t="s">
        <v>245</v>
      </c>
      <c r="D662" s="242" t="s">
        <v>142</v>
      </c>
      <c r="E662" s="242" t="s">
        <v>52</v>
      </c>
      <c r="F662" s="242" t="s">
        <v>65</v>
      </c>
      <c r="G662" s="242" t="s">
        <v>54</v>
      </c>
      <c r="H662" s="242" t="s">
        <v>625</v>
      </c>
      <c r="I662" s="242" t="s">
        <v>2069</v>
      </c>
      <c r="J662" s="242" t="s">
        <v>102</v>
      </c>
      <c r="K662" s="244"/>
      <c r="L662" s="247" t="s">
        <v>2070</v>
      </c>
      <c r="M662" s="242" t="s">
        <v>71</v>
      </c>
      <c r="N662" s="242" t="s">
        <v>96</v>
      </c>
      <c r="O662" s="242" t="s">
        <v>1115</v>
      </c>
      <c r="P662" s="242" t="s">
        <v>2071</v>
      </c>
      <c r="Q662" s="242" t="s">
        <v>1438</v>
      </c>
      <c r="R662" s="242" t="s">
        <v>1552</v>
      </c>
      <c r="S662" s="242" t="s">
        <v>71</v>
      </c>
      <c r="T662" s="242" t="s">
        <v>2072</v>
      </c>
      <c r="U662" s="248"/>
      <c r="V662" s="248"/>
      <c r="W662" s="248"/>
      <c r="X662" s="248"/>
      <c r="Y662" s="248"/>
      <c r="Z662" s="244"/>
      <c r="AA662" s="244"/>
      <c r="AB662" s="244"/>
      <c r="AC662" s="244"/>
      <c r="AD662" s="244"/>
      <c r="AE662" s="244"/>
      <c r="AF662" s="244"/>
      <c r="AG662" s="244"/>
      <c r="AH662" s="244"/>
      <c r="AI662" s="244"/>
      <c r="AJ662" s="244"/>
      <c r="AK662" s="242" t="s">
        <v>2052</v>
      </c>
      <c r="AL662" s="244"/>
      <c r="AM662" s="244"/>
      <c r="AN662" s="244"/>
      <c r="AO662" s="244"/>
      <c r="AP662" s="244"/>
    </row>
    <row r="663">
      <c r="A663" s="242" t="s">
        <v>36</v>
      </c>
      <c r="B663" s="243">
        <v>45728.457770277775</v>
      </c>
      <c r="C663" s="242" t="s">
        <v>141</v>
      </c>
      <c r="D663" s="242" t="s">
        <v>800</v>
      </c>
      <c r="E663" s="242" t="s">
        <v>800</v>
      </c>
      <c r="F663" s="242" t="s">
        <v>800</v>
      </c>
      <c r="G663" s="242" t="s">
        <v>800</v>
      </c>
      <c r="H663" s="242" t="s">
        <v>625</v>
      </c>
      <c r="I663" s="242">
        <v>800.0</v>
      </c>
      <c r="J663" s="242" t="s">
        <v>100</v>
      </c>
      <c r="K663" s="244"/>
      <c r="L663" s="247" t="s">
        <v>2073</v>
      </c>
      <c r="M663" s="242" t="s">
        <v>71</v>
      </c>
      <c r="N663" s="242" t="s">
        <v>96</v>
      </c>
      <c r="O663" s="242" t="s">
        <v>2074</v>
      </c>
      <c r="P663" s="246" t="s">
        <v>2075</v>
      </c>
      <c r="Q663" s="242" t="s">
        <v>1438</v>
      </c>
      <c r="R663" s="242" t="s">
        <v>1552</v>
      </c>
      <c r="S663" s="242" t="s">
        <v>71</v>
      </c>
      <c r="T663" s="242" t="s">
        <v>2076</v>
      </c>
      <c r="U663" s="248"/>
      <c r="V663" s="248"/>
      <c r="W663" s="248"/>
      <c r="X663" s="248"/>
      <c r="Y663" s="248"/>
      <c r="Z663" s="244"/>
      <c r="AA663" s="244"/>
      <c r="AB663" s="244"/>
      <c r="AC663" s="244"/>
      <c r="AD663" s="244"/>
      <c r="AE663" s="244"/>
      <c r="AF663" s="244"/>
      <c r="AG663" s="244"/>
      <c r="AH663" s="244"/>
      <c r="AI663" s="244"/>
      <c r="AJ663" s="244"/>
      <c r="AK663" s="242" t="s">
        <v>2077</v>
      </c>
      <c r="AL663" s="244"/>
      <c r="AM663" s="244"/>
      <c r="AN663" s="244"/>
      <c r="AO663" s="244"/>
      <c r="AP663" s="244"/>
    </row>
    <row r="664">
      <c r="A664" s="242" t="s">
        <v>36</v>
      </c>
      <c r="B664" s="243">
        <v>45728.795614930554</v>
      </c>
      <c r="C664" s="242" t="s">
        <v>431</v>
      </c>
      <c r="D664" s="242" t="s">
        <v>51</v>
      </c>
      <c r="E664" s="242" t="s">
        <v>52</v>
      </c>
      <c r="F664" s="242" t="s">
        <v>80</v>
      </c>
      <c r="G664" s="242" t="s">
        <v>54</v>
      </c>
      <c r="H664" s="242" t="s">
        <v>625</v>
      </c>
      <c r="I664" s="242" t="s">
        <v>2078</v>
      </c>
      <c r="J664" s="242" t="s">
        <v>433</v>
      </c>
      <c r="K664" s="244"/>
      <c r="L664" s="242" t="s">
        <v>2079</v>
      </c>
      <c r="M664" s="242" t="s">
        <v>71</v>
      </c>
      <c r="N664" s="242" t="s">
        <v>68</v>
      </c>
      <c r="O664" s="242" t="s">
        <v>1866</v>
      </c>
      <c r="P664" s="246" t="s">
        <v>2080</v>
      </c>
      <c r="Q664" s="242" t="s">
        <v>1471</v>
      </c>
      <c r="R664" s="242" t="s">
        <v>1552</v>
      </c>
      <c r="S664" s="242" t="s">
        <v>71</v>
      </c>
      <c r="T664" s="242" t="s">
        <v>2081</v>
      </c>
      <c r="U664" s="248"/>
      <c r="V664" s="248"/>
      <c r="W664" s="248"/>
      <c r="X664" s="248"/>
      <c r="Y664" s="248"/>
      <c r="Z664" s="244"/>
      <c r="AA664" s="244"/>
      <c r="AB664" s="244"/>
      <c r="AC664" s="244"/>
      <c r="AD664" s="244"/>
      <c r="AE664" s="244"/>
      <c r="AF664" s="244"/>
      <c r="AG664" s="244"/>
      <c r="AH664" s="244"/>
      <c r="AI664" s="244"/>
      <c r="AJ664" s="244"/>
      <c r="AK664" s="242" t="s">
        <v>2052</v>
      </c>
      <c r="AL664" s="244"/>
      <c r="AM664" s="244"/>
      <c r="AN664" s="244"/>
      <c r="AO664" s="244"/>
      <c r="AP664" s="244"/>
    </row>
    <row r="665">
      <c r="A665" s="242" t="s">
        <v>36</v>
      </c>
      <c r="B665" s="243">
        <v>45729.34686554398</v>
      </c>
      <c r="C665" s="242" t="s">
        <v>130</v>
      </c>
      <c r="D665" s="242" t="s">
        <v>51</v>
      </c>
      <c r="E665" s="242" t="s">
        <v>52</v>
      </c>
      <c r="F665" s="242" t="s">
        <v>53</v>
      </c>
      <c r="G665" s="242" t="s">
        <v>131</v>
      </c>
      <c r="H665" s="242" t="s">
        <v>625</v>
      </c>
      <c r="I665" s="266">
        <v>466.0</v>
      </c>
      <c r="J665" s="242" t="s">
        <v>100</v>
      </c>
      <c r="K665" s="244"/>
      <c r="L665" s="242" t="s">
        <v>2082</v>
      </c>
      <c r="M665" s="242" t="s">
        <v>71</v>
      </c>
      <c r="N665" s="242" t="s">
        <v>68</v>
      </c>
      <c r="O665" s="242" t="s">
        <v>1965</v>
      </c>
      <c r="P665" s="246" t="s">
        <v>1960</v>
      </c>
      <c r="Q665" s="242" t="s">
        <v>1438</v>
      </c>
      <c r="R665" s="242" t="s">
        <v>1552</v>
      </c>
      <c r="S665" s="242" t="s">
        <v>71</v>
      </c>
      <c r="T665" s="242" t="s">
        <v>2083</v>
      </c>
      <c r="U665" s="248"/>
      <c r="V665" s="248"/>
      <c r="W665" s="248"/>
      <c r="X665" s="248"/>
      <c r="Y665" s="248"/>
      <c r="Z665" s="244"/>
      <c r="AA665" s="244"/>
      <c r="AB665" s="244"/>
      <c r="AC665" s="244"/>
      <c r="AD665" s="244"/>
      <c r="AE665" s="244"/>
      <c r="AF665" s="244"/>
      <c r="AG665" s="244"/>
      <c r="AH665" s="244"/>
      <c r="AI665" s="244"/>
      <c r="AJ665" s="244"/>
      <c r="AK665" s="242" t="s">
        <v>2052</v>
      </c>
      <c r="AL665" s="244"/>
      <c r="AM665" s="244"/>
      <c r="AN665" s="244"/>
      <c r="AO665" s="244"/>
      <c r="AP665" s="244"/>
    </row>
    <row r="666">
      <c r="A666" s="242" t="s">
        <v>36</v>
      </c>
      <c r="B666" s="243">
        <v>45729.63164501157</v>
      </c>
      <c r="C666" s="242" t="s">
        <v>148</v>
      </c>
      <c r="D666" s="242" t="s">
        <v>51</v>
      </c>
      <c r="E666" s="242" t="s">
        <v>52</v>
      </c>
      <c r="F666" s="242" t="s">
        <v>40</v>
      </c>
      <c r="G666" s="242" t="s">
        <v>41</v>
      </c>
      <c r="H666" s="242" t="s">
        <v>625</v>
      </c>
      <c r="I666" s="242">
        <v>219.0</v>
      </c>
      <c r="J666" s="242" t="s">
        <v>100</v>
      </c>
      <c r="K666" s="244"/>
      <c r="L666" s="247" t="s">
        <v>2084</v>
      </c>
      <c r="M666" s="242" t="s">
        <v>71</v>
      </c>
      <c r="N666" s="242" t="s">
        <v>96</v>
      </c>
      <c r="O666" s="242" t="s">
        <v>1184</v>
      </c>
      <c r="P666" s="246" t="s">
        <v>2085</v>
      </c>
      <c r="Q666" s="242" t="s">
        <v>1438</v>
      </c>
      <c r="R666" s="242" t="s">
        <v>1552</v>
      </c>
      <c r="S666" s="242" t="s">
        <v>71</v>
      </c>
      <c r="T666" s="244"/>
      <c r="U666" s="244"/>
      <c r="V666" s="244"/>
      <c r="W666" s="244"/>
      <c r="X666" s="244"/>
      <c r="Y666" s="244"/>
      <c r="Z666" s="244"/>
      <c r="AA666" s="244"/>
      <c r="AB666" s="244"/>
      <c r="AC666" s="244"/>
      <c r="AD666" s="244"/>
      <c r="AE666" s="244"/>
      <c r="AF666" s="244"/>
      <c r="AG666" s="244"/>
      <c r="AH666" s="244"/>
      <c r="AI666" s="244"/>
      <c r="AJ666" s="244"/>
      <c r="AK666" s="242" t="s">
        <v>2086</v>
      </c>
      <c r="AL666" s="244"/>
      <c r="AM666" s="244"/>
      <c r="AN666" s="244"/>
      <c r="AO666" s="244"/>
      <c r="AP666" s="244"/>
    </row>
    <row r="667">
      <c r="A667" s="242" t="s">
        <v>36</v>
      </c>
      <c r="B667" s="243">
        <v>45733.536207997684</v>
      </c>
      <c r="C667" s="242" t="s">
        <v>104</v>
      </c>
      <c r="D667" s="242" t="s">
        <v>105</v>
      </c>
      <c r="E667" s="242" t="s">
        <v>52</v>
      </c>
      <c r="F667" s="242" t="s">
        <v>65</v>
      </c>
      <c r="G667" s="242" t="s">
        <v>54</v>
      </c>
      <c r="H667" s="242" t="s">
        <v>625</v>
      </c>
      <c r="I667" s="242">
        <v>170.0</v>
      </c>
      <c r="J667" s="242" t="s">
        <v>102</v>
      </c>
      <c r="K667" s="244"/>
      <c r="L667" s="242" t="s">
        <v>1433</v>
      </c>
      <c r="M667" s="242" t="s">
        <v>71</v>
      </c>
      <c r="N667" s="242" t="s">
        <v>96</v>
      </c>
      <c r="O667" s="242" t="s">
        <v>929</v>
      </c>
      <c r="P667" s="244"/>
      <c r="Q667" s="242" t="s">
        <v>1438</v>
      </c>
      <c r="R667" s="242" t="s">
        <v>1552</v>
      </c>
      <c r="S667" s="242" t="s">
        <v>1557</v>
      </c>
      <c r="T667" s="242" t="s">
        <v>2087</v>
      </c>
      <c r="U667" s="248"/>
      <c r="V667" s="248"/>
      <c r="W667" s="248"/>
      <c r="X667" s="248"/>
      <c r="Y667" s="248"/>
      <c r="Z667" s="244"/>
      <c r="AA667" s="244"/>
      <c r="AB667" s="244"/>
      <c r="AC667" s="244"/>
      <c r="AD667" s="244"/>
      <c r="AE667" s="244"/>
      <c r="AF667" s="244"/>
      <c r="AG667" s="244"/>
      <c r="AH667" s="244"/>
      <c r="AI667" s="244"/>
      <c r="AJ667" s="244"/>
      <c r="AK667" s="242" t="s">
        <v>2086</v>
      </c>
      <c r="AL667" s="244"/>
      <c r="AM667" s="244"/>
      <c r="AN667" s="244"/>
      <c r="AO667" s="244"/>
      <c r="AP667" s="244"/>
    </row>
    <row r="668">
      <c r="A668" s="242" t="s">
        <v>36</v>
      </c>
      <c r="B668" s="243">
        <v>45736.49504203704</v>
      </c>
      <c r="C668" s="242" t="s">
        <v>1322</v>
      </c>
      <c r="D668" s="242" t="s">
        <v>800</v>
      </c>
      <c r="E668" s="242" t="s">
        <v>800</v>
      </c>
      <c r="F668" s="242" t="s">
        <v>800</v>
      </c>
      <c r="G668" s="242" t="s">
        <v>800</v>
      </c>
      <c r="H668" s="242" t="s">
        <v>439</v>
      </c>
      <c r="I668" s="242" t="s">
        <v>2088</v>
      </c>
      <c r="J668" s="242" t="s">
        <v>967</v>
      </c>
      <c r="K668" s="244"/>
      <c r="L668" s="244"/>
      <c r="M668" s="242" t="s">
        <v>71</v>
      </c>
      <c r="N668" s="242" t="s">
        <v>96</v>
      </c>
      <c r="O668" s="242" t="s">
        <v>2089</v>
      </c>
      <c r="P668" s="246" t="s">
        <v>2090</v>
      </c>
      <c r="Q668" s="242" t="s">
        <v>1438</v>
      </c>
      <c r="R668" s="242" t="s">
        <v>1552</v>
      </c>
      <c r="S668" s="242" t="s">
        <v>1557</v>
      </c>
      <c r="T668" s="244"/>
      <c r="U668" s="244"/>
      <c r="V668" s="244"/>
      <c r="W668" s="244"/>
      <c r="X668" s="244"/>
      <c r="Y668" s="244"/>
      <c r="Z668" s="244"/>
      <c r="AA668" s="244"/>
      <c r="AB668" s="244"/>
      <c r="AC668" s="244"/>
      <c r="AD668" s="244"/>
      <c r="AE668" s="244"/>
      <c r="AF668" s="244"/>
      <c r="AG668" s="244"/>
      <c r="AH668" s="244"/>
      <c r="AI668" s="244"/>
      <c r="AJ668" s="244"/>
      <c r="AK668" s="242" t="s">
        <v>2091</v>
      </c>
      <c r="AL668" s="244"/>
      <c r="AM668" s="244"/>
      <c r="AN668" s="244"/>
      <c r="AO668" s="244"/>
      <c r="AP668" s="244"/>
    </row>
    <row r="669">
      <c r="A669" s="242" t="s">
        <v>36</v>
      </c>
      <c r="B669" s="243">
        <v>45736.50587284722</v>
      </c>
      <c r="C669" s="242" t="s">
        <v>1213</v>
      </c>
      <c r="D669" s="242" t="s">
        <v>51</v>
      </c>
      <c r="E669" s="242" t="s">
        <v>795</v>
      </c>
      <c r="F669" s="242" t="s">
        <v>80</v>
      </c>
      <c r="G669" s="242" t="s">
        <v>131</v>
      </c>
      <c r="H669" s="242" t="s">
        <v>625</v>
      </c>
      <c r="I669" s="242" t="s">
        <v>2092</v>
      </c>
      <c r="J669" s="242" t="s">
        <v>48</v>
      </c>
      <c r="K669" s="244"/>
      <c r="L669" s="247" t="s">
        <v>2093</v>
      </c>
      <c r="M669" s="242" t="s">
        <v>71</v>
      </c>
      <c r="N669" s="242" t="s">
        <v>96</v>
      </c>
      <c r="O669" s="242" t="s">
        <v>1216</v>
      </c>
      <c r="P669" s="242" t="s">
        <v>2094</v>
      </c>
      <c r="Q669" s="242" t="s">
        <v>1471</v>
      </c>
      <c r="R669" s="242" t="s">
        <v>1552</v>
      </c>
      <c r="S669" s="242" t="s">
        <v>71</v>
      </c>
      <c r="T669" s="242" t="s">
        <v>2095</v>
      </c>
      <c r="U669" s="248"/>
      <c r="V669" s="248"/>
      <c r="W669" s="248"/>
      <c r="X669" s="248"/>
      <c r="Y669" s="248"/>
      <c r="Z669" s="244"/>
      <c r="AA669" s="244"/>
      <c r="AB669" s="244"/>
      <c r="AC669" s="244"/>
      <c r="AD669" s="244"/>
      <c r="AE669" s="244"/>
      <c r="AF669" s="244"/>
      <c r="AG669" s="244"/>
      <c r="AH669" s="244"/>
      <c r="AI669" s="244"/>
      <c r="AJ669" s="244"/>
      <c r="AK669" s="242" t="s">
        <v>2091</v>
      </c>
      <c r="AL669" s="244"/>
      <c r="AM669" s="244"/>
      <c r="AN669" s="244"/>
      <c r="AO669" s="244"/>
      <c r="AP669" s="244"/>
    </row>
    <row r="670">
      <c r="A670" s="242" t="s">
        <v>36</v>
      </c>
      <c r="B670" s="243">
        <v>45736.5706203588</v>
      </c>
      <c r="C670" s="242" t="s">
        <v>2045</v>
      </c>
      <c r="D670" s="242" t="s">
        <v>109</v>
      </c>
      <c r="E670" s="242" t="s">
        <v>138</v>
      </c>
      <c r="F670" s="242" t="s">
        <v>65</v>
      </c>
      <c r="G670" s="242" t="s">
        <v>54</v>
      </c>
      <c r="H670" s="242" t="s">
        <v>625</v>
      </c>
      <c r="I670" s="242" t="s">
        <v>2096</v>
      </c>
      <c r="J670" s="242" t="s">
        <v>102</v>
      </c>
      <c r="K670" s="244"/>
      <c r="L670" s="242" t="s">
        <v>2097</v>
      </c>
      <c r="M670" s="242" t="s">
        <v>71</v>
      </c>
      <c r="N670" s="242" t="s">
        <v>96</v>
      </c>
      <c r="O670" s="242" t="s">
        <v>2047</v>
      </c>
      <c r="P670" s="242" t="s">
        <v>2098</v>
      </c>
      <c r="Q670" s="242" t="s">
        <v>1438</v>
      </c>
      <c r="R670" s="242" t="s">
        <v>1552</v>
      </c>
      <c r="S670" s="242" t="s">
        <v>71</v>
      </c>
      <c r="T670" s="242" t="s">
        <v>2099</v>
      </c>
      <c r="U670" s="248"/>
      <c r="V670" s="248"/>
      <c r="W670" s="248"/>
      <c r="X670" s="248"/>
      <c r="Y670" s="248"/>
      <c r="Z670" s="244"/>
      <c r="AA670" s="244"/>
      <c r="AB670" s="244"/>
      <c r="AC670" s="244"/>
      <c r="AD670" s="244"/>
      <c r="AE670" s="244"/>
      <c r="AF670" s="244"/>
      <c r="AG670" s="244"/>
      <c r="AH670" s="244"/>
      <c r="AI670" s="244"/>
      <c r="AJ670" s="244"/>
      <c r="AK670" s="242" t="s">
        <v>2091</v>
      </c>
      <c r="AL670" s="244"/>
      <c r="AM670" s="244"/>
      <c r="AN670" s="244"/>
      <c r="AO670" s="244"/>
      <c r="AP670" s="244"/>
    </row>
    <row r="671">
      <c r="A671" s="242" t="s">
        <v>36</v>
      </c>
      <c r="B671" s="243">
        <v>45736.97382090278</v>
      </c>
      <c r="C671" s="242" t="s">
        <v>2100</v>
      </c>
      <c r="D671" s="242" t="s">
        <v>51</v>
      </c>
      <c r="E671" s="242" t="s">
        <v>138</v>
      </c>
      <c r="F671" s="242" t="s">
        <v>65</v>
      </c>
      <c r="G671" s="242" t="s">
        <v>54</v>
      </c>
      <c r="H671" s="242" t="s">
        <v>625</v>
      </c>
      <c r="I671" s="266">
        <v>500.0</v>
      </c>
      <c r="J671" s="242" t="s">
        <v>100</v>
      </c>
      <c r="K671" s="244"/>
      <c r="L671" s="242" t="s">
        <v>2101</v>
      </c>
      <c r="M671" s="242" t="s">
        <v>71</v>
      </c>
      <c r="N671" s="242" t="s">
        <v>96</v>
      </c>
      <c r="O671" s="242" t="s">
        <v>2102</v>
      </c>
      <c r="P671" s="242" t="s">
        <v>2103</v>
      </c>
      <c r="Q671" s="242" t="s">
        <v>1471</v>
      </c>
      <c r="R671" s="242" t="s">
        <v>1552</v>
      </c>
      <c r="S671" s="242" t="s">
        <v>1557</v>
      </c>
      <c r="T671" s="242" t="s">
        <v>2104</v>
      </c>
      <c r="U671" s="248"/>
      <c r="V671" s="248"/>
      <c r="W671" s="248"/>
      <c r="X671" s="248"/>
      <c r="Y671" s="248"/>
      <c r="Z671" s="244"/>
      <c r="AA671" s="244"/>
      <c r="AB671" s="244"/>
      <c r="AC671" s="244"/>
      <c r="AD671" s="244"/>
      <c r="AE671" s="244"/>
      <c r="AF671" s="244"/>
      <c r="AG671" s="244"/>
      <c r="AH671" s="244"/>
      <c r="AI671" s="244"/>
      <c r="AJ671" s="244"/>
      <c r="AK671" s="242" t="s">
        <v>2105</v>
      </c>
      <c r="AL671" s="244"/>
      <c r="AM671" s="244"/>
      <c r="AN671" s="244"/>
      <c r="AO671" s="244"/>
      <c r="AP671" s="244"/>
    </row>
    <row r="672" ht="21.0" customHeight="1">
      <c r="A672" s="242" t="s">
        <v>36</v>
      </c>
      <c r="B672" s="243">
        <v>45738.93583993056</v>
      </c>
      <c r="C672" s="242" t="s">
        <v>111</v>
      </c>
      <c r="D672" s="242" t="s">
        <v>734</v>
      </c>
      <c r="E672" s="242" t="s">
        <v>735</v>
      </c>
      <c r="F672" s="242" t="s">
        <v>735</v>
      </c>
      <c r="G672" s="242" t="s">
        <v>735</v>
      </c>
      <c r="H672" s="242" t="s">
        <v>625</v>
      </c>
      <c r="I672" s="266">
        <v>42200.0</v>
      </c>
      <c r="J672" s="242" t="s">
        <v>100</v>
      </c>
      <c r="K672" s="267" t="s">
        <v>2106</v>
      </c>
      <c r="L672" s="247" t="s">
        <v>2107</v>
      </c>
      <c r="M672" s="242" t="s">
        <v>71</v>
      </c>
      <c r="N672" s="242" t="s">
        <v>96</v>
      </c>
      <c r="O672" s="242" t="s">
        <v>2108</v>
      </c>
      <c r="P672" s="242" t="s">
        <v>2109</v>
      </c>
      <c r="Q672" s="242" t="s">
        <v>1438</v>
      </c>
      <c r="R672" s="242" t="s">
        <v>1552</v>
      </c>
      <c r="S672" s="242" t="s">
        <v>71</v>
      </c>
      <c r="T672" s="242" t="s">
        <v>2110</v>
      </c>
      <c r="U672" s="248"/>
      <c r="V672" s="248"/>
      <c r="W672" s="248"/>
      <c r="X672" s="248"/>
      <c r="Y672" s="248"/>
      <c r="Z672" s="244"/>
      <c r="AA672" s="244"/>
      <c r="AB672" s="244"/>
      <c r="AC672" s="244"/>
      <c r="AD672" s="244"/>
      <c r="AE672" s="244"/>
      <c r="AF672" s="244"/>
      <c r="AG672" s="244"/>
      <c r="AH672" s="244"/>
      <c r="AI672" s="244"/>
      <c r="AJ672" s="244"/>
      <c r="AK672" s="242" t="s">
        <v>2111</v>
      </c>
      <c r="AL672" s="244"/>
      <c r="AM672" s="244"/>
      <c r="AN672" s="244"/>
      <c r="AO672" s="244"/>
      <c r="AP672" s="244"/>
    </row>
    <row r="673">
      <c r="A673" s="242" t="s">
        <v>36</v>
      </c>
      <c r="B673" s="243">
        <v>45739.4257379051</v>
      </c>
      <c r="C673" s="242" t="s">
        <v>166</v>
      </c>
      <c r="D673" s="242" t="s">
        <v>51</v>
      </c>
      <c r="E673" s="242" t="s">
        <v>52</v>
      </c>
      <c r="F673" s="242" t="s">
        <v>65</v>
      </c>
      <c r="G673" s="242" t="s">
        <v>41</v>
      </c>
      <c r="H673" s="242" t="s">
        <v>625</v>
      </c>
      <c r="I673" s="266">
        <v>219.0</v>
      </c>
      <c r="J673" s="242" t="s">
        <v>100</v>
      </c>
      <c r="K673" s="244"/>
      <c r="L673" s="247" t="s">
        <v>2112</v>
      </c>
      <c r="M673" s="242" t="s">
        <v>71</v>
      </c>
      <c r="N673" s="242" t="s">
        <v>96</v>
      </c>
      <c r="O673" s="242" t="s">
        <v>2113</v>
      </c>
      <c r="P673" s="242" t="s">
        <v>2114</v>
      </c>
      <c r="Q673" s="242" t="s">
        <v>1438</v>
      </c>
      <c r="R673" s="242" t="s">
        <v>1552</v>
      </c>
      <c r="S673" s="242" t="s">
        <v>71</v>
      </c>
      <c r="T673" s="242" t="s">
        <v>2115</v>
      </c>
      <c r="U673" s="248"/>
      <c r="V673" s="248"/>
      <c r="W673" s="248"/>
      <c r="X673" s="248"/>
      <c r="Y673" s="248"/>
      <c r="Z673" s="244"/>
      <c r="AA673" s="244"/>
      <c r="AB673" s="244"/>
      <c r="AC673" s="244"/>
      <c r="AD673" s="244"/>
      <c r="AE673" s="244"/>
      <c r="AF673" s="244"/>
      <c r="AG673" s="244"/>
      <c r="AH673" s="244"/>
      <c r="AI673" s="244"/>
      <c r="AJ673" s="244"/>
      <c r="AK673" s="242" t="s">
        <v>2105</v>
      </c>
      <c r="AL673" s="244"/>
      <c r="AM673" s="244"/>
      <c r="AN673" s="244"/>
      <c r="AO673" s="244"/>
      <c r="AP673" s="244"/>
    </row>
    <row r="674">
      <c r="A674" s="268" t="s">
        <v>177</v>
      </c>
      <c r="B674" s="269">
        <v>45740.51527884259</v>
      </c>
      <c r="C674" s="268" t="s">
        <v>1366</v>
      </c>
      <c r="D674" s="268" t="s">
        <v>51</v>
      </c>
      <c r="E674" s="268" t="s">
        <v>52</v>
      </c>
      <c r="F674" s="268" t="s">
        <v>65</v>
      </c>
      <c r="G674" s="268" t="s">
        <v>54</v>
      </c>
      <c r="H674" s="268" t="s">
        <v>992</v>
      </c>
      <c r="I674" s="268">
        <v>1000.0</v>
      </c>
      <c r="J674" s="268" t="s">
        <v>626</v>
      </c>
      <c r="K674" s="270" t="s">
        <v>2116</v>
      </c>
      <c r="L674" s="268" t="s">
        <v>2117</v>
      </c>
      <c r="M674" s="268" t="s">
        <v>71</v>
      </c>
      <c r="N674" s="268" t="s">
        <v>96</v>
      </c>
      <c r="O674" s="268" t="s">
        <v>2118</v>
      </c>
      <c r="P674" s="268" t="s">
        <v>2119</v>
      </c>
      <c r="Q674" s="268" t="s">
        <v>1438</v>
      </c>
      <c r="R674" s="268" t="s">
        <v>1552</v>
      </c>
      <c r="S674" s="268" t="s">
        <v>1557</v>
      </c>
      <c r="T674" s="271"/>
      <c r="U674" s="271"/>
      <c r="V674" s="271"/>
      <c r="W674" s="271"/>
      <c r="X674" s="271"/>
      <c r="Y674" s="271"/>
      <c r="Z674" s="271"/>
      <c r="AA674" s="271"/>
      <c r="AB674" s="271"/>
      <c r="AC674" s="271"/>
      <c r="AD674" s="271"/>
      <c r="AE674" s="271"/>
      <c r="AF674" s="271"/>
      <c r="AG674" s="271"/>
      <c r="AH674" s="271"/>
      <c r="AI674" s="271"/>
      <c r="AJ674" s="271"/>
      <c r="AK674" s="268" t="s">
        <v>2120</v>
      </c>
      <c r="AL674" s="271"/>
      <c r="AM674" s="271"/>
      <c r="AN674" s="271"/>
      <c r="AO674" s="271"/>
      <c r="AP674" s="271"/>
    </row>
    <row r="675">
      <c r="A675" s="242" t="s">
        <v>36</v>
      </c>
      <c r="B675" s="243">
        <v>45740.567109386575</v>
      </c>
      <c r="C675" s="242" t="s">
        <v>195</v>
      </c>
      <c r="D675" s="242" t="s">
        <v>51</v>
      </c>
      <c r="E675" s="242" t="s">
        <v>196</v>
      </c>
      <c r="F675" s="242" t="s">
        <v>80</v>
      </c>
      <c r="G675" s="242" t="s">
        <v>131</v>
      </c>
      <c r="H675" s="242" t="s">
        <v>625</v>
      </c>
      <c r="I675" s="266">
        <v>95.0</v>
      </c>
      <c r="J675" s="242" t="s">
        <v>189</v>
      </c>
      <c r="K675" s="247" t="s">
        <v>2121</v>
      </c>
      <c r="L675" s="242" t="s">
        <v>2122</v>
      </c>
      <c r="M675" s="242" t="s">
        <v>71</v>
      </c>
      <c r="N675" s="242" t="s">
        <v>96</v>
      </c>
      <c r="O675" s="242" t="s">
        <v>2123</v>
      </c>
      <c r="P675" s="246" t="s">
        <v>2124</v>
      </c>
      <c r="Q675" s="242" t="s">
        <v>1438</v>
      </c>
      <c r="R675" s="242" t="s">
        <v>1598</v>
      </c>
      <c r="S675" s="242" t="s">
        <v>71</v>
      </c>
      <c r="T675" s="244"/>
      <c r="U675" s="244"/>
      <c r="V675" s="244"/>
      <c r="W675" s="244"/>
      <c r="X675" s="244"/>
      <c r="Y675" s="244"/>
      <c r="Z675" s="244"/>
      <c r="AA675" s="244"/>
      <c r="AB675" s="244"/>
      <c r="AC675" s="244"/>
      <c r="AD675" s="244"/>
      <c r="AE675" s="244"/>
      <c r="AF675" s="244"/>
      <c r="AG675" s="244"/>
      <c r="AH675" s="244"/>
      <c r="AI675" s="244"/>
      <c r="AJ675" s="244"/>
      <c r="AK675" s="242" t="s">
        <v>2105</v>
      </c>
      <c r="AL675" s="244"/>
      <c r="AM675" s="244"/>
      <c r="AN675" s="244"/>
      <c r="AO675" s="244"/>
      <c r="AP675" s="244"/>
    </row>
    <row r="676">
      <c r="A676" s="242" t="s">
        <v>36</v>
      </c>
      <c r="B676" s="243">
        <v>45740.570410775465</v>
      </c>
      <c r="C676" s="242" t="s">
        <v>195</v>
      </c>
      <c r="D676" s="242" t="s">
        <v>51</v>
      </c>
      <c r="E676" s="242" t="s">
        <v>196</v>
      </c>
      <c r="F676" s="242" t="s">
        <v>80</v>
      </c>
      <c r="G676" s="242" t="s">
        <v>131</v>
      </c>
      <c r="H676" s="242" t="s">
        <v>625</v>
      </c>
      <c r="I676" s="266">
        <v>95.0</v>
      </c>
      <c r="J676" s="242" t="s">
        <v>189</v>
      </c>
      <c r="K676" s="245" t="s">
        <v>2125</v>
      </c>
      <c r="L676" s="242" t="s">
        <v>2126</v>
      </c>
      <c r="M676" s="242" t="s">
        <v>71</v>
      </c>
      <c r="N676" s="242" t="s">
        <v>96</v>
      </c>
      <c r="O676" s="242" t="s">
        <v>2127</v>
      </c>
      <c r="P676" s="246" t="s">
        <v>2128</v>
      </c>
      <c r="Q676" s="242" t="s">
        <v>1438</v>
      </c>
      <c r="R676" s="242" t="s">
        <v>1598</v>
      </c>
      <c r="S676" s="242" t="s">
        <v>71</v>
      </c>
      <c r="T676" s="244"/>
      <c r="U676" s="244"/>
      <c r="V676" s="244"/>
      <c r="W676" s="244"/>
      <c r="X676" s="244"/>
      <c r="Y676" s="244"/>
      <c r="Z676" s="244"/>
      <c r="AA676" s="244"/>
      <c r="AB676" s="244"/>
      <c r="AC676" s="244"/>
      <c r="AD676" s="244"/>
      <c r="AE676" s="244"/>
      <c r="AF676" s="244"/>
      <c r="AG676" s="244"/>
      <c r="AH676" s="244"/>
      <c r="AI676" s="244"/>
      <c r="AJ676" s="244"/>
      <c r="AK676" s="242" t="s">
        <v>2105</v>
      </c>
      <c r="AL676" s="244"/>
      <c r="AM676" s="244"/>
      <c r="AN676" s="244"/>
      <c r="AO676" s="244"/>
      <c r="AP676" s="244"/>
    </row>
    <row r="677">
      <c r="A677" s="242" t="s">
        <v>36</v>
      </c>
      <c r="B677" s="243">
        <v>45740.57333629629</v>
      </c>
      <c r="C677" s="242" t="s">
        <v>195</v>
      </c>
      <c r="D677" s="242" t="s">
        <v>51</v>
      </c>
      <c r="E677" s="242" t="s">
        <v>196</v>
      </c>
      <c r="F677" s="242" t="s">
        <v>80</v>
      </c>
      <c r="G677" s="242" t="s">
        <v>131</v>
      </c>
      <c r="H677" s="242" t="s">
        <v>625</v>
      </c>
      <c r="I677" s="266">
        <v>170.0</v>
      </c>
      <c r="J677" s="242" t="s">
        <v>189</v>
      </c>
      <c r="K677" s="247" t="s">
        <v>2129</v>
      </c>
      <c r="L677" s="242" t="s">
        <v>2130</v>
      </c>
      <c r="M677" s="242" t="s">
        <v>71</v>
      </c>
      <c r="N677" s="242" t="s">
        <v>96</v>
      </c>
      <c r="O677" s="242" t="s">
        <v>2131</v>
      </c>
      <c r="P677" s="246" t="s">
        <v>2132</v>
      </c>
      <c r="Q677" s="242" t="s">
        <v>1438</v>
      </c>
      <c r="R677" s="242" t="s">
        <v>1598</v>
      </c>
      <c r="S677" s="242" t="s">
        <v>71</v>
      </c>
      <c r="T677" s="244"/>
      <c r="U677" s="244"/>
      <c r="V677" s="244"/>
      <c r="W677" s="244"/>
      <c r="X677" s="244"/>
      <c r="Y677" s="244"/>
      <c r="Z677" s="244"/>
      <c r="AA677" s="244"/>
      <c r="AB677" s="244"/>
      <c r="AC677" s="244"/>
      <c r="AD677" s="244"/>
      <c r="AE677" s="244"/>
      <c r="AF677" s="244"/>
      <c r="AG677" s="244"/>
      <c r="AH677" s="244"/>
      <c r="AI677" s="244"/>
      <c r="AJ677" s="244"/>
      <c r="AK677" s="242" t="s">
        <v>2105</v>
      </c>
      <c r="AL677" s="244"/>
      <c r="AM677" s="244"/>
      <c r="AN677" s="244"/>
      <c r="AO677" s="244"/>
      <c r="AP677" s="244"/>
    </row>
    <row r="678">
      <c r="A678" s="242" t="s">
        <v>36</v>
      </c>
      <c r="B678" s="243">
        <v>45740.575784976856</v>
      </c>
      <c r="C678" s="242" t="s">
        <v>195</v>
      </c>
      <c r="D678" s="242" t="s">
        <v>51</v>
      </c>
      <c r="E678" s="242" t="s">
        <v>196</v>
      </c>
      <c r="F678" s="242" t="s">
        <v>80</v>
      </c>
      <c r="G678" s="242" t="s">
        <v>131</v>
      </c>
      <c r="H678" s="242" t="s">
        <v>625</v>
      </c>
      <c r="I678" s="266">
        <v>95.0</v>
      </c>
      <c r="J678" s="242" t="s">
        <v>189</v>
      </c>
      <c r="K678" s="245" t="s">
        <v>2133</v>
      </c>
      <c r="L678" s="242" t="s">
        <v>2134</v>
      </c>
      <c r="M678" s="242" t="s">
        <v>71</v>
      </c>
      <c r="N678" s="242" t="s">
        <v>96</v>
      </c>
      <c r="O678" s="242" t="s">
        <v>2131</v>
      </c>
      <c r="P678" s="246" t="s">
        <v>2135</v>
      </c>
      <c r="Q678" s="242" t="s">
        <v>1438</v>
      </c>
      <c r="R678" s="242" t="s">
        <v>1598</v>
      </c>
      <c r="S678" s="242" t="s">
        <v>71</v>
      </c>
      <c r="T678" s="244"/>
      <c r="U678" s="244"/>
      <c r="V678" s="244"/>
      <c r="W678" s="244"/>
      <c r="X678" s="244"/>
      <c r="Y678" s="244"/>
      <c r="Z678" s="244"/>
      <c r="AA678" s="244"/>
      <c r="AB678" s="244"/>
      <c r="AC678" s="244"/>
      <c r="AD678" s="244"/>
      <c r="AE678" s="244"/>
      <c r="AF678" s="244"/>
      <c r="AG678" s="244"/>
      <c r="AH678" s="244"/>
      <c r="AI678" s="244"/>
      <c r="AJ678" s="244"/>
      <c r="AK678" s="242" t="s">
        <v>2105</v>
      </c>
      <c r="AL678" s="244"/>
      <c r="AM678" s="244"/>
      <c r="AN678" s="244"/>
      <c r="AO678" s="244"/>
      <c r="AP678" s="244"/>
    </row>
    <row r="679">
      <c r="A679" s="242" t="s">
        <v>36</v>
      </c>
      <c r="B679" s="243">
        <v>45741.70695431713</v>
      </c>
      <c r="C679" s="242" t="s">
        <v>382</v>
      </c>
      <c r="D679" s="242" t="s">
        <v>109</v>
      </c>
      <c r="E679" s="242" t="s">
        <v>52</v>
      </c>
      <c r="F679" s="242" t="s">
        <v>65</v>
      </c>
      <c r="G679" s="242" t="s">
        <v>131</v>
      </c>
      <c r="H679" s="242" t="s">
        <v>607</v>
      </c>
      <c r="I679" s="242">
        <v>175.0</v>
      </c>
      <c r="J679" s="242" t="s">
        <v>383</v>
      </c>
      <c r="K679" s="244"/>
      <c r="L679" s="242" t="s">
        <v>2136</v>
      </c>
      <c r="M679" s="242" t="s">
        <v>71</v>
      </c>
      <c r="N679" s="242" t="s">
        <v>96</v>
      </c>
      <c r="O679" s="242" t="s">
        <v>2137</v>
      </c>
      <c r="P679" s="242" t="s">
        <v>2138</v>
      </c>
      <c r="Q679" s="242" t="s">
        <v>1438</v>
      </c>
      <c r="R679" s="242" t="s">
        <v>1552</v>
      </c>
      <c r="S679" s="242" t="s">
        <v>71</v>
      </c>
      <c r="T679" s="244"/>
      <c r="U679" s="244"/>
      <c r="V679" s="244"/>
      <c r="W679" s="244"/>
      <c r="X679" s="244"/>
      <c r="Y679" s="244"/>
      <c r="Z679" s="244"/>
      <c r="AA679" s="244"/>
      <c r="AB679" s="244"/>
      <c r="AC679" s="244"/>
      <c r="AD679" s="244"/>
      <c r="AE679" s="244"/>
      <c r="AF679" s="244"/>
      <c r="AG679" s="244"/>
      <c r="AH679" s="244"/>
      <c r="AI679" s="244"/>
      <c r="AJ679" s="244"/>
      <c r="AK679" s="242" t="s">
        <v>2139</v>
      </c>
      <c r="AL679" s="244"/>
      <c r="AM679" s="244"/>
      <c r="AN679" s="244"/>
      <c r="AO679" s="244"/>
      <c r="AP679" s="244"/>
    </row>
    <row r="680">
      <c r="A680" s="242" t="s">
        <v>36</v>
      </c>
      <c r="B680" s="243">
        <v>45748.63633741898</v>
      </c>
      <c r="C680" s="242" t="s">
        <v>986</v>
      </c>
      <c r="D680" s="242" t="s">
        <v>51</v>
      </c>
      <c r="E680" s="242" t="s">
        <v>52</v>
      </c>
      <c r="F680" s="242" t="s">
        <v>210</v>
      </c>
      <c r="G680" s="242" t="s">
        <v>54</v>
      </c>
      <c r="H680" s="242" t="s">
        <v>992</v>
      </c>
      <c r="I680" s="242" t="s">
        <v>2140</v>
      </c>
      <c r="J680" s="242" t="s">
        <v>626</v>
      </c>
      <c r="K680" s="244"/>
      <c r="L680" s="242" t="s">
        <v>2141</v>
      </c>
      <c r="M680" s="242" t="s">
        <v>71</v>
      </c>
      <c r="N680" s="242" t="s">
        <v>96</v>
      </c>
      <c r="O680" s="242" t="s">
        <v>2142</v>
      </c>
      <c r="P680" s="242" t="s">
        <v>2143</v>
      </c>
      <c r="Q680" s="242" t="s">
        <v>1438</v>
      </c>
      <c r="R680" s="242" t="s">
        <v>1552</v>
      </c>
      <c r="S680" s="242" t="s">
        <v>1557</v>
      </c>
      <c r="T680" s="242" t="s">
        <v>2144</v>
      </c>
      <c r="U680" s="248"/>
      <c r="V680" s="248"/>
      <c r="W680" s="248"/>
      <c r="X680" s="248"/>
      <c r="Y680" s="248"/>
      <c r="Z680" s="244"/>
      <c r="AA680" s="244"/>
      <c r="AB680" s="244"/>
      <c r="AC680" s="244"/>
      <c r="AD680" s="244"/>
      <c r="AE680" s="244"/>
      <c r="AF680" s="244"/>
      <c r="AG680" s="244"/>
      <c r="AH680" s="244"/>
      <c r="AI680" s="244"/>
      <c r="AJ680" s="244"/>
      <c r="AK680" s="242" t="s">
        <v>2145</v>
      </c>
      <c r="AL680" s="244"/>
      <c r="AM680" s="244"/>
      <c r="AN680" s="244"/>
      <c r="AO680" s="244"/>
      <c r="AP680" s="244"/>
    </row>
    <row r="681">
      <c r="A681" s="242" t="s">
        <v>36</v>
      </c>
      <c r="B681" s="243">
        <v>45749.28625462963</v>
      </c>
      <c r="C681" s="242" t="s">
        <v>148</v>
      </c>
      <c r="D681" s="242" t="s">
        <v>51</v>
      </c>
      <c r="E681" s="242" t="s">
        <v>52</v>
      </c>
      <c r="F681" s="242" t="s">
        <v>40</v>
      </c>
      <c r="G681" s="242" t="s">
        <v>41</v>
      </c>
      <c r="H681" s="242" t="s">
        <v>625</v>
      </c>
      <c r="I681" s="242">
        <v>329.0</v>
      </c>
      <c r="J681" s="242" t="s">
        <v>100</v>
      </c>
      <c r="K681" s="244"/>
      <c r="L681" s="247" t="s">
        <v>2146</v>
      </c>
      <c r="M681" s="242" t="s">
        <v>71</v>
      </c>
      <c r="N681" s="242" t="s">
        <v>96</v>
      </c>
      <c r="O681" s="242" t="s">
        <v>907</v>
      </c>
      <c r="P681" s="246" t="s">
        <v>2147</v>
      </c>
      <c r="Q681" s="242" t="s">
        <v>1438</v>
      </c>
      <c r="R681" s="242" t="s">
        <v>1552</v>
      </c>
      <c r="S681" s="242" t="s">
        <v>71</v>
      </c>
      <c r="T681" s="244"/>
      <c r="U681" s="244"/>
      <c r="V681" s="244"/>
      <c r="W681" s="244"/>
      <c r="X681" s="244"/>
      <c r="Y681" s="244"/>
      <c r="Z681" s="244"/>
      <c r="AA681" s="244"/>
      <c r="AB681" s="244"/>
      <c r="AC681" s="244"/>
      <c r="AD681" s="244"/>
      <c r="AE681" s="244"/>
      <c r="AF681" s="244"/>
      <c r="AG681" s="244"/>
      <c r="AH681" s="244"/>
      <c r="AI681" s="244"/>
      <c r="AJ681" s="244"/>
      <c r="AK681" s="242" t="s">
        <v>2148</v>
      </c>
      <c r="AL681" s="244"/>
      <c r="AM681" s="244"/>
      <c r="AN681" s="244"/>
      <c r="AO681" s="244"/>
      <c r="AP681" s="244"/>
    </row>
    <row r="682">
      <c r="A682" s="242" t="s">
        <v>36</v>
      </c>
      <c r="B682" s="243">
        <v>45749.35389478009</v>
      </c>
      <c r="C682" s="242" t="s">
        <v>130</v>
      </c>
      <c r="D682" s="242" t="s">
        <v>51</v>
      </c>
      <c r="E682" s="242" t="s">
        <v>52</v>
      </c>
      <c r="F682" s="242" t="s">
        <v>53</v>
      </c>
      <c r="G682" s="242" t="s">
        <v>131</v>
      </c>
      <c r="H682" s="242" t="s">
        <v>625</v>
      </c>
      <c r="I682" s="266">
        <v>466.0</v>
      </c>
      <c r="J682" s="242" t="s">
        <v>100</v>
      </c>
      <c r="K682" s="244"/>
      <c r="L682" s="242" t="s">
        <v>2149</v>
      </c>
      <c r="M682" s="242" t="s">
        <v>71</v>
      </c>
      <c r="N682" s="242" t="s">
        <v>68</v>
      </c>
      <c r="O682" s="242" t="s">
        <v>1965</v>
      </c>
      <c r="P682" s="246" t="s">
        <v>2150</v>
      </c>
      <c r="Q682" s="242" t="s">
        <v>1438</v>
      </c>
      <c r="R682" s="242" t="s">
        <v>1552</v>
      </c>
      <c r="S682" s="242" t="s">
        <v>71</v>
      </c>
      <c r="T682" s="242" t="s">
        <v>2151</v>
      </c>
      <c r="U682" s="248"/>
      <c r="V682" s="248"/>
      <c r="W682" s="248"/>
      <c r="X682" s="248"/>
      <c r="Y682" s="248"/>
      <c r="Z682" s="244"/>
      <c r="AA682" s="244"/>
      <c r="AB682" s="244"/>
      <c r="AC682" s="244"/>
      <c r="AD682" s="244"/>
      <c r="AE682" s="244"/>
      <c r="AF682" s="244"/>
      <c r="AG682" s="244"/>
      <c r="AH682" s="244"/>
      <c r="AI682" s="244"/>
      <c r="AJ682" s="244"/>
      <c r="AK682" s="242" t="s">
        <v>2148</v>
      </c>
      <c r="AL682" s="244"/>
      <c r="AM682" s="244"/>
      <c r="AN682" s="244"/>
      <c r="AO682" s="244"/>
      <c r="AP682" s="244"/>
    </row>
    <row r="683">
      <c r="A683" s="242" t="s">
        <v>36</v>
      </c>
      <c r="B683" s="243">
        <v>45749.7224634375</v>
      </c>
      <c r="C683" s="242" t="s">
        <v>1706</v>
      </c>
      <c r="D683" s="242" t="s">
        <v>51</v>
      </c>
      <c r="E683" s="242" t="s">
        <v>138</v>
      </c>
      <c r="F683" s="242" t="s">
        <v>65</v>
      </c>
      <c r="G683" s="242" t="s">
        <v>54</v>
      </c>
      <c r="H683" s="242" t="s">
        <v>625</v>
      </c>
      <c r="I683" s="266">
        <v>466.0</v>
      </c>
      <c r="J683" s="242" t="s">
        <v>100</v>
      </c>
      <c r="K683" s="244"/>
      <c r="L683" s="247" t="s">
        <v>2152</v>
      </c>
      <c r="M683" s="242" t="s">
        <v>71</v>
      </c>
      <c r="N683" s="242" t="s">
        <v>68</v>
      </c>
      <c r="O683" s="242" t="s">
        <v>1708</v>
      </c>
      <c r="P683" s="246" t="s">
        <v>2153</v>
      </c>
      <c r="Q683" s="242" t="s">
        <v>1438</v>
      </c>
      <c r="R683" s="242" t="s">
        <v>1552</v>
      </c>
      <c r="S683" s="242" t="s">
        <v>71</v>
      </c>
      <c r="T683" s="242" t="s">
        <v>2154</v>
      </c>
      <c r="U683" s="248"/>
      <c r="V683" s="248"/>
      <c r="W683" s="248"/>
      <c r="X683" s="248"/>
      <c r="Y683" s="248"/>
      <c r="Z683" s="244"/>
      <c r="AA683" s="244"/>
      <c r="AB683" s="244"/>
      <c r="AC683" s="244"/>
      <c r="AD683" s="244"/>
      <c r="AE683" s="244"/>
      <c r="AF683" s="244"/>
      <c r="AG683" s="244"/>
      <c r="AH683" s="244"/>
      <c r="AI683" s="244"/>
      <c r="AJ683" s="244"/>
      <c r="AK683" s="242" t="s">
        <v>2155</v>
      </c>
      <c r="AL683" s="244"/>
      <c r="AM683" s="244"/>
      <c r="AN683" s="244"/>
      <c r="AO683" s="244"/>
      <c r="AP683" s="244"/>
    </row>
    <row r="684">
      <c r="A684" s="242" t="s">
        <v>36</v>
      </c>
      <c r="B684" s="243">
        <v>45749.83432675926</v>
      </c>
      <c r="C684" s="242" t="s">
        <v>1060</v>
      </c>
      <c r="D684" s="242" t="s">
        <v>109</v>
      </c>
      <c r="E684" s="242" t="s">
        <v>52</v>
      </c>
      <c r="F684" s="242" t="s">
        <v>65</v>
      </c>
      <c r="G684" s="242" t="s">
        <v>54</v>
      </c>
      <c r="H684" s="242" t="s">
        <v>607</v>
      </c>
      <c r="I684" s="266">
        <v>500.0</v>
      </c>
      <c r="J684" s="242" t="s">
        <v>383</v>
      </c>
      <c r="K684" s="244"/>
      <c r="L684" s="242" t="s">
        <v>2156</v>
      </c>
      <c r="M684" s="242" t="s">
        <v>71</v>
      </c>
      <c r="N684" s="242" t="s">
        <v>96</v>
      </c>
      <c r="O684" s="242" t="s">
        <v>1062</v>
      </c>
      <c r="P684" s="246" t="s">
        <v>2157</v>
      </c>
      <c r="Q684" s="242" t="s">
        <v>1438</v>
      </c>
      <c r="R684" s="242" t="s">
        <v>1552</v>
      </c>
      <c r="S684" s="242" t="s">
        <v>1557</v>
      </c>
      <c r="T684" s="242" t="s">
        <v>2158</v>
      </c>
      <c r="U684" s="248"/>
      <c r="V684" s="248"/>
      <c r="W684" s="248"/>
      <c r="X684" s="248"/>
      <c r="Y684" s="248"/>
      <c r="Z684" s="244"/>
      <c r="AA684" s="244"/>
      <c r="AB684" s="244"/>
      <c r="AC684" s="244"/>
      <c r="AD684" s="244"/>
      <c r="AE684" s="244"/>
      <c r="AF684" s="244"/>
      <c r="AG684" s="244"/>
      <c r="AH684" s="244"/>
      <c r="AI684" s="244"/>
      <c r="AJ684" s="244"/>
      <c r="AK684" s="242" t="s">
        <v>2159</v>
      </c>
      <c r="AL684" s="244"/>
      <c r="AM684" s="244"/>
      <c r="AN684" s="244"/>
      <c r="AO684" s="244"/>
      <c r="AP684" s="244"/>
    </row>
    <row r="685">
      <c r="A685" s="242" t="s">
        <v>36</v>
      </c>
      <c r="B685" s="243">
        <v>45750.63474446759</v>
      </c>
      <c r="C685" s="242" t="s">
        <v>1994</v>
      </c>
      <c r="D685" s="242" t="s">
        <v>142</v>
      </c>
      <c r="E685" s="242" t="s">
        <v>138</v>
      </c>
      <c r="F685" s="242" t="s">
        <v>139</v>
      </c>
      <c r="G685" s="242" t="s">
        <v>41</v>
      </c>
      <c r="H685" s="242" t="s">
        <v>625</v>
      </c>
      <c r="I685" s="266">
        <v>299.0</v>
      </c>
      <c r="J685" s="242" t="s">
        <v>100</v>
      </c>
      <c r="K685" s="244"/>
      <c r="L685" s="247" t="s">
        <v>2160</v>
      </c>
      <c r="M685" s="242" t="s">
        <v>71</v>
      </c>
      <c r="N685" s="242" t="s">
        <v>96</v>
      </c>
      <c r="O685" s="242" t="s">
        <v>1996</v>
      </c>
      <c r="P685" s="246" t="s">
        <v>1981</v>
      </c>
      <c r="Q685" s="242" t="s">
        <v>1438</v>
      </c>
      <c r="R685" s="242" t="s">
        <v>1552</v>
      </c>
      <c r="S685" s="242" t="s">
        <v>71</v>
      </c>
      <c r="T685" s="242" t="s">
        <v>2161</v>
      </c>
      <c r="U685" s="248"/>
      <c r="V685" s="248"/>
      <c r="W685" s="248"/>
      <c r="X685" s="248"/>
      <c r="Y685" s="248"/>
      <c r="Z685" s="244"/>
      <c r="AA685" s="244"/>
      <c r="AB685" s="244"/>
      <c r="AC685" s="244"/>
      <c r="AD685" s="244"/>
      <c r="AE685" s="244"/>
      <c r="AF685" s="244"/>
      <c r="AG685" s="244"/>
      <c r="AH685" s="244"/>
      <c r="AI685" s="244"/>
      <c r="AJ685" s="244"/>
      <c r="AK685" s="242" t="s">
        <v>2155</v>
      </c>
      <c r="AL685" s="244"/>
      <c r="AM685" s="244"/>
      <c r="AN685" s="244"/>
      <c r="AO685" s="244"/>
      <c r="AP685" s="244"/>
    </row>
    <row r="686" ht="15.0" customHeight="1">
      <c r="A686" s="272" t="s">
        <v>2162</v>
      </c>
      <c r="B686" s="273">
        <v>45750.97965288194</v>
      </c>
      <c r="C686" s="272" t="s">
        <v>2163</v>
      </c>
      <c r="D686" s="272" t="s">
        <v>317</v>
      </c>
      <c r="E686" s="272" t="s">
        <v>138</v>
      </c>
      <c r="F686" s="272" t="s">
        <v>65</v>
      </c>
      <c r="G686" s="272" t="s">
        <v>54</v>
      </c>
      <c r="H686" s="272" t="s">
        <v>625</v>
      </c>
      <c r="I686" s="272" t="s">
        <v>2164</v>
      </c>
      <c r="J686" s="272" t="s">
        <v>114</v>
      </c>
      <c r="K686" s="274"/>
      <c r="L686" s="272" t="s">
        <v>2165</v>
      </c>
      <c r="M686" s="272" t="s">
        <v>71</v>
      </c>
      <c r="N686" s="272" t="s">
        <v>96</v>
      </c>
      <c r="O686" s="272" t="s">
        <v>2166</v>
      </c>
      <c r="P686" s="272" t="s">
        <v>2167</v>
      </c>
      <c r="Q686" s="272" t="s">
        <v>1471</v>
      </c>
      <c r="R686" s="272" t="s">
        <v>1552</v>
      </c>
      <c r="S686" s="272" t="s">
        <v>71</v>
      </c>
      <c r="T686" s="272" t="s">
        <v>2023</v>
      </c>
      <c r="U686" s="275"/>
      <c r="V686" s="275"/>
      <c r="W686" s="275"/>
      <c r="X686" s="275"/>
      <c r="Y686" s="275"/>
      <c r="Z686" s="274"/>
      <c r="AA686" s="274"/>
      <c r="AB686" s="274"/>
      <c r="AC686" s="274"/>
      <c r="AD686" s="274"/>
      <c r="AE686" s="274"/>
      <c r="AF686" s="274"/>
      <c r="AG686" s="274"/>
      <c r="AH686" s="274"/>
      <c r="AI686" s="274"/>
      <c r="AJ686" s="274"/>
      <c r="AK686" s="272" t="s">
        <v>2168</v>
      </c>
      <c r="AL686" s="274"/>
      <c r="AM686" s="274"/>
      <c r="AN686" s="274"/>
      <c r="AO686" s="274"/>
      <c r="AP686" s="274"/>
    </row>
    <row r="687">
      <c r="A687" s="242" t="s">
        <v>36</v>
      </c>
      <c r="B687" s="243">
        <v>45754.46311319445</v>
      </c>
      <c r="C687" s="242" t="s">
        <v>1041</v>
      </c>
      <c r="D687" s="242" t="s">
        <v>51</v>
      </c>
      <c r="E687" s="242" t="s">
        <v>52</v>
      </c>
      <c r="F687" s="242" t="s">
        <v>65</v>
      </c>
      <c r="G687" s="242" t="s">
        <v>54</v>
      </c>
      <c r="H687" s="242" t="s">
        <v>625</v>
      </c>
      <c r="I687" s="242" t="s">
        <v>2169</v>
      </c>
      <c r="J687" s="242" t="s">
        <v>189</v>
      </c>
      <c r="K687" s="244"/>
      <c r="L687" s="242" t="s">
        <v>2170</v>
      </c>
      <c r="M687" s="242" t="s">
        <v>71</v>
      </c>
      <c r="N687" s="242" t="s">
        <v>96</v>
      </c>
      <c r="O687" s="242" t="s">
        <v>2171</v>
      </c>
      <c r="P687" s="242" t="s">
        <v>2172</v>
      </c>
      <c r="Q687" s="242" t="s">
        <v>1471</v>
      </c>
      <c r="R687" s="242" t="s">
        <v>1552</v>
      </c>
      <c r="S687" s="242" t="s">
        <v>1557</v>
      </c>
      <c r="T687" s="242" t="s">
        <v>2173</v>
      </c>
      <c r="U687" s="248"/>
      <c r="V687" s="248"/>
      <c r="W687" s="248"/>
      <c r="X687" s="248"/>
      <c r="Y687" s="248"/>
      <c r="Z687" s="244"/>
      <c r="AA687" s="244"/>
      <c r="AB687" s="244"/>
      <c r="AC687" s="244"/>
      <c r="AD687" s="244"/>
      <c r="AE687" s="244"/>
      <c r="AF687" s="244"/>
      <c r="AG687" s="244"/>
      <c r="AH687" s="244"/>
      <c r="AI687" s="244"/>
      <c r="AJ687" s="244"/>
      <c r="AK687" s="242" t="s">
        <v>2174</v>
      </c>
      <c r="AL687" s="244"/>
      <c r="AM687" s="244"/>
      <c r="AN687" s="244"/>
      <c r="AO687" s="244"/>
      <c r="AP687" s="244"/>
    </row>
    <row r="688">
      <c r="A688" s="242" t="s">
        <v>36</v>
      </c>
      <c r="B688" s="243">
        <v>45754.659594745375</v>
      </c>
      <c r="C688" s="242" t="s">
        <v>366</v>
      </c>
      <c r="D688" s="242" t="s">
        <v>142</v>
      </c>
      <c r="E688" s="242" t="s">
        <v>52</v>
      </c>
      <c r="F688" s="242" t="s">
        <v>65</v>
      </c>
      <c r="G688" s="242" t="s">
        <v>54</v>
      </c>
      <c r="H688" s="242" t="s">
        <v>625</v>
      </c>
      <c r="I688" s="242">
        <v>375.0</v>
      </c>
      <c r="J688" s="242" t="s">
        <v>102</v>
      </c>
      <c r="K688" s="245" t="s">
        <v>2175</v>
      </c>
      <c r="L688" s="242" t="s">
        <v>2176</v>
      </c>
      <c r="M688" s="242" t="s">
        <v>71</v>
      </c>
      <c r="N688" s="242" t="s">
        <v>96</v>
      </c>
      <c r="O688" s="242" t="s">
        <v>2177</v>
      </c>
      <c r="P688" s="242" t="s">
        <v>2178</v>
      </c>
      <c r="Q688" s="242" t="s">
        <v>1438</v>
      </c>
      <c r="R688" s="242" t="s">
        <v>1552</v>
      </c>
      <c r="S688" s="242" t="s">
        <v>71</v>
      </c>
      <c r="T688" s="244"/>
      <c r="U688" s="244"/>
      <c r="V688" s="244"/>
      <c r="W688" s="244"/>
      <c r="X688" s="244"/>
      <c r="Y688" s="244"/>
      <c r="Z688" s="244"/>
      <c r="AA688" s="244"/>
      <c r="AB688" s="244"/>
      <c r="AC688" s="244"/>
      <c r="AD688" s="244"/>
      <c r="AE688" s="244"/>
      <c r="AF688" s="244"/>
      <c r="AG688" s="244"/>
      <c r="AH688" s="244"/>
      <c r="AI688" s="244"/>
      <c r="AJ688" s="244"/>
      <c r="AK688" s="242" t="s">
        <v>2174</v>
      </c>
      <c r="AL688" s="244"/>
      <c r="AM688" s="244"/>
      <c r="AN688" s="244"/>
      <c r="AO688" s="244"/>
      <c r="AP688" s="244"/>
    </row>
    <row r="689">
      <c r="A689" s="242" t="s">
        <v>36</v>
      </c>
      <c r="B689" s="243">
        <v>45755.34313144676</v>
      </c>
      <c r="C689" s="242" t="s">
        <v>2179</v>
      </c>
      <c r="D689" s="242" t="s">
        <v>51</v>
      </c>
      <c r="E689" s="242" t="s">
        <v>52</v>
      </c>
      <c r="F689" s="242" t="s">
        <v>65</v>
      </c>
      <c r="G689" s="242" t="s">
        <v>54</v>
      </c>
      <c r="H689" s="242" t="s">
        <v>607</v>
      </c>
      <c r="I689" s="242">
        <v>89.99</v>
      </c>
      <c r="J689" s="242" t="s">
        <v>446</v>
      </c>
      <c r="K689" s="247" t="s">
        <v>2180</v>
      </c>
      <c r="L689" s="242" t="s">
        <v>2181</v>
      </c>
      <c r="M689" s="242" t="s">
        <v>71</v>
      </c>
      <c r="N689" s="242" t="s">
        <v>96</v>
      </c>
      <c r="O689" s="242" t="s">
        <v>2182</v>
      </c>
      <c r="P689" s="242" t="s">
        <v>2183</v>
      </c>
      <c r="Q689" s="242" t="s">
        <v>1438</v>
      </c>
      <c r="R689" s="242" t="s">
        <v>1598</v>
      </c>
      <c r="S689" s="242" t="s">
        <v>71</v>
      </c>
      <c r="T689" s="244"/>
      <c r="U689" s="244"/>
      <c r="V689" s="244"/>
      <c r="W689" s="244"/>
      <c r="X689" s="244"/>
      <c r="Y689" s="244"/>
      <c r="Z689" s="244"/>
      <c r="AA689" s="244"/>
      <c r="AB689" s="244"/>
      <c r="AC689" s="244"/>
      <c r="AD689" s="244"/>
      <c r="AE689" s="244"/>
      <c r="AF689" s="244"/>
      <c r="AG689" s="244"/>
      <c r="AH689" s="244"/>
      <c r="AI689" s="244"/>
      <c r="AJ689" s="244"/>
      <c r="AK689" s="242" t="s">
        <v>2174</v>
      </c>
      <c r="AL689" s="244"/>
      <c r="AM689" s="244"/>
      <c r="AN689" s="244"/>
      <c r="AO689" s="244"/>
      <c r="AP689" s="244"/>
    </row>
    <row r="690">
      <c r="A690" s="242" t="s">
        <v>36</v>
      </c>
      <c r="B690" s="243">
        <v>45755.34947743056</v>
      </c>
      <c r="C690" s="242" t="s">
        <v>134</v>
      </c>
      <c r="D690" s="242" t="s">
        <v>51</v>
      </c>
      <c r="E690" s="242" t="s">
        <v>52</v>
      </c>
      <c r="F690" s="242" t="s">
        <v>65</v>
      </c>
      <c r="G690" s="242" t="s">
        <v>54</v>
      </c>
      <c r="H690" s="242" t="s">
        <v>1098</v>
      </c>
      <c r="I690" s="242" t="s">
        <v>2184</v>
      </c>
      <c r="J690" s="242" t="s">
        <v>43</v>
      </c>
      <c r="K690" s="244"/>
      <c r="L690" s="244"/>
      <c r="M690" s="242" t="s">
        <v>71</v>
      </c>
      <c r="N690" s="242" t="s">
        <v>68</v>
      </c>
      <c r="O690" s="242" t="s">
        <v>2185</v>
      </c>
      <c r="P690" s="246" t="s">
        <v>1978</v>
      </c>
      <c r="Q690" s="242" t="s">
        <v>1438</v>
      </c>
      <c r="R690" s="242" t="s">
        <v>1598</v>
      </c>
      <c r="S690" s="242" t="s">
        <v>1557</v>
      </c>
      <c r="T690" s="242" t="s">
        <v>2186</v>
      </c>
      <c r="U690" s="244"/>
      <c r="V690" s="244"/>
      <c r="W690" s="244"/>
      <c r="X690" s="244"/>
      <c r="Y690" s="244"/>
      <c r="Z690" s="244"/>
      <c r="AA690" s="244"/>
      <c r="AB690" s="244"/>
      <c r="AC690" s="244"/>
      <c r="AD690" s="244"/>
      <c r="AE690" s="244"/>
      <c r="AF690" s="244"/>
      <c r="AG690" s="244"/>
      <c r="AH690" s="244"/>
      <c r="AI690" s="244"/>
      <c r="AJ690" s="244"/>
      <c r="AK690" s="242" t="s">
        <v>2174</v>
      </c>
      <c r="AL690" s="244"/>
      <c r="AM690" s="244"/>
      <c r="AN690" s="244"/>
      <c r="AO690" s="244"/>
      <c r="AP690" s="244"/>
    </row>
    <row r="691">
      <c r="A691" s="242" t="s">
        <v>36</v>
      </c>
      <c r="B691" s="243">
        <v>45755.55003653935</v>
      </c>
      <c r="C691" s="242" t="s">
        <v>1072</v>
      </c>
      <c r="D691" s="242" t="s">
        <v>51</v>
      </c>
      <c r="E691" s="242" t="s">
        <v>52</v>
      </c>
      <c r="F691" s="242" t="s">
        <v>40</v>
      </c>
      <c r="G691" s="242" t="s">
        <v>54</v>
      </c>
      <c r="H691" s="242" t="s">
        <v>1098</v>
      </c>
      <c r="I691" s="242" t="s">
        <v>2187</v>
      </c>
      <c r="J691" s="242" t="s">
        <v>102</v>
      </c>
      <c r="K691" s="244"/>
      <c r="L691" s="244"/>
      <c r="M691" s="242" t="s">
        <v>71</v>
      </c>
      <c r="N691" s="242" t="s">
        <v>96</v>
      </c>
      <c r="O691" s="242" t="s">
        <v>2188</v>
      </c>
      <c r="P691" s="246" t="s">
        <v>2157</v>
      </c>
      <c r="Q691" s="242" t="s">
        <v>1438</v>
      </c>
      <c r="R691" s="242" t="s">
        <v>1552</v>
      </c>
      <c r="S691" s="242" t="s">
        <v>1557</v>
      </c>
      <c r="T691" s="242" t="s">
        <v>2189</v>
      </c>
      <c r="U691" s="244"/>
      <c r="V691" s="244"/>
      <c r="W691" s="244"/>
      <c r="X691" s="244"/>
      <c r="Y691" s="244"/>
      <c r="Z691" s="244"/>
      <c r="AA691" s="244"/>
      <c r="AB691" s="244"/>
      <c r="AC691" s="244"/>
      <c r="AD691" s="244"/>
      <c r="AE691" s="244"/>
      <c r="AF691" s="244"/>
      <c r="AG691" s="244"/>
      <c r="AH691" s="244"/>
      <c r="AI691" s="244"/>
      <c r="AJ691" s="244"/>
      <c r="AK691" s="242" t="s">
        <v>2174</v>
      </c>
      <c r="AL691" s="244"/>
      <c r="AM691" s="244"/>
      <c r="AN691" s="244"/>
      <c r="AO691" s="244"/>
      <c r="AP691" s="244"/>
    </row>
    <row r="692">
      <c r="A692" s="242" t="s">
        <v>36</v>
      </c>
      <c r="B692" s="243">
        <v>45755.589988611115</v>
      </c>
      <c r="C692" s="242" t="s">
        <v>1366</v>
      </c>
      <c r="D692" s="242" t="s">
        <v>51</v>
      </c>
      <c r="E692" s="242" t="s">
        <v>52</v>
      </c>
      <c r="F692" s="242" t="s">
        <v>65</v>
      </c>
      <c r="G692" s="242" t="s">
        <v>54</v>
      </c>
      <c r="H692" s="242" t="s">
        <v>992</v>
      </c>
      <c r="I692" s="242">
        <v>2475.0</v>
      </c>
      <c r="J692" s="242" t="s">
        <v>626</v>
      </c>
      <c r="K692" s="245" t="s">
        <v>2190</v>
      </c>
      <c r="L692" s="242" t="s">
        <v>2117</v>
      </c>
      <c r="M692" s="242" t="s">
        <v>71</v>
      </c>
      <c r="N692" s="242" t="s">
        <v>96</v>
      </c>
      <c r="O692" s="242" t="s">
        <v>2118</v>
      </c>
      <c r="P692" s="242" t="s">
        <v>2191</v>
      </c>
      <c r="Q692" s="242" t="s">
        <v>1438</v>
      </c>
      <c r="R692" s="242" t="s">
        <v>1552</v>
      </c>
      <c r="S692" s="242" t="s">
        <v>1557</v>
      </c>
      <c r="T692" s="244"/>
      <c r="U692" s="244"/>
      <c r="V692" s="244"/>
      <c r="W692" s="244"/>
      <c r="X692" s="244"/>
      <c r="Y692" s="244"/>
      <c r="Z692" s="244"/>
      <c r="AA692" s="244"/>
      <c r="AB692" s="244"/>
      <c r="AC692" s="244"/>
      <c r="AD692" s="244"/>
      <c r="AE692" s="244"/>
      <c r="AF692" s="244"/>
      <c r="AG692" s="244"/>
      <c r="AH692" s="244"/>
      <c r="AI692" s="244"/>
      <c r="AJ692" s="244"/>
      <c r="AK692" s="242" t="s">
        <v>2174</v>
      </c>
      <c r="AL692" s="244"/>
      <c r="AM692" s="244"/>
      <c r="AN692" s="244"/>
      <c r="AO692" s="244"/>
      <c r="AP692" s="244"/>
    </row>
    <row r="693">
      <c r="A693" s="242" t="s">
        <v>36</v>
      </c>
      <c r="B693" s="243">
        <v>45755.66237627315</v>
      </c>
      <c r="C693" s="242" t="s">
        <v>500</v>
      </c>
      <c r="D693" s="242" t="s">
        <v>389</v>
      </c>
      <c r="E693" s="242" t="s">
        <v>52</v>
      </c>
      <c r="F693" s="242" t="s">
        <v>40</v>
      </c>
      <c r="G693" s="242" t="s">
        <v>131</v>
      </c>
      <c r="H693" s="242" t="s">
        <v>607</v>
      </c>
      <c r="I693" s="266">
        <v>105.0</v>
      </c>
      <c r="J693" s="242" t="s">
        <v>383</v>
      </c>
      <c r="K693" s="247" t="s">
        <v>2192</v>
      </c>
      <c r="L693" s="242" t="s">
        <v>2193</v>
      </c>
      <c r="M693" s="242" t="s">
        <v>71</v>
      </c>
      <c r="N693" s="242" t="s">
        <v>96</v>
      </c>
      <c r="O693" s="242" t="s">
        <v>1570</v>
      </c>
      <c r="P693" s="246" t="s">
        <v>2194</v>
      </c>
      <c r="Q693" s="242" t="s">
        <v>1438</v>
      </c>
      <c r="R693" s="242" t="s">
        <v>1552</v>
      </c>
      <c r="S693" s="242" t="s">
        <v>1557</v>
      </c>
      <c r="T693" s="242" t="s">
        <v>2195</v>
      </c>
      <c r="U693" s="244"/>
      <c r="V693" s="244"/>
      <c r="W693" s="244"/>
      <c r="X693" s="244"/>
      <c r="Y693" s="244"/>
      <c r="Z693" s="244"/>
      <c r="AA693" s="244"/>
      <c r="AB693" s="244"/>
      <c r="AC693" s="244"/>
      <c r="AD693" s="244"/>
      <c r="AE693" s="244"/>
      <c r="AF693" s="244"/>
      <c r="AG693" s="244"/>
      <c r="AH693" s="244"/>
      <c r="AI693" s="244"/>
      <c r="AJ693" s="244"/>
      <c r="AK693" s="242" t="s">
        <v>2174</v>
      </c>
      <c r="AL693" s="244"/>
      <c r="AM693" s="244"/>
      <c r="AN693" s="244"/>
      <c r="AO693" s="244"/>
      <c r="AP693" s="244"/>
    </row>
    <row r="694">
      <c r="A694" s="242" t="s">
        <v>36</v>
      </c>
      <c r="B694" s="243">
        <v>45756.52382663194</v>
      </c>
      <c r="C694" s="242" t="s">
        <v>2179</v>
      </c>
      <c r="D694" s="242" t="s">
        <v>51</v>
      </c>
      <c r="E694" s="242" t="s">
        <v>52</v>
      </c>
      <c r="F694" s="242" t="s">
        <v>65</v>
      </c>
      <c r="G694" s="242" t="s">
        <v>54</v>
      </c>
      <c r="H694" s="242" t="s">
        <v>625</v>
      </c>
      <c r="I694" s="242" t="s">
        <v>2196</v>
      </c>
      <c r="J694" s="242" t="s">
        <v>446</v>
      </c>
      <c r="K694" s="245" t="s">
        <v>2197</v>
      </c>
      <c r="L694" s="247" t="s">
        <v>2198</v>
      </c>
      <c r="M694" s="242" t="s">
        <v>71</v>
      </c>
      <c r="N694" s="242" t="s">
        <v>96</v>
      </c>
      <c r="O694" s="242" t="s">
        <v>2199</v>
      </c>
      <c r="P694" s="242" t="s">
        <v>2200</v>
      </c>
      <c r="Q694" s="242" t="s">
        <v>1471</v>
      </c>
      <c r="R694" s="242" t="s">
        <v>1552</v>
      </c>
      <c r="S694" s="242" t="s">
        <v>71</v>
      </c>
      <c r="T694" s="244"/>
      <c r="U694" s="244"/>
      <c r="V694" s="244"/>
      <c r="W694" s="244"/>
      <c r="X694" s="244"/>
      <c r="Y694" s="244"/>
      <c r="Z694" s="244"/>
      <c r="AA694" s="244"/>
      <c r="AB694" s="244"/>
      <c r="AC694" s="244"/>
      <c r="AD694" s="244"/>
      <c r="AE694" s="244"/>
      <c r="AF694" s="244"/>
      <c r="AG694" s="244"/>
      <c r="AH694" s="244"/>
      <c r="AI694" s="244"/>
      <c r="AJ694" s="244"/>
      <c r="AK694" s="242" t="s">
        <v>2174</v>
      </c>
      <c r="AL694" s="244"/>
      <c r="AM694" s="244"/>
      <c r="AN694" s="244"/>
      <c r="AO694" s="244"/>
      <c r="AP694" s="244"/>
    </row>
    <row r="695" ht="13.5" customHeight="1">
      <c r="A695" s="242" t="s">
        <v>36</v>
      </c>
      <c r="B695" s="243">
        <v>45756.56035976852</v>
      </c>
      <c r="C695" s="242" t="s">
        <v>741</v>
      </c>
      <c r="D695" s="242" t="s">
        <v>51</v>
      </c>
      <c r="E695" s="242" t="s">
        <v>138</v>
      </c>
      <c r="F695" s="242" t="s">
        <v>65</v>
      </c>
      <c r="G695" s="242" t="s">
        <v>54</v>
      </c>
      <c r="H695" s="242" t="s">
        <v>625</v>
      </c>
      <c r="I695" s="264">
        <v>4200.0</v>
      </c>
      <c r="J695" s="242" t="s">
        <v>48</v>
      </c>
      <c r="K695" s="244"/>
      <c r="L695" s="247" t="s">
        <v>2201</v>
      </c>
      <c r="M695" s="242" t="s">
        <v>71</v>
      </c>
      <c r="N695" s="242" t="s">
        <v>96</v>
      </c>
      <c r="O695" s="242" t="s">
        <v>743</v>
      </c>
      <c r="P695" s="242" t="s">
        <v>2202</v>
      </c>
      <c r="Q695" s="242" t="s">
        <v>1471</v>
      </c>
      <c r="R695" s="242" t="s">
        <v>1552</v>
      </c>
      <c r="S695" s="242" t="s">
        <v>1621</v>
      </c>
      <c r="T695" s="242" t="s">
        <v>2203</v>
      </c>
      <c r="U695" s="244"/>
      <c r="V695" s="244"/>
      <c r="W695" s="244"/>
      <c r="X695" s="244"/>
      <c r="Y695" s="244"/>
      <c r="Z695" s="244"/>
      <c r="AA695" s="244"/>
      <c r="AB695" s="244"/>
      <c r="AC695" s="244"/>
      <c r="AD695" s="244"/>
      <c r="AE695" s="244"/>
      <c r="AF695" s="244"/>
      <c r="AG695" s="244"/>
      <c r="AH695" s="244"/>
      <c r="AI695" s="244"/>
      <c r="AJ695" s="244"/>
      <c r="AK695" s="242" t="s">
        <v>2204</v>
      </c>
      <c r="AL695" s="244"/>
      <c r="AM695" s="244"/>
      <c r="AN695" s="244"/>
      <c r="AO695" s="244"/>
      <c r="AP695" s="244"/>
    </row>
    <row r="696">
      <c r="A696" s="242" t="s">
        <v>36</v>
      </c>
      <c r="B696" s="243">
        <v>45756.57008452546</v>
      </c>
      <c r="C696" s="242" t="s">
        <v>2205</v>
      </c>
      <c r="D696" s="242" t="s">
        <v>51</v>
      </c>
      <c r="E696" s="242" t="s">
        <v>149</v>
      </c>
      <c r="F696" s="242" t="s">
        <v>80</v>
      </c>
      <c r="G696" s="242" t="s">
        <v>131</v>
      </c>
      <c r="H696" s="242" t="s">
        <v>607</v>
      </c>
      <c r="I696" s="242">
        <v>175.0</v>
      </c>
      <c r="J696" s="242" t="s">
        <v>514</v>
      </c>
      <c r="K696" s="244"/>
      <c r="L696" s="242" t="s">
        <v>2206</v>
      </c>
      <c r="M696" s="242" t="s">
        <v>71</v>
      </c>
      <c r="N696" s="242" t="s">
        <v>96</v>
      </c>
      <c r="O696" s="242" t="s">
        <v>2207</v>
      </c>
      <c r="P696" s="244"/>
      <c r="Q696" s="242" t="s">
        <v>1438</v>
      </c>
      <c r="R696" s="242" t="s">
        <v>1552</v>
      </c>
      <c r="S696" s="242" t="s">
        <v>1621</v>
      </c>
      <c r="T696" s="244"/>
      <c r="U696" s="244"/>
      <c r="V696" s="244"/>
      <c r="W696" s="244"/>
      <c r="X696" s="244"/>
      <c r="Y696" s="244"/>
      <c r="Z696" s="244"/>
      <c r="AA696" s="244"/>
      <c r="AB696" s="244"/>
      <c r="AC696" s="244"/>
      <c r="AD696" s="244"/>
      <c r="AE696" s="244"/>
      <c r="AF696" s="244"/>
      <c r="AG696" s="244"/>
      <c r="AH696" s="244"/>
      <c r="AI696" s="244"/>
      <c r="AJ696" s="244"/>
      <c r="AK696" s="242" t="s">
        <v>2174</v>
      </c>
      <c r="AL696" s="244"/>
      <c r="AM696" s="244"/>
      <c r="AN696" s="244"/>
      <c r="AO696" s="244"/>
      <c r="AP696" s="244"/>
    </row>
    <row r="697">
      <c r="A697" s="242" t="s">
        <v>36</v>
      </c>
      <c r="B697" s="243">
        <v>45757.46974616898</v>
      </c>
      <c r="C697" s="242" t="s">
        <v>574</v>
      </c>
      <c r="D697" s="242" t="s">
        <v>142</v>
      </c>
      <c r="E697" s="242" t="s">
        <v>52</v>
      </c>
      <c r="F697" s="242" t="s">
        <v>65</v>
      </c>
      <c r="G697" s="242" t="s">
        <v>54</v>
      </c>
      <c r="H697" s="242" t="s">
        <v>679</v>
      </c>
      <c r="I697" s="242" t="s">
        <v>2208</v>
      </c>
      <c r="J697" s="242" t="s">
        <v>433</v>
      </c>
      <c r="K697" s="244"/>
      <c r="L697" s="242" t="s">
        <v>2209</v>
      </c>
      <c r="M697" s="242" t="s">
        <v>71</v>
      </c>
      <c r="N697" s="242" t="s">
        <v>96</v>
      </c>
      <c r="O697" s="242" t="s">
        <v>2210</v>
      </c>
      <c r="P697" s="242" t="s">
        <v>2211</v>
      </c>
      <c r="Q697" s="242" t="s">
        <v>1438</v>
      </c>
      <c r="R697" s="242" t="s">
        <v>1552</v>
      </c>
      <c r="S697" s="242" t="s">
        <v>71</v>
      </c>
      <c r="T697" s="244"/>
      <c r="U697" s="242" t="s">
        <v>2212</v>
      </c>
      <c r="V697" s="242" t="s">
        <v>2213</v>
      </c>
      <c r="W697" s="242" t="s">
        <v>2214</v>
      </c>
      <c r="X697" s="248"/>
      <c r="Y697" s="244"/>
      <c r="Z697" s="244"/>
      <c r="AA697" s="244"/>
      <c r="AB697" s="244"/>
      <c r="AC697" s="244"/>
      <c r="AD697" s="244"/>
      <c r="AE697" s="244"/>
      <c r="AF697" s="244"/>
      <c r="AG697" s="244"/>
      <c r="AH697" s="244"/>
      <c r="AI697" s="244"/>
      <c r="AJ697" s="244"/>
      <c r="AK697" s="242" t="s">
        <v>2215</v>
      </c>
      <c r="AL697" s="244"/>
      <c r="AM697" s="244"/>
      <c r="AN697" s="244"/>
      <c r="AO697" s="244"/>
      <c r="AP697" s="244"/>
    </row>
    <row r="698">
      <c r="A698" s="242" t="s">
        <v>36</v>
      </c>
      <c r="B698" s="243">
        <v>45761.452110694445</v>
      </c>
      <c r="C698" s="242" t="s">
        <v>141</v>
      </c>
      <c r="D698" s="242" t="s">
        <v>800</v>
      </c>
      <c r="E698" s="242" t="s">
        <v>800</v>
      </c>
      <c r="F698" s="242" t="s">
        <v>800</v>
      </c>
      <c r="G698" s="242" t="s">
        <v>800</v>
      </c>
      <c r="H698" s="242" t="s">
        <v>625</v>
      </c>
      <c r="I698" s="266">
        <v>1000.0</v>
      </c>
      <c r="J698" s="242" t="s">
        <v>114</v>
      </c>
      <c r="K698" s="247" t="s">
        <v>2216</v>
      </c>
      <c r="L698" s="242" t="s">
        <v>2217</v>
      </c>
      <c r="M698" s="242" t="s">
        <v>71</v>
      </c>
      <c r="N698" s="242" t="s">
        <v>96</v>
      </c>
      <c r="O698" s="242" t="s">
        <v>2218</v>
      </c>
      <c r="P698" s="246" t="s">
        <v>2219</v>
      </c>
      <c r="Q698" s="242" t="s">
        <v>1438</v>
      </c>
      <c r="R698" s="242" t="s">
        <v>1552</v>
      </c>
      <c r="S698" s="242" t="s">
        <v>1557</v>
      </c>
      <c r="T698" s="242" t="s">
        <v>2220</v>
      </c>
      <c r="U698" s="244"/>
      <c r="V698" s="244"/>
      <c r="W698" s="244"/>
      <c r="X698" s="244"/>
      <c r="Y698" s="244"/>
      <c r="Z698" s="244"/>
      <c r="AA698" s="244"/>
      <c r="AB698" s="244"/>
      <c r="AC698" s="244"/>
      <c r="AD698" s="244"/>
      <c r="AE698" s="244"/>
      <c r="AF698" s="244"/>
      <c r="AG698" s="244"/>
      <c r="AH698" s="244"/>
      <c r="AI698" s="244"/>
      <c r="AJ698" s="244"/>
      <c r="AK698" s="242" t="s">
        <v>2221</v>
      </c>
      <c r="AL698" s="244"/>
      <c r="AM698" s="244"/>
      <c r="AN698" s="244"/>
      <c r="AO698" s="244"/>
      <c r="AP698" s="244"/>
    </row>
    <row r="699">
      <c r="A699" s="242" t="s">
        <v>36</v>
      </c>
      <c r="B699" s="243">
        <v>45761.503159872686</v>
      </c>
      <c r="C699" s="242" t="s">
        <v>771</v>
      </c>
      <c r="D699" s="242" t="s">
        <v>51</v>
      </c>
      <c r="E699" s="242" t="s">
        <v>52</v>
      </c>
      <c r="F699" s="242" t="s">
        <v>40</v>
      </c>
      <c r="G699" s="242" t="s">
        <v>54</v>
      </c>
      <c r="H699" s="242" t="s">
        <v>607</v>
      </c>
      <c r="I699" s="242" t="s">
        <v>2222</v>
      </c>
      <c r="J699" s="242" t="s">
        <v>100</v>
      </c>
      <c r="K699" s="247" t="s">
        <v>2223</v>
      </c>
      <c r="L699" s="242" t="s">
        <v>2224</v>
      </c>
      <c r="M699" s="242" t="s">
        <v>71</v>
      </c>
      <c r="N699" s="242" t="s">
        <v>96</v>
      </c>
      <c r="O699" s="242" t="s">
        <v>774</v>
      </c>
      <c r="P699" s="246" t="s">
        <v>2225</v>
      </c>
      <c r="Q699" s="242" t="s">
        <v>1438</v>
      </c>
      <c r="R699" s="242" t="s">
        <v>1552</v>
      </c>
      <c r="S699" s="242" t="s">
        <v>1621</v>
      </c>
      <c r="T699" s="242" t="s">
        <v>2226</v>
      </c>
      <c r="U699" s="244"/>
      <c r="V699" s="244"/>
      <c r="W699" s="244"/>
      <c r="X699" s="244"/>
      <c r="Y699" s="244"/>
      <c r="Z699" s="244"/>
      <c r="AA699" s="244"/>
      <c r="AB699" s="244"/>
      <c r="AC699" s="244"/>
      <c r="AD699" s="244"/>
      <c r="AE699" s="244"/>
      <c r="AF699" s="244"/>
      <c r="AG699" s="244"/>
      <c r="AH699" s="244"/>
      <c r="AI699" s="244"/>
      <c r="AJ699" s="244"/>
      <c r="AK699" s="242" t="s">
        <v>2215</v>
      </c>
      <c r="AL699" s="244"/>
      <c r="AM699" s="244"/>
      <c r="AN699" s="244"/>
      <c r="AO699" s="244"/>
      <c r="AP699" s="244"/>
    </row>
    <row r="700">
      <c r="A700" s="242" t="s">
        <v>36</v>
      </c>
      <c r="B700" s="243">
        <v>45761.53304084491</v>
      </c>
      <c r="C700" s="242" t="s">
        <v>2227</v>
      </c>
      <c r="D700" s="242" t="s">
        <v>2228</v>
      </c>
      <c r="E700" s="242" t="s">
        <v>52</v>
      </c>
      <c r="F700" s="242" t="s">
        <v>210</v>
      </c>
      <c r="G700" s="242" t="s">
        <v>131</v>
      </c>
      <c r="H700" s="242" t="s">
        <v>833</v>
      </c>
      <c r="I700" s="266">
        <v>299.0</v>
      </c>
      <c r="J700" s="242" t="s">
        <v>433</v>
      </c>
      <c r="K700" s="249" t="s">
        <v>2229</v>
      </c>
      <c r="L700" s="242" t="s">
        <v>2230</v>
      </c>
      <c r="M700" s="242" t="s">
        <v>71</v>
      </c>
      <c r="N700" s="242" t="s">
        <v>96</v>
      </c>
      <c r="O700" s="242" t="s">
        <v>2231</v>
      </c>
      <c r="P700" s="242" t="s">
        <v>2232</v>
      </c>
      <c r="Q700" s="242" t="s">
        <v>1438</v>
      </c>
      <c r="R700" s="242" t="s">
        <v>1552</v>
      </c>
      <c r="S700" s="242" t="s">
        <v>71</v>
      </c>
      <c r="T700" s="244"/>
      <c r="U700" s="244"/>
      <c r="V700" s="244"/>
      <c r="W700" s="244"/>
      <c r="X700" s="244"/>
      <c r="Y700" s="244"/>
      <c r="Z700" s="244"/>
      <c r="AA700" s="244"/>
      <c r="AB700" s="244"/>
      <c r="AC700" s="244"/>
      <c r="AD700" s="244"/>
      <c r="AE700" s="244"/>
      <c r="AF700" s="244"/>
      <c r="AG700" s="244"/>
      <c r="AH700" s="244"/>
      <c r="AI700" s="244"/>
      <c r="AJ700" s="244"/>
      <c r="AK700" s="242" t="s">
        <v>2215</v>
      </c>
      <c r="AL700" s="244"/>
      <c r="AM700" s="244"/>
      <c r="AN700" s="244"/>
      <c r="AO700" s="244"/>
      <c r="AP700" s="244"/>
    </row>
    <row r="701">
      <c r="A701" s="242" t="s">
        <v>36</v>
      </c>
      <c r="B701" s="243">
        <v>45761.53990809028</v>
      </c>
      <c r="C701" s="242" t="s">
        <v>245</v>
      </c>
      <c r="D701" s="242" t="s">
        <v>142</v>
      </c>
      <c r="E701" s="242" t="s">
        <v>52</v>
      </c>
      <c r="F701" s="242" t="s">
        <v>65</v>
      </c>
      <c r="G701" s="242" t="s">
        <v>54</v>
      </c>
      <c r="H701" s="242" t="s">
        <v>625</v>
      </c>
      <c r="I701" s="266">
        <v>349.0</v>
      </c>
      <c r="J701" s="242" t="s">
        <v>102</v>
      </c>
      <c r="K701" s="244"/>
      <c r="L701" s="242" t="s">
        <v>2233</v>
      </c>
      <c r="M701" s="242" t="s">
        <v>71</v>
      </c>
      <c r="N701" s="242" t="s">
        <v>96</v>
      </c>
      <c r="O701" s="242" t="s">
        <v>2234</v>
      </c>
      <c r="P701" s="242" t="s">
        <v>2235</v>
      </c>
      <c r="Q701" s="242" t="s">
        <v>1438</v>
      </c>
      <c r="R701" s="242" t="s">
        <v>1552</v>
      </c>
      <c r="S701" s="242" t="s">
        <v>71</v>
      </c>
      <c r="T701" s="242" t="s">
        <v>2236</v>
      </c>
      <c r="U701" s="244"/>
      <c r="V701" s="244"/>
      <c r="W701" s="244"/>
      <c r="X701" s="244"/>
      <c r="Y701" s="244"/>
      <c r="Z701" s="244"/>
      <c r="AA701" s="244"/>
      <c r="AB701" s="244"/>
      <c r="AC701" s="244"/>
      <c r="AD701" s="244"/>
      <c r="AE701" s="244"/>
      <c r="AF701" s="244"/>
      <c r="AG701" s="244"/>
      <c r="AH701" s="244"/>
      <c r="AI701" s="244"/>
      <c r="AJ701" s="244"/>
      <c r="AK701" s="242" t="s">
        <v>2215</v>
      </c>
      <c r="AL701" s="244"/>
      <c r="AM701" s="244"/>
      <c r="AN701" s="244"/>
      <c r="AO701" s="244"/>
      <c r="AP701" s="244"/>
    </row>
    <row r="702">
      <c r="A702" s="242" t="s">
        <v>36</v>
      </c>
      <c r="B702" s="243">
        <v>45762.55692854167</v>
      </c>
      <c r="C702" s="242" t="s">
        <v>1586</v>
      </c>
      <c r="D702" s="242" t="s">
        <v>389</v>
      </c>
      <c r="E702" s="242" t="s">
        <v>52</v>
      </c>
      <c r="F702" s="242" t="s">
        <v>65</v>
      </c>
      <c r="G702" s="242" t="s">
        <v>41</v>
      </c>
      <c r="H702" s="242" t="s">
        <v>625</v>
      </c>
      <c r="I702" s="264">
        <v>630.0</v>
      </c>
      <c r="J702" s="242" t="s">
        <v>102</v>
      </c>
      <c r="K702" s="244"/>
      <c r="L702" s="247" t="s">
        <v>2237</v>
      </c>
      <c r="M702" s="242" t="s">
        <v>71</v>
      </c>
      <c r="N702" s="242" t="s">
        <v>96</v>
      </c>
      <c r="O702" s="242" t="s">
        <v>1589</v>
      </c>
      <c r="P702" s="244"/>
      <c r="Q702" s="242" t="s">
        <v>1438</v>
      </c>
      <c r="R702" s="242" t="s">
        <v>1552</v>
      </c>
      <c r="S702" s="242" t="s">
        <v>71</v>
      </c>
      <c r="T702" s="244"/>
      <c r="U702" s="244"/>
      <c r="V702" s="244"/>
      <c r="W702" s="244"/>
      <c r="X702" s="244"/>
      <c r="Y702" s="244"/>
      <c r="Z702" s="244"/>
      <c r="AA702" s="244"/>
      <c r="AB702" s="244"/>
      <c r="AC702" s="244"/>
      <c r="AD702" s="244"/>
      <c r="AE702" s="244"/>
      <c r="AF702" s="244"/>
      <c r="AG702" s="244"/>
      <c r="AH702" s="244"/>
      <c r="AI702" s="244"/>
      <c r="AJ702" s="244"/>
      <c r="AK702" s="242" t="s">
        <v>2238</v>
      </c>
      <c r="AL702" s="244"/>
      <c r="AM702" s="244"/>
      <c r="AN702" s="244"/>
      <c r="AO702" s="244"/>
      <c r="AP702" s="244"/>
    </row>
    <row r="703">
      <c r="A703" s="242" t="s">
        <v>36</v>
      </c>
      <c r="B703" s="243">
        <v>45763.63970503472</v>
      </c>
      <c r="C703" s="242" t="s">
        <v>2239</v>
      </c>
      <c r="D703" s="242" t="s">
        <v>317</v>
      </c>
      <c r="E703" s="242" t="s">
        <v>52</v>
      </c>
      <c r="F703" s="242" t="s">
        <v>65</v>
      </c>
      <c r="G703" s="242" t="s">
        <v>54</v>
      </c>
      <c r="H703" s="242" t="s">
        <v>625</v>
      </c>
      <c r="I703" s="264">
        <v>89.0</v>
      </c>
      <c r="J703" s="242" t="s">
        <v>514</v>
      </c>
      <c r="K703" s="245" t="s">
        <v>2240</v>
      </c>
      <c r="L703" s="242" t="s">
        <v>2241</v>
      </c>
      <c r="M703" s="242" t="s">
        <v>71</v>
      </c>
      <c r="N703" s="242" t="s">
        <v>68</v>
      </c>
      <c r="O703" s="242" t="s">
        <v>2242</v>
      </c>
      <c r="P703" s="246" t="s">
        <v>2243</v>
      </c>
      <c r="Q703" s="242" t="s">
        <v>1438</v>
      </c>
      <c r="R703" s="242" t="s">
        <v>1552</v>
      </c>
      <c r="S703" s="242" t="s">
        <v>71</v>
      </c>
      <c r="T703" s="244"/>
      <c r="U703" s="244"/>
      <c r="V703" s="244"/>
      <c r="W703" s="244"/>
      <c r="X703" s="244"/>
      <c r="Y703" s="244"/>
      <c r="Z703" s="244"/>
      <c r="AA703" s="244"/>
      <c r="AB703" s="244"/>
      <c r="AC703" s="244"/>
      <c r="AD703" s="244"/>
      <c r="AE703" s="244"/>
      <c r="AF703" s="244"/>
      <c r="AG703" s="244"/>
      <c r="AH703" s="244"/>
      <c r="AI703" s="244"/>
      <c r="AJ703" s="244"/>
      <c r="AK703" s="242" t="s">
        <v>2244</v>
      </c>
      <c r="AL703" s="244"/>
      <c r="AM703" s="244"/>
      <c r="AN703" s="244"/>
      <c r="AO703" s="244"/>
      <c r="AP703" s="244"/>
    </row>
    <row r="704">
      <c r="A704" s="242" t="s">
        <v>36</v>
      </c>
      <c r="B704" s="243">
        <v>45763.64392253473</v>
      </c>
      <c r="C704" s="242" t="s">
        <v>2239</v>
      </c>
      <c r="D704" s="242" t="s">
        <v>317</v>
      </c>
      <c r="E704" s="242" t="s">
        <v>52</v>
      </c>
      <c r="F704" s="242" t="s">
        <v>65</v>
      </c>
      <c r="G704" s="242" t="s">
        <v>54</v>
      </c>
      <c r="H704" s="242" t="s">
        <v>607</v>
      </c>
      <c r="I704" s="264">
        <v>165.0</v>
      </c>
      <c r="J704" s="242" t="s">
        <v>514</v>
      </c>
      <c r="K704" s="276" t="s">
        <v>2245</v>
      </c>
      <c r="L704" s="242" t="s">
        <v>2246</v>
      </c>
      <c r="M704" s="242" t="s">
        <v>71</v>
      </c>
      <c r="N704" s="242" t="s">
        <v>68</v>
      </c>
      <c r="O704" s="242" t="s">
        <v>2242</v>
      </c>
      <c r="P704" s="242" t="s">
        <v>2247</v>
      </c>
      <c r="Q704" s="242" t="s">
        <v>1438</v>
      </c>
      <c r="R704" s="242" t="s">
        <v>1552</v>
      </c>
      <c r="S704" s="242" t="s">
        <v>1557</v>
      </c>
      <c r="T704" s="244"/>
      <c r="U704" s="244"/>
      <c r="V704" s="244"/>
      <c r="W704" s="244"/>
      <c r="X704" s="244"/>
      <c r="Y704" s="244"/>
      <c r="Z704" s="244"/>
      <c r="AA704" s="244"/>
      <c r="AB704" s="244"/>
      <c r="AC704" s="244"/>
      <c r="AD704" s="244"/>
      <c r="AE704" s="244"/>
      <c r="AF704" s="244"/>
      <c r="AG704" s="244"/>
      <c r="AH704" s="244"/>
      <c r="AI704" s="244"/>
      <c r="AJ704" s="244"/>
      <c r="AK704" s="242" t="s">
        <v>2244</v>
      </c>
      <c r="AL704" s="244"/>
      <c r="AM704" s="244"/>
      <c r="AN704" s="244"/>
      <c r="AO704" s="244"/>
      <c r="AP704" s="244"/>
    </row>
    <row r="705">
      <c r="A705" s="242" t="s">
        <v>36</v>
      </c>
      <c r="B705" s="243">
        <v>45765.557633414355</v>
      </c>
      <c r="C705" s="242" t="s">
        <v>104</v>
      </c>
      <c r="D705" s="242" t="s">
        <v>105</v>
      </c>
      <c r="E705" s="242" t="s">
        <v>52</v>
      </c>
      <c r="F705" s="242" t="s">
        <v>65</v>
      </c>
      <c r="G705" s="242" t="s">
        <v>54</v>
      </c>
      <c r="H705" s="242" t="s">
        <v>625</v>
      </c>
      <c r="I705" s="242">
        <v>97.0</v>
      </c>
      <c r="J705" s="242" t="s">
        <v>102</v>
      </c>
      <c r="K705" s="244"/>
      <c r="L705" s="247" t="s">
        <v>2248</v>
      </c>
      <c r="M705" s="242" t="s">
        <v>71</v>
      </c>
      <c r="N705" s="242" t="s">
        <v>96</v>
      </c>
      <c r="O705" s="242" t="s">
        <v>929</v>
      </c>
      <c r="P705" s="242" t="s">
        <v>2249</v>
      </c>
      <c r="Q705" s="242" t="s">
        <v>1438</v>
      </c>
      <c r="R705" s="242" t="s">
        <v>1552</v>
      </c>
      <c r="S705" s="242" t="s">
        <v>71</v>
      </c>
      <c r="T705" s="244"/>
      <c r="U705" s="244"/>
      <c r="V705" s="244"/>
      <c r="W705" s="244"/>
      <c r="X705" s="244"/>
      <c r="Y705" s="244"/>
      <c r="Z705" s="244"/>
      <c r="AA705" s="244"/>
      <c r="AB705" s="244"/>
      <c r="AC705" s="244"/>
      <c r="AD705" s="244"/>
      <c r="AE705" s="244"/>
      <c r="AF705" s="244"/>
      <c r="AG705" s="244"/>
      <c r="AH705" s="244"/>
      <c r="AI705" s="244"/>
      <c r="AJ705" s="244"/>
      <c r="AK705" s="242" t="s">
        <v>2250</v>
      </c>
      <c r="AL705" s="244"/>
      <c r="AM705" s="244"/>
      <c r="AN705" s="244"/>
      <c r="AO705" s="244"/>
      <c r="AP705" s="244"/>
    </row>
    <row r="706">
      <c r="A706" s="242" t="s">
        <v>36</v>
      </c>
      <c r="B706" s="243">
        <v>45768.84327728009</v>
      </c>
      <c r="C706" s="242" t="s">
        <v>2251</v>
      </c>
      <c r="D706" s="242" t="s">
        <v>109</v>
      </c>
      <c r="E706" s="242" t="s">
        <v>138</v>
      </c>
      <c r="F706" s="242" t="s">
        <v>65</v>
      </c>
      <c r="G706" s="242" t="s">
        <v>131</v>
      </c>
      <c r="H706" s="242" t="s">
        <v>679</v>
      </c>
      <c r="I706" s="242" t="s">
        <v>2252</v>
      </c>
      <c r="J706" s="242" t="s">
        <v>184</v>
      </c>
      <c r="K706" s="244"/>
      <c r="L706" s="242" t="s">
        <v>736</v>
      </c>
      <c r="M706" s="242" t="s">
        <v>71</v>
      </c>
      <c r="N706" s="242" t="s">
        <v>96</v>
      </c>
      <c r="O706" s="242" t="s">
        <v>2253</v>
      </c>
      <c r="P706" s="244"/>
      <c r="Q706" s="242" t="s">
        <v>1438</v>
      </c>
      <c r="R706" s="242" t="s">
        <v>1552</v>
      </c>
      <c r="S706" s="242" t="s">
        <v>1557</v>
      </c>
      <c r="T706" s="244"/>
      <c r="U706" s="242" t="s">
        <v>2254</v>
      </c>
      <c r="V706" s="242" t="s">
        <v>2255</v>
      </c>
      <c r="W706" s="242">
        <v>2.0</v>
      </c>
      <c r="X706" s="248"/>
      <c r="Y706" s="244"/>
      <c r="Z706" s="244"/>
      <c r="AA706" s="244"/>
      <c r="AB706" s="244"/>
      <c r="AC706" s="244"/>
      <c r="AD706" s="244"/>
      <c r="AE706" s="244"/>
      <c r="AF706" s="244"/>
      <c r="AG706" s="244"/>
      <c r="AH706" s="244"/>
      <c r="AI706" s="244"/>
      <c r="AJ706" s="244"/>
      <c r="AK706" s="242" t="s">
        <v>2256</v>
      </c>
      <c r="AL706" s="244"/>
      <c r="AM706" s="244"/>
      <c r="AN706" s="244"/>
      <c r="AO706" s="244"/>
      <c r="AP706" s="244"/>
    </row>
    <row r="707">
      <c r="A707" s="242" t="s">
        <v>36</v>
      </c>
      <c r="B707" s="243">
        <v>45769.49101641204</v>
      </c>
      <c r="C707" s="242" t="s">
        <v>728</v>
      </c>
      <c r="D707" s="242" t="s">
        <v>51</v>
      </c>
      <c r="E707" s="242" t="s">
        <v>52</v>
      </c>
      <c r="F707" s="242" t="s">
        <v>210</v>
      </c>
      <c r="G707" s="242" t="s">
        <v>41</v>
      </c>
      <c r="H707" s="242" t="s">
        <v>625</v>
      </c>
      <c r="I707" s="266">
        <v>575.0</v>
      </c>
      <c r="J707" s="242" t="s">
        <v>118</v>
      </c>
      <c r="K707" s="244"/>
      <c r="L707" s="242" t="s">
        <v>2257</v>
      </c>
      <c r="M707" s="242" t="s">
        <v>71</v>
      </c>
      <c r="N707" s="242" t="s">
        <v>96</v>
      </c>
      <c r="O707" s="242" t="s">
        <v>2258</v>
      </c>
      <c r="P707" s="246" t="s">
        <v>1978</v>
      </c>
      <c r="Q707" s="242" t="s">
        <v>1438</v>
      </c>
      <c r="R707" s="242" t="s">
        <v>1552</v>
      </c>
      <c r="S707" s="242" t="s">
        <v>1621</v>
      </c>
      <c r="T707" s="242" t="s">
        <v>2259</v>
      </c>
      <c r="U707" s="244"/>
      <c r="V707" s="244"/>
      <c r="W707" s="244"/>
      <c r="X707" s="244"/>
      <c r="Y707" s="244"/>
      <c r="Z707" s="244"/>
      <c r="AA707" s="244"/>
      <c r="AB707" s="244"/>
      <c r="AC707" s="244"/>
      <c r="AD707" s="244"/>
      <c r="AE707" s="244"/>
      <c r="AF707" s="244"/>
      <c r="AG707" s="244"/>
      <c r="AH707" s="244"/>
      <c r="AI707" s="244"/>
      <c r="AJ707" s="244"/>
      <c r="AK707" s="242" t="s">
        <v>2256</v>
      </c>
      <c r="AL707" s="244"/>
      <c r="AM707" s="244"/>
      <c r="AN707" s="244"/>
      <c r="AO707" s="244"/>
      <c r="AP707" s="244"/>
    </row>
    <row r="708">
      <c r="A708" s="242" t="s">
        <v>36</v>
      </c>
      <c r="B708" s="243">
        <v>45769.49783721065</v>
      </c>
      <c r="C708" s="242" t="s">
        <v>2260</v>
      </c>
      <c r="D708" s="242" t="s">
        <v>51</v>
      </c>
      <c r="E708" s="242" t="s">
        <v>52</v>
      </c>
      <c r="F708" s="242" t="s">
        <v>65</v>
      </c>
      <c r="G708" s="242" t="s">
        <v>54</v>
      </c>
      <c r="H708" s="242" t="s">
        <v>607</v>
      </c>
      <c r="I708" s="264">
        <v>66.0</v>
      </c>
      <c r="J708" s="242" t="s">
        <v>194</v>
      </c>
      <c r="K708" s="247" t="s">
        <v>2261</v>
      </c>
      <c r="L708" s="242" t="s">
        <v>1950</v>
      </c>
      <c r="M708" s="242" t="s">
        <v>71</v>
      </c>
      <c r="N708" s="242" t="s">
        <v>96</v>
      </c>
      <c r="O708" s="242" t="s">
        <v>2262</v>
      </c>
      <c r="P708" s="246" t="s">
        <v>1597</v>
      </c>
      <c r="Q708" s="242" t="s">
        <v>1438</v>
      </c>
      <c r="R708" s="242" t="s">
        <v>1552</v>
      </c>
      <c r="S708" s="242" t="s">
        <v>1557</v>
      </c>
      <c r="T708" s="244"/>
      <c r="U708" s="244"/>
      <c r="V708" s="244"/>
      <c r="W708" s="244"/>
      <c r="X708" s="244"/>
      <c r="Y708" s="244"/>
      <c r="Z708" s="244"/>
      <c r="AA708" s="244"/>
      <c r="AB708" s="244"/>
      <c r="AC708" s="244"/>
      <c r="AD708" s="244"/>
      <c r="AE708" s="244"/>
      <c r="AF708" s="244"/>
      <c r="AG708" s="244"/>
      <c r="AH708" s="244"/>
      <c r="AI708" s="244"/>
      <c r="AJ708" s="244"/>
      <c r="AK708" s="242" t="s">
        <v>2256</v>
      </c>
      <c r="AL708" s="244"/>
      <c r="AM708" s="244"/>
      <c r="AN708" s="244"/>
      <c r="AO708" s="244"/>
      <c r="AP708" s="244"/>
    </row>
    <row r="709">
      <c r="A709" s="242" t="s">
        <v>36</v>
      </c>
      <c r="B709" s="243">
        <v>45770.357366006945</v>
      </c>
      <c r="C709" s="242" t="s">
        <v>166</v>
      </c>
      <c r="D709" s="242" t="s">
        <v>51</v>
      </c>
      <c r="E709" s="242" t="s">
        <v>52</v>
      </c>
      <c r="F709" s="242" t="s">
        <v>65</v>
      </c>
      <c r="G709" s="242" t="s">
        <v>41</v>
      </c>
      <c r="H709" s="242" t="s">
        <v>625</v>
      </c>
      <c r="I709" s="266">
        <v>825.0</v>
      </c>
      <c r="J709" s="242" t="s">
        <v>100</v>
      </c>
      <c r="K709" s="244"/>
      <c r="L709" s="242" t="s">
        <v>2263</v>
      </c>
      <c r="M709" s="242" t="s">
        <v>71</v>
      </c>
      <c r="N709" s="242" t="s">
        <v>96</v>
      </c>
      <c r="O709" s="242" t="s">
        <v>2264</v>
      </c>
      <c r="P709" s="242" t="s">
        <v>2265</v>
      </c>
      <c r="Q709" s="242" t="s">
        <v>1438</v>
      </c>
      <c r="R709" s="242" t="s">
        <v>1552</v>
      </c>
      <c r="S709" s="242" t="s">
        <v>71</v>
      </c>
      <c r="T709" s="244"/>
      <c r="U709" s="244"/>
      <c r="V709" s="244"/>
      <c r="W709" s="244"/>
      <c r="X709" s="244"/>
      <c r="Y709" s="244"/>
      <c r="Z709" s="244"/>
      <c r="AA709" s="244"/>
      <c r="AB709" s="244"/>
      <c r="AC709" s="244"/>
      <c r="AD709" s="244"/>
      <c r="AE709" s="244"/>
      <c r="AF709" s="244"/>
      <c r="AG709" s="244"/>
      <c r="AH709" s="244"/>
      <c r="AI709" s="244"/>
      <c r="AJ709" s="244"/>
      <c r="AK709" s="242" t="s">
        <v>2256</v>
      </c>
      <c r="AL709" s="244"/>
      <c r="AM709" s="244"/>
      <c r="AN709" s="244"/>
      <c r="AO709" s="244"/>
      <c r="AP709" s="244"/>
    </row>
    <row r="710">
      <c r="A710" s="242" t="s">
        <v>36</v>
      </c>
      <c r="B710" s="243">
        <v>45770.39374233796</v>
      </c>
      <c r="C710" s="242" t="s">
        <v>2266</v>
      </c>
      <c r="D710" s="242" t="s">
        <v>38</v>
      </c>
      <c r="E710" s="242" t="s">
        <v>40</v>
      </c>
      <c r="F710" s="242" t="s">
        <v>40</v>
      </c>
      <c r="G710" s="242" t="s">
        <v>41</v>
      </c>
      <c r="H710" s="242" t="s">
        <v>625</v>
      </c>
      <c r="I710" s="264">
        <v>276.0</v>
      </c>
      <c r="J710" s="242" t="s">
        <v>100</v>
      </c>
      <c r="K710" s="247" t="s">
        <v>2267</v>
      </c>
      <c r="L710" s="242" t="s">
        <v>2268</v>
      </c>
      <c r="M710" s="242" t="s">
        <v>71</v>
      </c>
      <c r="N710" s="242" t="s">
        <v>96</v>
      </c>
      <c r="O710" s="242" t="s">
        <v>2269</v>
      </c>
      <c r="P710" s="246" t="s">
        <v>2270</v>
      </c>
      <c r="Q710" s="242" t="s">
        <v>1438</v>
      </c>
      <c r="R710" s="242" t="s">
        <v>1552</v>
      </c>
      <c r="S710" s="242" t="s">
        <v>71</v>
      </c>
      <c r="T710" s="244"/>
      <c r="U710" s="244"/>
      <c r="V710" s="244"/>
      <c r="W710" s="244"/>
      <c r="X710" s="244"/>
      <c r="Y710" s="244"/>
      <c r="Z710" s="244"/>
      <c r="AA710" s="244"/>
      <c r="AB710" s="244"/>
      <c r="AC710" s="244"/>
      <c r="AD710" s="244"/>
      <c r="AE710" s="244"/>
      <c r="AF710" s="244"/>
      <c r="AG710" s="244"/>
      <c r="AH710" s="244"/>
      <c r="AI710" s="244"/>
      <c r="AJ710" s="244"/>
      <c r="AK710" s="242" t="s">
        <v>2256</v>
      </c>
      <c r="AL710" s="244"/>
      <c r="AM710" s="244"/>
      <c r="AN710" s="244"/>
      <c r="AO710" s="244"/>
      <c r="AP710" s="244"/>
    </row>
    <row r="711">
      <c r="A711" s="242" t="s">
        <v>36</v>
      </c>
      <c r="B711" s="243">
        <v>45771.37696876157</v>
      </c>
      <c r="C711" s="242" t="s">
        <v>794</v>
      </c>
      <c r="D711" s="242" t="s">
        <v>51</v>
      </c>
      <c r="E711" s="242" t="s">
        <v>795</v>
      </c>
      <c r="F711" s="242" t="s">
        <v>65</v>
      </c>
      <c r="G711" s="242" t="s">
        <v>54</v>
      </c>
      <c r="H711" s="242" t="s">
        <v>625</v>
      </c>
      <c r="I711" s="266">
        <v>29.0</v>
      </c>
      <c r="J711" s="242" t="s">
        <v>184</v>
      </c>
      <c r="K711" s="247" t="s">
        <v>2271</v>
      </c>
      <c r="L711" s="247" t="s">
        <v>2272</v>
      </c>
      <c r="M711" s="242" t="s">
        <v>71</v>
      </c>
      <c r="N711" s="242" t="s">
        <v>96</v>
      </c>
      <c r="O711" s="242" t="s">
        <v>1693</v>
      </c>
      <c r="P711" s="242" t="s">
        <v>2273</v>
      </c>
      <c r="Q711" s="242" t="s">
        <v>1438</v>
      </c>
      <c r="R711" s="242" t="s">
        <v>1552</v>
      </c>
      <c r="S711" s="242" t="s">
        <v>71</v>
      </c>
      <c r="T711" s="244"/>
      <c r="U711" s="244"/>
      <c r="V711" s="244"/>
      <c r="W711" s="244"/>
      <c r="X711" s="244"/>
      <c r="Y711" s="244"/>
      <c r="Z711" s="244"/>
      <c r="AA711" s="244"/>
      <c r="AB711" s="244"/>
      <c r="AC711" s="244"/>
      <c r="AD711" s="244"/>
      <c r="AE711" s="244"/>
      <c r="AF711" s="244"/>
      <c r="AG711" s="244"/>
      <c r="AH711" s="244"/>
      <c r="AI711" s="244"/>
      <c r="AJ711" s="244"/>
      <c r="AK711" s="242" t="s">
        <v>2274</v>
      </c>
      <c r="AL711" s="244"/>
      <c r="AM711" s="244"/>
      <c r="AN711" s="244"/>
      <c r="AO711" s="244"/>
      <c r="AP711" s="244"/>
    </row>
    <row r="712">
      <c r="A712" s="242" t="s">
        <v>36</v>
      </c>
      <c r="B712" s="243">
        <v>45771.46152679398</v>
      </c>
      <c r="C712" s="242" t="s">
        <v>368</v>
      </c>
      <c r="D712" s="242" t="s">
        <v>142</v>
      </c>
      <c r="E712" s="242" t="s">
        <v>52</v>
      </c>
      <c r="F712" s="242" t="s">
        <v>40</v>
      </c>
      <c r="G712" s="242" t="s">
        <v>54</v>
      </c>
      <c r="H712" s="242" t="s">
        <v>625</v>
      </c>
      <c r="I712" s="242" t="s">
        <v>2275</v>
      </c>
      <c r="J712" s="242" t="s">
        <v>102</v>
      </c>
      <c r="K712" s="244"/>
      <c r="L712" s="247" t="s">
        <v>2276</v>
      </c>
      <c r="M712" s="242" t="s">
        <v>71</v>
      </c>
      <c r="N712" s="242" t="s">
        <v>96</v>
      </c>
      <c r="O712" s="242" t="s">
        <v>1819</v>
      </c>
      <c r="P712" s="242" t="s">
        <v>2277</v>
      </c>
      <c r="Q712" s="242" t="s">
        <v>1438</v>
      </c>
      <c r="R712" s="242" t="s">
        <v>1552</v>
      </c>
      <c r="S712" s="242" t="s">
        <v>71</v>
      </c>
      <c r="T712" s="242" t="s">
        <v>2278</v>
      </c>
      <c r="U712" s="244"/>
      <c r="V712" s="244"/>
      <c r="W712" s="244"/>
      <c r="X712" s="244"/>
      <c r="Y712" s="244"/>
      <c r="Z712" s="244"/>
      <c r="AA712" s="244"/>
      <c r="AB712" s="244"/>
      <c r="AC712" s="244"/>
      <c r="AD712" s="244"/>
      <c r="AE712" s="244"/>
      <c r="AF712" s="244"/>
      <c r="AG712" s="244"/>
      <c r="AH712" s="244"/>
      <c r="AI712" s="244"/>
      <c r="AJ712" s="244"/>
      <c r="AK712" s="242" t="s">
        <v>2274</v>
      </c>
      <c r="AL712" s="244"/>
      <c r="AM712" s="244"/>
      <c r="AN712" s="244"/>
      <c r="AO712" s="244"/>
      <c r="AP712" s="244"/>
    </row>
    <row r="713">
      <c r="A713" s="242" t="s">
        <v>36</v>
      </c>
      <c r="B713" s="243">
        <v>45771.59796125</v>
      </c>
      <c r="C713" s="242" t="s">
        <v>600</v>
      </c>
      <c r="D713" s="242" t="s">
        <v>142</v>
      </c>
      <c r="E713" s="242" t="s">
        <v>52</v>
      </c>
      <c r="F713" s="242" t="s">
        <v>65</v>
      </c>
      <c r="G713" s="242" t="s">
        <v>54</v>
      </c>
      <c r="H713" s="242" t="s">
        <v>833</v>
      </c>
      <c r="I713" s="242" t="s">
        <v>2279</v>
      </c>
      <c r="J713" s="242" t="s">
        <v>383</v>
      </c>
      <c r="K713" s="244"/>
      <c r="L713" s="247" t="s">
        <v>2280</v>
      </c>
      <c r="M713" s="242" t="s">
        <v>71</v>
      </c>
      <c r="N713" s="242" t="s">
        <v>96</v>
      </c>
      <c r="O713" s="242" t="s">
        <v>2281</v>
      </c>
      <c r="P713" s="242" t="s">
        <v>2282</v>
      </c>
      <c r="Q713" s="242" t="s">
        <v>1471</v>
      </c>
      <c r="R713" s="242" t="s">
        <v>1552</v>
      </c>
      <c r="S713" s="242" t="s">
        <v>1557</v>
      </c>
      <c r="T713" s="242" t="s">
        <v>2283</v>
      </c>
      <c r="U713" s="244"/>
      <c r="V713" s="244"/>
      <c r="W713" s="244"/>
      <c r="X713" s="244"/>
      <c r="Y713" s="244"/>
      <c r="Z713" s="244"/>
      <c r="AA713" s="244"/>
      <c r="AB713" s="244"/>
      <c r="AC713" s="244"/>
      <c r="AD713" s="244"/>
      <c r="AE713" s="244"/>
      <c r="AF713" s="244"/>
      <c r="AG713" s="244"/>
      <c r="AH713" s="244"/>
      <c r="AI713" s="244"/>
      <c r="AJ713" s="244"/>
      <c r="AK713" s="242" t="s">
        <v>2274</v>
      </c>
      <c r="AL713" s="244"/>
      <c r="AM713" s="244"/>
      <c r="AN713" s="244"/>
      <c r="AO713" s="244"/>
      <c r="AP713" s="244"/>
    </row>
    <row r="714">
      <c r="A714" s="242" t="s">
        <v>36</v>
      </c>
      <c r="B714" s="243">
        <v>45771.59820597222</v>
      </c>
      <c r="C714" s="242" t="s">
        <v>357</v>
      </c>
      <c r="D714" s="242" t="s">
        <v>142</v>
      </c>
      <c r="E714" s="242" t="s">
        <v>52</v>
      </c>
      <c r="F714" s="242" t="s">
        <v>65</v>
      </c>
      <c r="G714" s="242" t="s">
        <v>54</v>
      </c>
      <c r="H714" s="242" t="s">
        <v>833</v>
      </c>
      <c r="I714" s="242" t="s">
        <v>2284</v>
      </c>
      <c r="J714" s="242" t="s">
        <v>383</v>
      </c>
      <c r="K714" s="244"/>
      <c r="L714" s="242" t="s">
        <v>2285</v>
      </c>
      <c r="M714" s="242" t="s">
        <v>71</v>
      </c>
      <c r="N714" s="242" t="s">
        <v>96</v>
      </c>
      <c r="O714" s="242" t="s">
        <v>2286</v>
      </c>
      <c r="P714" s="246" t="s">
        <v>2287</v>
      </c>
      <c r="Q714" s="242" t="s">
        <v>1471</v>
      </c>
      <c r="R714" s="242" t="s">
        <v>1552</v>
      </c>
      <c r="S714" s="242" t="s">
        <v>1557</v>
      </c>
      <c r="T714" s="242" t="s">
        <v>2288</v>
      </c>
      <c r="U714" s="244"/>
      <c r="V714" s="244"/>
      <c r="W714" s="244"/>
      <c r="X714" s="244"/>
      <c r="Y714" s="244"/>
      <c r="Z714" s="244"/>
      <c r="AA714" s="244"/>
      <c r="AB714" s="244"/>
      <c r="AC714" s="244"/>
      <c r="AD714" s="244"/>
      <c r="AE714" s="244"/>
      <c r="AF714" s="244"/>
      <c r="AG714" s="244"/>
      <c r="AH714" s="244"/>
      <c r="AI714" s="244"/>
      <c r="AJ714" s="244"/>
      <c r="AK714" s="242" t="s">
        <v>2274</v>
      </c>
      <c r="AL714" s="244"/>
      <c r="AM714" s="244"/>
      <c r="AN714" s="244"/>
      <c r="AO714" s="244"/>
      <c r="AP714" s="244"/>
    </row>
    <row r="715">
      <c r="A715" s="242" t="s">
        <v>36</v>
      </c>
      <c r="B715" s="243">
        <v>45775.50255103009</v>
      </c>
      <c r="C715" s="242" t="s">
        <v>117</v>
      </c>
      <c r="D715" s="242" t="s">
        <v>51</v>
      </c>
      <c r="E715" s="242" t="s">
        <v>52</v>
      </c>
      <c r="F715" s="242" t="s">
        <v>65</v>
      </c>
      <c r="G715" s="242" t="s">
        <v>54</v>
      </c>
      <c r="H715" s="242" t="s">
        <v>625</v>
      </c>
      <c r="I715" s="242">
        <v>1500.0</v>
      </c>
      <c r="J715" s="242" t="s">
        <v>118</v>
      </c>
      <c r="K715" s="244"/>
      <c r="L715" s="247" t="s">
        <v>2289</v>
      </c>
      <c r="M715" s="242" t="s">
        <v>71</v>
      </c>
      <c r="N715" s="242" t="s">
        <v>68</v>
      </c>
      <c r="O715" s="242" t="s">
        <v>2290</v>
      </c>
      <c r="P715" s="242" t="s">
        <v>2291</v>
      </c>
      <c r="Q715" s="242" t="s">
        <v>1438</v>
      </c>
      <c r="R715" s="242" t="s">
        <v>1552</v>
      </c>
      <c r="S715" s="242" t="s">
        <v>71</v>
      </c>
      <c r="T715" s="242" t="s">
        <v>2292</v>
      </c>
      <c r="U715" s="244"/>
      <c r="V715" s="244"/>
      <c r="W715" s="244"/>
      <c r="X715" s="244"/>
      <c r="Y715" s="244"/>
      <c r="Z715" s="244"/>
      <c r="AA715" s="244"/>
      <c r="AB715" s="244"/>
      <c r="AC715" s="244"/>
      <c r="AD715" s="244"/>
      <c r="AE715" s="244"/>
      <c r="AF715" s="244"/>
      <c r="AG715" s="244"/>
      <c r="AH715" s="244"/>
      <c r="AI715" s="244"/>
      <c r="AJ715" s="244"/>
      <c r="AK715" s="242" t="s">
        <v>2293</v>
      </c>
      <c r="AL715" s="244"/>
      <c r="AM715" s="244"/>
      <c r="AN715" s="244"/>
      <c r="AO715" s="244"/>
      <c r="AP715" s="244"/>
    </row>
    <row r="716">
      <c r="A716" s="242" t="s">
        <v>36</v>
      </c>
      <c r="B716" s="243">
        <v>45776.594568472225</v>
      </c>
      <c r="C716" s="242" t="s">
        <v>1060</v>
      </c>
      <c r="D716" s="242" t="s">
        <v>109</v>
      </c>
      <c r="E716" s="242" t="s">
        <v>52</v>
      </c>
      <c r="F716" s="242" t="s">
        <v>65</v>
      </c>
      <c r="G716" s="242" t="s">
        <v>60</v>
      </c>
      <c r="H716" s="242" t="s">
        <v>833</v>
      </c>
      <c r="I716" s="264">
        <v>595.0</v>
      </c>
      <c r="J716" s="242" t="s">
        <v>383</v>
      </c>
      <c r="K716" s="244"/>
      <c r="L716" s="247" t="s">
        <v>2294</v>
      </c>
      <c r="M716" s="242" t="s">
        <v>71</v>
      </c>
      <c r="N716" s="242" t="s">
        <v>96</v>
      </c>
      <c r="O716" s="242" t="s">
        <v>1062</v>
      </c>
      <c r="P716" s="242" t="s">
        <v>2295</v>
      </c>
      <c r="Q716" s="242" t="s">
        <v>1438</v>
      </c>
      <c r="R716" s="242" t="s">
        <v>1552</v>
      </c>
      <c r="S716" s="242" t="s">
        <v>1621</v>
      </c>
      <c r="T716" s="242" t="s">
        <v>2296</v>
      </c>
      <c r="U716" s="244"/>
      <c r="V716" s="244"/>
      <c r="W716" s="244"/>
      <c r="X716" s="244"/>
      <c r="Y716" s="244"/>
      <c r="Z716" s="244"/>
      <c r="AA716" s="244"/>
      <c r="AB716" s="244"/>
      <c r="AC716" s="244"/>
      <c r="AD716" s="244"/>
      <c r="AE716" s="244"/>
      <c r="AF716" s="244"/>
      <c r="AG716" s="244"/>
      <c r="AH716" s="244"/>
      <c r="AI716" s="244"/>
      <c r="AJ716" s="244"/>
      <c r="AK716" s="242" t="s">
        <v>2293</v>
      </c>
      <c r="AL716" s="244"/>
      <c r="AM716" s="244"/>
      <c r="AN716" s="244"/>
      <c r="AO716" s="244"/>
      <c r="AP716" s="244"/>
    </row>
    <row r="717" ht="16.5" customHeight="1">
      <c r="A717" s="242" t="s">
        <v>36</v>
      </c>
      <c r="B717" s="243">
        <v>45776.67111949074</v>
      </c>
      <c r="C717" s="242" t="s">
        <v>134</v>
      </c>
      <c r="D717" s="242" t="s">
        <v>38</v>
      </c>
      <c r="E717" s="242" t="s">
        <v>39</v>
      </c>
      <c r="F717" s="242" t="s">
        <v>60</v>
      </c>
      <c r="G717" s="242" t="s">
        <v>800</v>
      </c>
      <c r="H717" s="242" t="s">
        <v>42</v>
      </c>
      <c r="I717" s="242" t="s">
        <v>2297</v>
      </c>
      <c r="J717" s="242" t="s">
        <v>43</v>
      </c>
      <c r="K717" s="244"/>
      <c r="L717" s="244"/>
      <c r="M717" s="242" t="s">
        <v>71</v>
      </c>
      <c r="N717" s="242" t="s">
        <v>68</v>
      </c>
      <c r="O717" s="242" t="s">
        <v>2298</v>
      </c>
      <c r="P717" s="242" t="s">
        <v>2299</v>
      </c>
      <c r="Q717" s="242" t="s">
        <v>1438</v>
      </c>
      <c r="R717" s="242" t="s">
        <v>1552</v>
      </c>
      <c r="S717" s="242" t="s">
        <v>1557</v>
      </c>
      <c r="T717" s="244"/>
      <c r="U717" s="242" t="s">
        <v>2300</v>
      </c>
      <c r="V717" s="242" t="s">
        <v>2301</v>
      </c>
      <c r="W717" s="242" t="s">
        <v>2297</v>
      </c>
      <c r="X717" s="248"/>
      <c r="Y717" s="244"/>
      <c r="Z717" s="244"/>
      <c r="AA717" s="244"/>
      <c r="AB717" s="244"/>
      <c r="AC717" s="244"/>
      <c r="AD717" s="244"/>
      <c r="AE717" s="244"/>
      <c r="AF717" s="244"/>
      <c r="AG717" s="244"/>
      <c r="AH717" s="244"/>
      <c r="AI717" s="244"/>
      <c r="AJ717" s="244"/>
      <c r="AK717" s="242" t="s">
        <v>2293</v>
      </c>
      <c r="AL717" s="244"/>
      <c r="AM717" s="244"/>
      <c r="AN717" s="244"/>
      <c r="AO717" s="244"/>
      <c r="AP717" s="244"/>
    </row>
    <row r="718">
      <c r="A718" s="242" t="s">
        <v>36</v>
      </c>
      <c r="B718" s="243">
        <v>45777.38843914351</v>
      </c>
      <c r="C718" s="242" t="s">
        <v>134</v>
      </c>
      <c r="D718" s="242" t="s">
        <v>800</v>
      </c>
      <c r="E718" s="242" t="s">
        <v>39</v>
      </c>
      <c r="F718" s="242" t="s">
        <v>60</v>
      </c>
      <c r="G718" s="242" t="s">
        <v>60</v>
      </c>
      <c r="H718" s="242" t="s">
        <v>1098</v>
      </c>
      <c r="I718" s="242" t="s">
        <v>2184</v>
      </c>
      <c r="J718" s="242" t="s">
        <v>43</v>
      </c>
      <c r="K718" s="244"/>
      <c r="L718" s="244"/>
      <c r="M718" s="242" t="s">
        <v>71</v>
      </c>
      <c r="N718" s="242" t="s">
        <v>68</v>
      </c>
      <c r="O718" s="242" t="s">
        <v>2302</v>
      </c>
      <c r="P718" s="242" t="s">
        <v>2303</v>
      </c>
      <c r="Q718" s="242" t="s">
        <v>1438</v>
      </c>
      <c r="R718" s="242" t="s">
        <v>1598</v>
      </c>
      <c r="S718" s="242" t="s">
        <v>1557</v>
      </c>
      <c r="T718" s="244"/>
      <c r="U718" s="242" t="s">
        <v>1133</v>
      </c>
      <c r="V718" s="242" t="s">
        <v>1133</v>
      </c>
      <c r="W718" s="242" t="s">
        <v>1133</v>
      </c>
      <c r="X718" s="248"/>
      <c r="Y718" s="244"/>
      <c r="Z718" s="244"/>
      <c r="AA718" s="244"/>
      <c r="AB718" s="244"/>
      <c r="AC718" s="244"/>
      <c r="AD718" s="244"/>
      <c r="AE718" s="244"/>
      <c r="AF718" s="244"/>
      <c r="AG718" s="244"/>
      <c r="AH718" s="244"/>
      <c r="AI718" s="244"/>
      <c r="AJ718" s="244"/>
      <c r="AK718" s="242" t="s">
        <v>2293</v>
      </c>
      <c r="AL718" s="244"/>
      <c r="AM718" s="244"/>
      <c r="AN718" s="244"/>
      <c r="AO718" s="244"/>
      <c r="AP718" s="244"/>
    </row>
    <row r="719">
      <c r="A719" s="277" t="s">
        <v>36</v>
      </c>
      <c r="B719" s="278">
        <v>45777.45837761574</v>
      </c>
      <c r="C719" s="277" t="s">
        <v>1224</v>
      </c>
      <c r="D719" s="277" t="s">
        <v>109</v>
      </c>
      <c r="E719" s="277" t="s">
        <v>138</v>
      </c>
      <c r="F719" s="277" t="s">
        <v>40</v>
      </c>
      <c r="G719" s="277" t="s">
        <v>54</v>
      </c>
      <c r="H719" s="277" t="s">
        <v>833</v>
      </c>
      <c r="I719" s="277">
        <v>3000.0</v>
      </c>
      <c r="J719" s="277" t="s">
        <v>43</v>
      </c>
      <c r="K719" s="279"/>
      <c r="L719" s="277" t="s">
        <v>2304</v>
      </c>
      <c r="M719" s="277" t="s">
        <v>71</v>
      </c>
      <c r="N719" s="277" t="s">
        <v>96</v>
      </c>
      <c r="O719" s="277" t="s">
        <v>1228</v>
      </c>
      <c r="P719" s="277" t="s">
        <v>2305</v>
      </c>
      <c r="Q719" s="277" t="s">
        <v>1471</v>
      </c>
      <c r="R719" s="277" t="s">
        <v>1552</v>
      </c>
      <c r="S719" s="277" t="s">
        <v>71</v>
      </c>
      <c r="T719" s="277" t="s">
        <v>2306</v>
      </c>
      <c r="U719" s="279"/>
      <c r="V719" s="279"/>
      <c r="W719" s="279"/>
      <c r="X719" s="279"/>
      <c r="Y719" s="279"/>
      <c r="Z719" s="279"/>
      <c r="AA719" s="279"/>
      <c r="AB719" s="279"/>
      <c r="AC719" s="279"/>
      <c r="AD719" s="279"/>
      <c r="AE719" s="279"/>
      <c r="AF719" s="279"/>
      <c r="AG719" s="279"/>
      <c r="AH719" s="279"/>
      <c r="AI719" s="279"/>
      <c r="AJ719" s="279"/>
      <c r="AK719" s="242" t="s">
        <v>2293</v>
      </c>
      <c r="AL719" s="279"/>
      <c r="AM719" s="279"/>
      <c r="AN719" s="279"/>
      <c r="AO719" s="279"/>
      <c r="AP719" s="279"/>
    </row>
    <row r="720">
      <c r="A720" s="242" t="s">
        <v>36</v>
      </c>
      <c r="B720" s="243">
        <v>45777.46809563658</v>
      </c>
      <c r="C720" s="242" t="s">
        <v>516</v>
      </c>
      <c r="D720" s="242" t="s">
        <v>51</v>
      </c>
      <c r="E720" s="242" t="s">
        <v>52</v>
      </c>
      <c r="F720" s="242" t="s">
        <v>210</v>
      </c>
      <c r="G720" s="242" t="s">
        <v>54</v>
      </c>
      <c r="H720" s="242" t="s">
        <v>625</v>
      </c>
      <c r="I720" s="242">
        <v>149.85</v>
      </c>
      <c r="J720" s="242" t="s">
        <v>383</v>
      </c>
      <c r="K720" s="244"/>
      <c r="L720" s="247" t="s">
        <v>2307</v>
      </c>
      <c r="M720" s="242" t="s">
        <v>71</v>
      </c>
      <c r="N720" s="242" t="s">
        <v>68</v>
      </c>
      <c r="O720" s="242" t="s">
        <v>2308</v>
      </c>
      <c r="P720" s="242" t="s">
        <v>2309</v>
      </c>
      <c r="Q720" s="242" t="s">
        <v>1438</v>
      </c>
      <c r="R720" s="242" t="s">
        <v>1552</v>
      </c>
      <c r="S720" s="242" t="s">
        <v>1557</v>
      </c>
      <c r="T720" s="242" t="s">
        <v>2310</v>
      </c>
      <c r="U720" s="244"/>
      <c r="V720" s="244"/>
      <c r="W720" s="244"/>
      <c r="X720" s="244"/>
      <c r="Y720" s="244"/>
      <c r="Z720" s="244"/>
      <c r="AA720" s="244"/>
      <c r="AB720" s="244"/>
      <c r="AC720" s="244"/>
      <c r="AD720" s="244"/>
      <c r="AE720" s="244"/>
      <c r="AF720" s="244"/>
      <c r="AG720" s="244"/>
      <c r="AH720" s="244"/>
      <c r="AI720" s="244"/>
      <c r="AJ720" s="244"/>
      <c r="AK720" s="242" t="s">
        <v>2293</v>
      </c>
      <c r="AL720" s="244"/>
      <c r="AM720" s="244"/>
      <c r="AN720" s="244"/>
      <c r="AO720" s="244"/>
      <c r="AP720" s="244"/>
    </row>
    <row r="721">
      <c r="A721" s="242" t="s">
        <v>36</v>
      </c>
      <c r="B721" s="243">
        <v>45777.69536712963</v>
      </c>
      <c r="C721" s="242" t="s">
        <v>728</v>
      </c>
      <c r="D721" s="242" t="s">
        <v>51</v>
      </c>
      <c r="E721" s="242" t="s">
        <v>52</v>
      </c>
      <c r="F721" s="242" t="s">
        <v>210</v>
      </c>
      <c r="G721" s="242" t="s">
        <v>41</v>
      </c>
      <c r="H721" s="242" t="s">
        <v>679</v>
      </c>
      <c r="I721" s="266">
        <v>525.0</v>
      </c>
      <c r="J721" s="242" t="s">
        <v>82</v>
      </c>
      <c r="K721" s="245" t="s">
        <v>2311</v>
      </c>
      <c r="L721" s="242" t="s">
        <v>2312</v>
      </c>
      <c r="M721" s="242" t="s">
        <v>71</v>
      </c>
      <c r="N721" s="242" t="s">
        <v>96</v>
      </c>
      <c r="O721" s="242" t="s">
        <v>2258</v>
      </c>
      <c r="P721" s="246" t="s">
        <v>2313</v>
      </c>
      <c r="Q721" s="242" t="s">
        <v>1438</v>
      </c>
      <c r="R721" s="242" t="s">
        <v>1552</v>
      </c>
      <c r="S721" s="242" t="s">
        <v>71</v>
      </c>
      <c r="T721" s="242" t="s">
        <v>2314</v>
      </c>
      <c r="U721" s="244"/>
      <c r="V721" s="242" t="s">
        <v>2213</v>
      </c>
      <c r="W721" s="242" t="s">
        <v>736</v>
      </c>
      <c r="X721" s="248"/>
      <c r="Y721" s="244"/>
      <c r="Z721" s="244"/>
      <c r="AA721" s="244"/>
      <c r="AB721" s="244"/>
      <c r="AC721" s="244"/>
      <c r="AD721" s="244"/>
      <c r="AE721" s="244"/>
      <c r="AF721" s="244"/>
      <c r="AG721" s="244"/>
      <c r="AH721" s="244"/>
      <c r="AI721" s="244"/>
      <c r="AJ721" s="244"/>
      <c r="AK721" s="242" t="s">
        <v>2315</v>
      </c>
      <c r="AL721" s="244"/>
      <c r="AM721" s="244"/>
      <c r="AN721" s="244"/>
      <c r="AO721" s="244"/>
      <c r="AP721" s="244"/>
    </row>
    <row r="722">
      <c r="A722" s="242" t="s">
        <v>36</v>
      </c>
      <c r="B722" s="243">
        <v>45779.73197828703</v>
      </c>
      <c r="C722" s="242" t="s">
        <v>2316</v>
      </c>
      <c r="D722" s="242" t="s">
        <v>109</v>
      </c>
      <c r="E722" s="242" t="s">
        <v>52</v>
      </c>
      <c r="F722" s="242" t="s">
        <v>65</v>
      </c>
      <c r="G722" s="242" t="s">
        <v>54</v>
      </c>
      <c r="H722" s="242" t="s">
        <v>992</v>
      </c>
      <c r="I722" s="280">
        <v>2450.0</v>
      </c>
      <c r="J722" s="242" t="s">
        <v>538</v>
      </c>
      <c r="K722" s="244"/>
      <c r="L722" s="242" t="s">
        <v>2317</v>
      </c>
      <c r="M722" s="242" t="s">
        <v>71</v>
      </c>
      <c r="N722" s="242" t="s">
        <v>96</v>
      </c>
      <c r="O722" s="242" t="s">
        <v>2318</v>
      </c>
      <c r="P722" s="242" t="s">
        <v>2319</v>
      </c>
      <c r="Q722" s="242" t="s">
        <v>1438</v>
      </c>
      <c r="R722" s="242" t="s">
        <v>1552</v>
      </c>
      <c r="S722" s="242" t="s">
        <v>1557</v>
      </c>
      <c r="T722" s="242" t="s">
        <v>2320</v>
      </c>
      <c r="U722" s="244"/>
      <c r="V722" s="242" t="s">
        <v>1433</v>
      </c>
      <c r="W722" s="242" t="s">
        <v>1433</v>
      </c>
      <c r="X722" s="248"/>
      <c r="Y722" s="244"/>
      <c r="Z722" s="244"/>
      <c r="AA722" s="244"/>
      <c r="AB722" s="244"/>
      <c r="AC722" s="244"/>
      <c r="AD722" s="244"/>
      <c r="AE722" s="244"/>
      <c r="AF722" s="244"/>
      <c r="AG722" s="244"/>
      <c r="AH722" s="244"/>
      <c r="AI722" s="244"/>
      <c r="AJ722" s="244"/>
      <c r="AK722" s="242" t="s">
        <v>2315</v>
      </c>
      <c r="AL722" s="244"/>
      <c r="AM722" s="244"/>
      <c r="AN722" s="244"/>
      <c r="AO722" s="244"/>
      <c r="AP722" s="244"/>
    </row>
    <row r="723">
      <c r="A723" s="242" t="s">
        <v>36</v>
      </c>
      <c r="B723" s="243">
        <v>45782.44707533564</v>
      </c>
      <c r="C723" s="242" t="s">
        <v>155</v>
      </c>
      <c r="D723" s="242" t="s">
        <v>156</v>
      </c>
      <c r="E723" s="242" t="s">
        <v>52</v>
      </c>
      <c r="F723" s="242" t="s">
        <v>65</v>
      </c>
      <c r="G723" s="242" t="s">
        <v>54</v>
      </c>
      <c r="H723" s="242" t="s">
        <v>833</v>
      </c>
      <c r="I723" s="242">
        <v>2600.0</v>
      </c>
      <c r="J723" s="242" t="s">
        <v>157</v>
      </c>
      <c r="K723" s="244"/>
      <c r="L723" s="247" t="s">
        <v>2321</v>
      </c>
      <c r="M723" s="242" t="s">
        <v>71</v>
      </c>
      <c r="N723" s="242" t="s">
        <v>96</v>
      </c>
      <c r="O723" s="242" t="s">
        <v>1629</v>
      </c>
      <c r="P723" s="242" t="s">
        <v>2322</v>
      </c>
      <c r="Q723" s="242" t="s">
        <v>1471</v>
      </c>
      <c r="R723" s="242" t="s">
        <v>1552</v>
      </c>
      <c r="S723" s="242" t="s">
        <v>1621</v>
      </c>
      <c r="T723" s="242" t="s">
        <v>2323</v>
      </c>
      <c r="U723" s="244"/>
      <c r="V723" s="244"/>
      <c r="W723" s="244"/>
      <c r="X723" s="244"/>
      <c r="Y723" s="244"/>
      <c r="Z723" s="244"/>
      <c r="AA723" s="244"/>
      <c r="AB723" s="244"/>
      <c r="AC723" s="244"/>
      <c r="AD723" s="244"/>
      <c r="AE723" s="244"/>
      <c r="AF723" s="244"/>
      <c r="AG723" s="244"/>
      <c r="AH723" s="244"/>
      <c r="AI723" s="244"/>
      <c r="AJ723" s="244"/>
      <c r="AK723" s="242" t="s">
        <v>2315</v>
      </c>
      <c r="AL723" s="244"/>
      <c r="AM723" s="244"/>
      <c r="AN723" s="244"/>
      <c r="AO723" s="244"/>
      <c r="AP723" s="244"/>
    </row>
    <row r="724">
      <c r="A724" s="242" t="s">
        <v>36</v>
      </c>
      <c r="B724" s="243">
        <v>45782.696741736116</v>
      </c>
      <c r="C724" s="242" t="s">
        <v>160</v>
      </c>
      <c r="D724" s="242" t="s">
        <v>109</v>
      </c>
      <c r="E724" s="242" t="s">
        <v>52</v>
      </c>
      <c r="F724" s="242" t="s">
        <v>65</v>
      </c>
      <c r="G724" s="242" t="s">
        <v>54</v>
      </c>
      <c r="H724" s="242" t="s">
        <v>833</v>
      </c>
      <c r="I724" s="242" t="s">
        <v>2324</v>
      </c>
      <c r="J724" s="242" t="s">
        <v>157</v>
      </c>
      <c r="K724" s="247" t="s">
        <v>2325</v>
      </c>
      <c r="L724" s="242" t="s">
        <v>2326</v>
      </c>
      <c r="M724" s="242" t="s">
        <v>71</v>
      </c>
      <c r="N724" s="242" t="s">
        <v>68</v>
      </c>
      <c r="O724" s="242" t="s">
        <v>1634</v>
      </c>
      <c r="P724" s="242" t="s">
        <v>2327</v>
      </c>
      <c r="Q724" s="242" t="s">
        <v>1471</v>
      </c>
      <c r="R724" s="242" t="s">
        <v>1552</v>
      </c>
      <c r="S724" s="242" t="s">
        <v>1621</v>
      </c>
      <c r="T724" s="242" t="s">
        <v>2328</v>
      </c>
      <c r="U724" s="244"/>
      <c r="V724" s="244"/>
      <c r="W724" s="244"/>
      <c r="X724" s="244"/>
      <c r="Y724" s="244"/>
      <c r="Z724" s="244"/>
      <c r="AA724" s="244"/>
      <c r="AB724" s="244"/>
      <c r="AC724" s="244"/>
      <c r="AD724" s="244"/>
      <c r="AE724" s="244"/>
      <c r="AF724" s="244"/>
      <c r="AG724" s="244"/>
      <c r="AH724" s="244"/>
      <c r="AI724" s="244"/>
      <c r="AJ724" s="244"/>
      <c r="AK724" s="242" t="s">
        <v>2315</v>
      </c>
      <c r="AL724" s="244"/>
      <c r="AM724" s="244"/>
      <c r="AN724" s="244"/>
      <c r="AO724" s="244"/>
      <c r="AP724" s="244"/>
    </row>
    <row r="725" ht="58.5" customHeight="1">
      <c r="A725" s="242" t="s">
        <v>36</v>
      </c>
      <c r="B725" s="243">
        <v>45783.00547033564</v>
      </c>
      <c r="C725" s="242" t="s">
        <v>1045</v>
      </c>
      <c r="D725" s="242" t="s">
        <v>109</v>
      </c>
      <c r="E725" s="242" t="s">
        <v>52</v>
      </c>
      <c r="F725" s="242" t="s">
        <v>65</v>
      </c>
      <c r="G725" s="242" t="s">
        <v>54</v>
      </c>
      <c r="H725" s="242" t="s">
        <v>833</v>
      </c>
      <c r="I725" s="242" t="s">
        <v>2329</v>
      </c>
      <c r="J725" s="242" t="s">
        <v>1046</v>
      </c>
      <c r="K725" s="244"/>
      <c r="L725" s="242" t="s">
        <v>2330</v>
      </c>
      <c r="M725" s="242" t="s">
        <v>71</v>
      </c>
      <c r="N725" s="242" t="s">
        <v>96</v>
      </c>
      <c r="O725" s="242" t="s">
        <v>2331</v>
      </c>
      <c r="P725" s="242" t="s">
        <v>2332</v>
      </c>
      <c r="Q725" s="242" t="s">
        <v>1471</v>
      </c>
      <c r="R725" s="242" t="s">
        <v>1598</v>
      </c>
      <c r="S725" s="242" t="s">
        <v>71</v>
      </c>
      <c r="T725" s="242" t="s">
        <v>2333</v>
      </c>
      <c r="U725" s="244"/>
      <c r="V725" s="244"/>
      <c r="W725" s="244"/>
      <c r="X725" s="244"/>
      <c r="Y725" s="244"/>
      <c r="Z725" s="244"/>
      <c r="AA725" s="244"/>
      <c r="AB725" s="244"/>
      <c r="AC725" s="244"/>
      <c r="AD725" s="244"/>
      <c r="AE725" s="244"/>
      <c r="AF725" s="244"/>
      <c r="AG725" s="244"/>
      <c r="AH725" s="244"/>
      <c r="AI725" s="244"/>
      <c r="AJ725" s="244"/>
      <c r="AK725" s="242" t="s">
        <v>2315</v>
      </c>
      <c r="AL725" s="244"/>
      <c r="AM725" s="244"/>
      <c r="AN725" s="244"/>
      <c r="AO725" s="244"/>
      <c r="AP725" s="244"/>
    </row>
    <row r="726" ht="58.5" customHeight="1">
      <c r="A726" s="242" t="s">
        <v>36</v>
      </c>
      <c r="B726" s="243">
        <v>45783.42427148148</v>
      </c>
      <c r="C726" s="242" t="s">
        <v>703</v>
      </c>
      <c r="D726" s="242" t="s">
        <v>109</v>
      </c>
      <c r="E726" s="242" t="s">
        <v>138</v>
      </c>
      <c r="F726" s="242" t="s">
        <v>65</v>
      </c>
      <c r="G726" s="242" t="s">
        <v>54</v>
      </c>
      <c r="H726" s="242" t="s">
        <v>625</v>
      </c>
      <c r="I726" s="242" t="s">
        <v>2334</v>
      </c>
      <c r="J726" s="242" t="s">
        <v>418</v>
      </c>
      <c r="K726" s="244"/>
      <c r="L726" s="247" t="s">
        <v>2335</v>
      </c>
      <c r="M726" s="242" t="s">
        <v>71</v>
      </c>
      <c r="N726" s="242" t="s">
        <v>96</v>
      </c>
      <c r="O726" s="242" t="s">
        <v>2336</v>
      </c>
      <c r="P726" s="242" t="s">
        <v>2337</v>
      </c>
      <c r="Q726" s="242" t="s">
        <v>1471</v>
      </c>
      <c r="R726" s="242" t="s">
        <v>1552</v>
      </c>
      <c r="S726" s="242" t="s">
        <v>71</v>
      </c>
      <c r="T726" s="242" t="s">
        <v>2338</v>
      </c>
      <c r="U726" s="244"/>
      <c r="V726" s="244"/>
      <c r="W726" s="244"/>
      <c r="X726" s="244"/>
      <c r="Y726" s="244"/>
      <c r="Z726" s="244"/>
      <c r="AA726" s="244"/>
      <c r="AB726" s="244"/>
      <c r="AC726" s="244"/>
      <c r="AD726" s="244"/>
      <c r="AE726" s="244"/>
      <c r="AF726" s="244"/>
      <c r="AG726" s="244"/>
      <c r="AH726" s="244"/>
      <c r="AI726" s="244"/>
      <c r="AJ726" s="244"/>
      <c r="AK726" s="242" t="s">
        <v>2315</v>
      </c>
      <c r="AL726" s="244"/>
      <c r="AM726" s="244"/>
      <c r="AN726" s="244"/>
      <c r="AO726" s="244"/>
      <c r="AP726" s="244"/>
    </row>
    <row r="727">
      <c r="A727" s="242" t="s">
        <v>36</v>
      </c>
      <c r="B727" s="243">
        <v>45783.62913577547</v>
      </c>
      <c r="C727" s="242" t="s">
        <v>243</v>
      </c>
      <c r="D727" s="242" t="s">
        <v>109</v>
      </c>
      <c r="E727" s="242" t="s">
        <v>52</v>
      </c>
      <c r="F727" s="242" t="s">
        <v>65</v>
      </c>
      <c r="G727" s="242" t="s">
        <v>131</v>
      </c>
      <c r="H727" s="242" t="s">
        <v>607</v>
      </c>
      <c r="I727" s="242" t="s">
        <v>2339</v>
      </c>
      <c r="J727" s="242" t="s">
        <v>244</v>
      </c>
      <c r="K727" s="247" t="s">
        <v>2340</v>
      </c>
      <c r="L727" s="242" t="s">
        <v>2341</v>
      </c>
      <c r="M727" s="242" t="s">
        <v>71</v>
      </c>
      <c r="N727" s="242" t="s">
        <v>68</v>
      </c>
      <c r="O727" s="242" t="s">
        <v>2342</v>
      </c>
      <c r="P727" s="244"/>
      <c r="Q727" s="242" t="s">
        <v>1438</v>
      </c>
      <c r="R727" s="242" t="s">
        <v>1598</v>
      </c>
      <c r="S727" s="242" t="s">
        <v>71</v>
      </c>
      <c r="T727" s="242" t="s">
        <v>2343</v>
      </c>
      <c r="U727" s="244"/>
      <c r="V727" s="244"/>
      <c r="W727" s="244"/>
      <c r="X727" s="244"/>
      <c r="Y727" s="244"/>
      <c r="Z727" s="244"/>
      <c r="AA727" s="244"/>
      <c r="AB727" s="244"/>
      <c r="AC727" s="244"/>
      <c r="AD727" s="244"/>
      <c r="AE727" s="244"/>
      <c r="AF727" s="244"/>
      <c r="AG727" s="244"/>
      <c r="AH727" s="244"/>
      <c r="AI727" s="244"/>
      <c r="AJ727" s="244"/>
      <c r="AK727" s="242" t="s">
        <v>2344</v>
      </c>
      <c r="AL727" s="244"/>
      <c r="AM727" s="244"/>
      <c r="AN727" s="244"/>
      <c r="AO727" s="244"/>
      <c r="AP727" s="244"/>
    </row>
    <row r="728">
      <c r="A728" s="242" t="s">
        <v>36</v>
      </c>
      <c r="B728" s="243">
        <v>45784.35896041666</v>
      </c>
      <c r="C728" s="242" t="s">
        <v>311</v>
      </c>
      <c r="D728" s="242" t="s">
        <v>317</v>
      </c>
      <c r="E728" s="242" t="s">
        <v>52</v>
      </c>
      <c r="F728" s="242" t="s">
        <v>65</v>
      </c>
      <c r="G728" s="242" t="s">
        <v>54</v>
      </c>
      <c r="H728" s="242" t="s">
        <v>625</v>
      </c>
      <c r="I728" s="264">
        <v>249.0</v>
      </c>
      <c r="J728" s="242" t="s">
        <v>100</v>
      </c>
      <c r="K728" s="247" t="s">
        <v>2345</v>
      </c>
      <c r="L728" s="242" t="s">
        <v>2346</v>
      </c>
      <c r="M728" s="242" t="s">
        <v>71</v>
      </c>
      <c r="N728" s="242" t="s">
        <v>96</v>
      </c>
      <c r="O728" s="242" t="s">
        <v>1952</v>
      </c>
      <c r="P728" s="244"/>
      <c r="Q728" s="242" t="s">
        <v>1438</v>
      </c>
      <c r="R728" s="242" t="s">
        <v>1552</v>
      </c>
      <c r="S728" s="242" t="s">
        <v>71</v>
      </c>
      <c r="T728" s="244"/>
      <c r="U728" s="244"/>
      <c r="V728" s="244"/>
      <c r="W728" s="244"/>
      <c r="X728" s="244"/>
      <c r="Y728" s="244"/>
      <c r="Z728" s="244"/>
      <c r="AA728" s="244"/>
      <c r="AB728" s="244"/>
      <c r="AC728" s="244"/>
      <c r="AD728" s="244"/>
      <c r="AE728" s="244"/>
      <c r="AF728" s="244"/>
      <c r="AG728" s="244"/>
      <c r="AH728" s="244"/>
      <c r="AI728" s="244"/>
      <c r="AJ728" s="244"/>
      <c r="AK728" s="242" t="s">
        <v>2344</v>
      </c>
      <c r="AL728" s="244"/>
      <c r="AM728" s="244"/>
      <c r="AN728" s="244"/>
      <c r="AO728" s="244"/>
      <c r="AP728" s="244"/>
    </row>
    <row r="729">
      <c r="A729" s="242" t="s">
        <v>36</v>
      </c>
      <c r="B729" s="243">
        <v>45784.54261615741</v>
      </c>
      <c r="C729" s="242" t="s">
        <v>586</v>
      </c>
      <c r="D729" s="242" t="s">
        <v>51</v>
      </c>
      <c r="E729" s="242" t="s">
        <v>52</v>
      </c>
      <c r="F729" s="242" t="s">
        <v>40</v>
      </c>
      <c r="G729" s="242" t="s">
        <v>131</v>
      </c>
      <c r="H729" s="242" t="s">
        <v>625</v>
      </c>
      <c r="I729" s="242" t="s">
        <v>2347</v>
      </c>
      <c r="J729" s="242" t="s">
        <v>102</v>
      </c>
      <c r="K729" s="244"/>
      <c r="L729" s="242" t="s">
        <v>2348</v>
      </c>
      <c r="M729" s="242" t="s">
        <v>71</v>
      </c>
      <c r="N729" s="242" t="s">
        <v>96</v>
      </c>
      <c r="O729" s="242" t="s">
        <v>1097</v>
      </c>
      <c r="P729" s="246" t="s">
        <v>2349</v>
      </c>
      <c r="Q729" s="242" t="s">
        <v>1471</v>
      </c>
      <c r="R729" s="242" t="s">
        <v>1552</v>
      </c>
      <c r="S729" s="242" t="s">
        <v>71</v>
      </c>
      <c r="T729" s="242" t="s">
        <v>2350</v>
      </c>
      <c r="U729" s="244"/>
      <c r="V729" s="244"/>
      <c r="W729" s="244"/>
      <c r="X729" s="244"/>
      <c r="Y729" s="244"/>
      <c r="Z729" s="244"/>
      <c r="AA729" s="244"/>
      <c r="AB729" s="244"/>
      <c r="AC729" s="244"/>
      <c r="AD729" s="244"/>
      <c r="AE729" s="244"/>
      <c r="AF729" s="244"/>
      <c r="AG729" s="244"/>
      <c r="AH729" s="244"/>
      <c r="AI729" s="244"/>
      <c r="AJ729" s="244"/>
      <c r="AK729" s="242" t="s">
        <v>2344</v>
      </c>
      <c r="AL729" s="244"/>
      <c r="AM729" s="244"/>
      <c r="AN729" s="244"/>
      <c r="AO729" s="244"/>
      <c r="AP729" s="244"/>
    </row>
    <row r="730">
      <c r="A730" s="242" t="s">
        <v>36</v>
      </c>
      <c r="B730" s="243">
        <v>45784.730908541664</v>
      </c>
      <c r="C730" s="242" t="s">
        <v>2351</v>
      </c>
      <c r="D730" s="242" t="s">
        <v>109</v>
      </c>
      <c r="E730" s="242" t="s">
        <v>52</v>
      </c>
      <c r="F730" s="242" t="s">
        <v>65</v>
      </c>
      <c r="G730" s="242" t="s">
        <v>54</v>
      </c>
      <c r="H730" s="242" t="s">
        <v>833</v>
      </c>
      <c r="I730" s="265">
        <v>2640.0</v>
      </c>
      <c r="J730" s="242" t="s">
        <v>383</v>
      </c>
      <c r="K730" s="245" t="s">
        <v>2352</v>
      </c>
      <c r="L730" s="242" t="s">
        <v>2353</v>
      </c>
      <c r="M730" s="242" t="s">
        <v>71</v>
      </c>
      <c r="N730" s="242" t="s">
        <v>96</v>
      </c>
      <c r="O730" s="242" t="s">
        <v>2354</v>
      </c>
      <c r="P730" s="242" t="s">
        <v>2355</v>
      </c>
      <c r="Q730" s="242" t="s">
        <v>1471</v>
      </c>
      <c r="R730" s="242" t="s">
        <v>1552</v>
      </c>
      <c r="S730" s="242" t="s">
        <v>1621</v>
      </c>
      <c r="T730" s="244"/>
      <c r="U730" s="244"/>
      <c r="V730" s="244"/>
      <c r="W730" s="244"/>
      <c r="X730" s="244"/>
      <c r="Y730" s="244"/>
      <c r="Z730" s="244"/>
      <c r="AA730" s="244"/>
      <c r="AB730" s="244"/>
      <c r="AC730" s="244"/>
      <c r="AD730" s="244"/>
      <c r="AE730" s="244"/>
      <c r="AF730" s="244"/>
      <c r="AG730" s="244"/>
      <c r="AH730" s="244"/>
      <c r="AI730" s="244"/>
      <c r="AJ730" s="244"/>
      <c r="AK730" s="242" t="s">
        <v>2344</v>
      </c>
      <c r="AL730" s="244"/>
      <c r="AM730" s="244"/>
      <c r="AN730" s="244"/>
      <c r="AO730" s="244"/>
      <c r="AP730" s="244"/>
    </row>
    <row r="731">
      <c r="A731" s="242" t="s">
        <v>36</v>
      </c>
      <c r="B731" s="243">
        <v>45785.434229872684</v>
      </c>
      <c r="C731" s="242" t="s">
        <v>697</v>
      </c>
      <c r="D731" s="242" t="s">
        <v>832</v>
      </c>
      <c r="E731" s="242" t="s">
        <v>138</v>
      </c>
      <c r="F731" s="242" t="s">
        <v>65</v>
      </c>
      <c r="G731" s="242" t="s">
        <v>54</v>
      </c>
      <c r="H731" s="242" t="s">
        <v>625</v>
      </c>
      <c r="I731" s="264">
        <v>149.99</v>
      </c>
      <c r="J731" s="242" t="s">
        <v>418</v>
      </c>
      <c r="K731" s="244"/>
      <c r="L731" s="247" t="s">
        <v>2356</v>
      </c>
      <c r="M731" s="242" t="s">
        <v>71</v>
      </c>
      <c r="N731" s="242" t="s">
        <v>96</v>
      </c>
      <c r="O731" s="242" t="s">
        <v>1065</v>
      </c>
      <c r="P731" s="246" t="s">
        <v>2357</v>
      </c>
      <c r="Q731" s="242" t="s">
        <v>1438</v>
      </c>
      <c r="R731" s="242" t="s">
        <v>1552</v>
      </c>
      <c r="S731" s="242" t="s">
        <v>71</v>
      </c>
      <c r="T731" s="242" t="s">
        <v>2358</v>
      </c>
      <c r="U731" s="244"/>
      <c r="V731" s="244"/>
      <c r="W731" s="244"/>
      <c r="X731" s="244"/>
      <c r="Y731" s="244"/>
      <c r="Z731" s="244"/>
      <c r="AA731" s="244"/>
      <c r="AB731" s="244"/>
      <c r="AC731" s="244"/>
      <c r="AD731" s="244"/>
      <c r="AE731" s="244"/>
      <c r="AF731" s="244"/>
      <c r="AG731" s="244"/>
      <c r="AH731" s="244"/>
      <c r="AI731" s="244"/>
      <c r="AJ731" s="244"/>
      <c r="AK731" s="242" t="s">
        <v>2344</v>
      </c>
      <c r="AL731" s="244"/>
      <c r="AM731" s="244"/>
      <c r="AN731" s="244"/>
      <c r="AO731" s="244"/>
      <c r="AP731" s="244"/>
    </row>
    <row r="732">
      <c r="A732" s="242" t="s">
        <v>36</v>
      </c>
      <c r="B732" s="243">
        <v>45785.777001759256</v>
      </c>
      <c r="C732" s="242" t="s">
        <v>2359</v>
      </c>
      <c r="D732" s="242" t="s">
        <v>109</v>
      </c>
      <c r="E732" s="242" t="s">
        <v>52</v>
      </c>
      <c r="F732" s="242" t="s">
        <v>65</v>
      </c>
      <c r="G732" s="242" t="s">
        <v>41</v>
      </c>
      <c r="H732" s="242" t="s">
        <v>607</v>
      </c>
      <c r="I732" s="264">
        <v>66.0</v>
      </c>
      <c r="J732" s="242" t="s">
        <v>100</v>
      </c>
      <c r="K732" s="244"/>
      <c r="L732" s="242" t="s">
        <v>2360</v>
      </c>
      <c r="M732" s="242" t="s">
        <v>71</v>
      </c>
      <c r="N732" s="242" t="s">
        <v>96</v>
      </c>
      <c r="O732" s="242" t="s">
        <v>2361</v>
      </c>
      <c r="P732" s="246" t="s">
        <v>2362</v>
      </c>
      <c r="Q732" s="242" t="s">
        <v>1438</v>
      </c>
      <c r="R732" s="242" t="s">
        <v>1552</v>
      </c>
      <c r="S732" s="242" t="s">
        <v>1557</v>
      </c>
      <c r="T732" s="242" t="s">
        <v>2363</v>
      </c>
      <c r="U732" s="244"/>
      <c r="V732" s="244"/>
      <c r="W732" s="244"/>
      <c r="X732" s="244"/>
      <c r="Y732" s="244"/>
      <c r="Z732" s="244"/>
      <c r="AA732" s="244"/>
      <c r="AB732" s="244"/>
      <c r="AC732" s="244"/>
      <c r="AD732" s="244"/>
      <c r="AE732" s="244"/>
      <c r="AF732" s="244"/>
      <c r="AG732" s="244"/>
      <c r="AH732" s="244"/>
      <c r="AI732" s="244"/>
      <c r="AJ732" s="244"/>
      <c r="AK732" s="242" t="s">
        <v>2364</v>
      </c>
      <c r="AL732" s="244"/>
      <c r="AM732" s="244"/>
      <c r="AN732" s="244"/>
      <c r="AO732" s="244"/>
      <c r="AP732" s="244"/>
    </row>
    <row r="733">
      <c r="A733" s="242" t="s">
        <v>36</v>
      </c>
      <c r="B733" s="243">
        <v>45789.587586747686</v>
      </c>
      <c r="C733" s="242" t="s">
        <v>760</v>
      </c>
      <c r="D733" s="242" t="s">
        <v>800</v>
      </c>
      <c r="E733" s="242" t="s">
        <v>800</v>
      </c>
      <c r="F733" s="242" t="s">
        <v>800</v>
      </c>
      <c r="G733" s="242" t="s">
        <v>800</v>
      </c>
      <c r="H733" s="242" t="s">
        <v>1117</v>
      </c>
      <c r="I733" s="242" t="s">
        <v>2365</v>
      </c>
      <c r="J733" s="242" t="s">
        <v>383</v>
      </c>
      <c r="K733" s="244"/>
      <c r="L733" s="244"/>
      <c r="M733" s="242" t="s">
        <v>71</v>
      </c>
      <c r="N733" s="242" t="s">
        <v>96</v>
      </c>
      <c r="O733" s="242" t="s">
        <v>2308</v>
      </c>
      <c r="P733" s="242" t="s">
        <v>2366</v>
      </c>
      <c r="Q733" s="242" t="s">
        <v>1438</v>
      </c>
      <c r="R733" s="242" t="s">
        <v>1552</v>
      </c>
      <c r="S733" s="242" t="s">
        <v>1557</v>
      </c>
      <c r="T733" s="242" t="s">
        <v>2367</v>
      </c>
      <c r="U733" s="244"/>
      <c r="V733" s="244"/>
      <c r="W733" s="244"/>
      <c r="X733" s="244"/>
      <c r="Y733" s="244"/>
      <c r="Z733" s="244"/>
      <c r="AA733" s="244"/>
      <c r="AB733" s="244"/>
      <c r="AC733" s="244"/>
      <c r="AD733" s="244"/>
      <c r="AE733" s="244"/>
      <c r="AF733" s="244"/>
      <c r="AG733" s="244"/>
      <c r="AH733" s="244"/>
      <c r="AI733" s="244"/>
      <c r="AJ733" s="244"/>
      <c r="AK733" s="242" t="s">
        <v>2364</v>
      </c>
      <c r="AL733" s="244"/>
      <c r="AM733" s="244"/>
      <c r="AN733" s="244"/>
      <c r="AO733" s="244"/>
      <c r="AP733" s="244"/>
    </row>
    <row r="734">
      <c r="A734" s="242" t="s">
        <v>36</v>
      </c>
      <c r="B734" s="243">
        <v>45790.48959699074</v>
      </c>
      <c r="C734" s="242" t="s">
        <v>2368</v>
      </c>
      <c r="D734" s="242" t="s">
        <v>51</v>
      </c>
      <c r="E734" s="242" t="s">
        <v>52</v>
      </c>
      <c r="F734" s="242" t="s">
        <v>210</v>
      </c>
      <c r="G734" s="242" t="s">
        <v>131</v>
      </c>
      <c r="H734" s="242" t="s">
        <v>625</v>
      </c>
      <c r="I734" s="242" t="s">
        <v>2369</v>
      </c>
      <c r="J734" s="242" t="s">
        <v>514</v>
      </c>
      <c r="K734" s="247" t="s">
        <v>2370</v>
      </c>
      <c r="L734" s="247" t="s">
        <v>2371</v>
      </c>
      <c r="M734" s="242" t="s">
        <v>71</v>
      </c>
      <c r="N734" s="242" t="s">
        <v>96</v>
      </c>
      <c r="O734" s="242" t="s">
        <v>2372</v>
      </c>
      <c r="P734" s="242" t="s">
        <v>2373</v>
      </c>
      <c r="Q734" s="242" t="s">
        <v>1438</v>
      </c>
      <c r="R734" s="242" t="s">
        <v>1552</v>
      </c>
      <c r="S734" s="242" t="s">
        <v>71</v>
      </c>
      <c r="T734" s="244"/>
      <c r="U734" s="244"/>
      <c r="V734" s="244"/>
      <c r="W734" s="244"/>
      <c r="X734" s="244"/>
      <c r="Y734" s="244"/>
      <c r="Z734" s="244"/>
      <c r="AA734" s="244"/>
      <c r="AB734" s="244"/>
      <c r="AC734" s="244"/>
      <c r="AD734" s="244"/>
      <c r="AE734" s="244"/>
      <c r="AF734" s="244"/>
      <c r="AG734" s="244"/>
      <c r="AH734" s="244"/>
      <c r="AI734" s="244"/>
      <c r="AJ734" s="244"/>
      <c r="AK734" s="242" t="s">
        <v>2364</v>
      </c>
      <c r="AL734" s="244"/>
      <c r="AM734" s="244"/>
      <c r="AN734" s="244"/>
      <c r="AO734" s="244"/>
      <c r="AP734" s="244"/>
    </row>
    <row r="735" ht="18.75" customHeight="1">
      <c r="A735" s="242" t="s">
        <v>36</v>
      </c>
      <c r="B735" s="243">
        <v>45790.50360950231</v>
      </c>
      <c r="C735" s="242" t="s">
        <v>720</v>
      </c>
      <c r="D735" s="242" t="s">
        <v>51</v>
      </c>
      <c r="E735" s="242" t="s">
        <v>52</v>
      </c>
      <c r="F735" s="242" t="s">
        <v>40</v>
      </c>
      <c r="G735" s="242" t="s">
        <v>131</v>
      </c>
      <c r="H735" s="242" t="s">
        <v>625</v>
      </c>
      <c r="I735" s="242" t="s">
        <v>2374</v>
      </c>
      <c r="J735" s="242" t="s">
        <v>514</v>
      </c>
      <c r="K735" s="244"/>
      <c r="L735" s="242" t="s">
        <v>2375</v>
      </c>
      <c r="M735" s="242" t="s">
        <v>71</v>
      </c>
      <c r="N735" s="242" t="s">
        <v>96</v>
      </c>
      <c r="O735" s="242" t="s">
        <v>2376</v>
      </c>
      <c r="P735" s="242" t="s">
        <v>2377</v>
      </c>
      <c r="Q735" s="242" t="s">
        <v>1438</v>
      </c>
      <c r="R735" s="242" t="s">
        <v>1552</v>
      </c>
      <c r="S735" s="242" t="s">
        <v>71</v>
      </c>
      <c r="T735" s="242" t="s">
        <v>2378</v>
      </c>
      <c r="U735" s="244"/>
      <c r="V735" s="244"/>
      <c r="W735" s="244"/>
      <c r="X735" s="244"/>
      <c r="Y735" s="244"/>
      <c r="Z735" s="244"/>
      <c r="AA735" s="244"/>
      <c r="AB735" s="244"/>
      <c r="AC735" s="244"/>
      <c r="AD735" s="244"/>
      <c r="AE735" s="244"/>
      <c r="AF735" s="244"/>
      <c r="AG735" s="244"/>
      <c r="AH735" s="244"/>
      <c r="AI735" s="244"/>
      <c r="AJ735" s="244"/>
      <c r="AK735" s="242" t="s">
        <v>2379</v>
      </c>
      <c r="AL735" s="244"/>
      <c r="AM735" s="244"/>
      <c r="AN735" s="244"/>
      <c r="AO735" s="244"/>
      <c r="AP735" s="244"/>
    </row>
    <row r="736">
      <c r="A736" s="242" t="s">
        <v>36</v>
      </c>
      <c r="B736" s="243">
        <v>45790.67202603009</v>
      </c>
      <c r="C736" s="242" t="s">
        <v>1366</v>
      </c>
      <c r="D736" s="242" t="s">
        <v>51</v>
      </c>
      <c r="E736" s="242" t="s">
        <v>52</v>
      </c>
      <c r="F736" s="242" t="s">
        <v>65</v>
      </c>
      <c r="G736" s="242" t="s">
        <v>54</v>
      </c>
      <c r="H736" s="242" t="s">
        <v>992</v>
      </c>
      <c r="I736" s="242">
        <v>3000.0</v>
      </c>
      <c r="J736" s="242" t="s">
        <v>626</v>
      </c>
      <c r="K736" s="245" t="s">
        <v>2380</v>
      </c>
      <c r="L736" s="242" t="s">
        <v>2117</v>
      </c>
      <c r="M736" s="242" t="s">
        <v>71</v>
      </c>
      <c r="N736" s="242" t="s">
        <v>96</v>
      </c>
      <c r="O736" s="242" t="s">
        <v>2118</v>
      </c>
      <c r="P736" s="242" t="s">
        <v>2381</v>
      </c>
      <c r="Q736" s="242" t="s">
        <v>1438</v>
      </c>
      <c r="R736" s="242" t="s">
        <v>1552</v>
      </c>
      <c r="S736" s="242" t="s">
        <v>1557</v>
      </c>
      <c r="T736" s="244"/>
      <c r="U736" s="244"/>
      <c r="V736" s="244"/>
      <c r="W736" s="244"/>
      <c r="X736" s="244"/>
      <c r="Y736" s="244"/>
      <c r="Z736" s="244"/>
      <c r="AA736" s="244"/>
      <c r="AB736" s="244"/>
      <c r="AC736" s="244"/>
      <c r="AD736" s="244"/>
      <c r="AE736" s="244"/>
      <c r="AF736" s="244"/>
      <c r="AG736" s="244"/>
      <c r="AH736" s="244"/>
      <c r="AI736" s="244"/>
      <c r="AJ736" s="244"/>
      <c r="AK736" s="242" t="s">
        <v>2364</v>
      </c>
      <c r="AL736" s="244"/>
      <c r="AM736" s="244"/>
      <c r="AN736" s="244"/>
      <c r="AO736" s="244"/>
      <c r="AP736" s="244"/>
    </row>
    <row r="737">
      <c r="A737" s="242" t="s">
        <v>36</v>
      </c>
      <c r="B737" s="243">
        <v>45792.36537008102</v>
      </c>
      <c r="C737" s="242" t="s">
        <v>512</v>
      </c>
      <c r="D737" s="242" t="s">
        <v>142</v>
      </c>
      <c r="E737" s="242" t="s">
        <v>138</v>
      </c>
      <c r="F737" s="242" t="s">
        <v>65</v>
      </c>
      <c r="G737" s="242" t="s">
        <v>54</v>
      </c>
      <c r="H737" s="242" t="s">
        <v>833</v>
      </c>
      <c r="I737" s="242" t="s">
        <v>2382</v>
      </c>
      <c r="J737" s="242" t="s">
        <v>514</v>
      </c>
      <c r="K737" s="244"/>
      <c r="L737" s="247" t="s">
        <v>2383</v>
      </c>
      <c r="M737" s="242" t="s">
        <v>71</v>
      </c>
      <c r="N737" s="242" t="s">
        <v>96</v>
      </c>
      <c r="O737" s="242" t="s">
        <v>2384</v>
      </c>
      <c r="P737" s="242" t="s">
        <v>2385</v>
      </c>
      <c r="Q737" s="242" t="s">
        <v>1471</v>
      </c>
      <c r="R737" s="242" t="s">
        <v>1552</v>
      </c>
      <c r="S737" s="242" t="s">
        <v>71</v>
      </c>
      <c r="T737" s="242" t="s">
        <v>2386</v>
      </c>
      <c r="U737" s="244"/>
      <c r="V737" s="244"/>
      <c r="W737" s="244"/>
      <c r="X737" s="244"/>
      <c r="Y737" s="244"/>
      <c r="Z737" s="244"/>
      <c r="AA737" s="244"/>
      <c r="AB737" s="244"/>
      <c r="AC737" s="244"/>
      <c r="AD737" s="244"/>
      <c r="AE737" s="244"/>
      <c r="AF737" s="244"/>
      <c r="AG737" s="244"/>
      <c r="AH737" s="244"/>
      <c r="AI737" s="244"/>
      <c r="AJ737" s="244"/>
      <c r="AK737" s="242" t="s">
        <v>2387</v>
      </c>
      <c r="AL737" s="244"/>
      <c r="AM737" s="244"/>
      <c r="AN737" s="244"/>
      <c r="AO737" s="244"/>
      <c r="AP737" s="244"/>
    </row>
    <row r="738" ht="18.0" customHeight="1">
      <c r="A738" s="242" t="s">
        <v>36</v>
      </c>
      <c r="B738" s="243">
        <v>45793.36762921297</v>
      </c>
      <c r="C738" s="242" t="s">
        <v>2388</v>
      </c>
      <c r="D738" s="242" t="s">
        <v>109</v>
      </c>
      <c r="E738" s="242" t="s">
        <v>138</v>
      </c>
      <c r="F738" s="242" t="s">
        <v>65</v>
      </c>
      <c r="G738" s="242" t="s">
        <v>131</v>
      </c>
      <c r="H738" s="242" t="s">
        <v>625</v>
      </c>
      <c r="I738" s="264">
        <v>449.0</v>
      </c>
      <c r="J738" s="242" t="s">
        <v>514</v>
      </c>
      <c r="K738" s="244"/>
      <c r="L738" s="242" t="s">
        <v>2389</v>
      </c>
      <c r="M738" s="242" t="s">
        <v>71</v>
      </c>
      <c r="N738" s="242" t="s">
        <v>96</v>
      </c>
      <c r="O738" s="242" t="s">
        <v>2390</v>
      </c>
      <c r="P738" s="242" t="s">
        <v>2373</v>
      </c>
      <c r="Q738" s="242" t="s">
        <v>1438</v>
      </c>
      <c r="R738" s="242" t="s">
        <v>1552</v>
      </c>
      <c r="S738" s="242" t="s">
        <v>71</v>
      </c>
      <c r="T738" s="244"/>
      <c r="U738" s="244"/>
      <c r="V738" s="244"/>
      <c r="W738" s="244"/>
      <c r="X738" s="244"/>
      <c r="Y738" s="244"/>
      <c r="Z738" s="244"/>
      <c r="AA738" s="244"/>
      <c r="AB738" s="244"/>
      <c r="AC738" s="244"/>
      <c r="AD738" s="244"/>
      <c r="AE738" s="244"/>
      <c r="AF738" s="244"/>
      <c r="AG738" s="244"/>
      <c r="AH738" s="244"/>
      <c r="AI738" s="244"/>
      <c r="AJ738" s="244"/>
      <c r="AK738" s="242" t="s">
        <v>2391</v>
      </c>
      <c r="AL738" s="244"/>
      <c r="AM738" s="244"/>
      <c r="AN738" s="244"/>
      <c r="AO738" s="244"/>
      <c r="AP738" s="244"/>
    </row>
    <row r="739" ht="18.0" customHeight="1">
      <c r="A739" s="242" t="s">
        <v>36</v>
      </c>
      <c r="B739" s="243">
        <v>45796.64003738426</v>
      </c>
      <c r="C739" s="242" t="s">
        <v>264</v>
      </c>
      <c r="D739" s="242" t="s">
        <v>51</v>
      </c>
      <c r="E739" s="242" t="s">
        <v>265</v>
      </c>
      <c r="F739" s="242" t="s">
        <v>80</v>
      </c>
      <c r="G739" s="242" t="s">
        <v>41</v>
      </c>
      <c r="H739" s="242" t="s">
        <v>607</v>
      </c>
      <c r="I739" s="264">
        <v>158.0</v>
      </c>
      <c r="J739" s="242" t="s">
        <v>184</v>
      </c>
      <c r="K739" s="247" t="s">
        <v>2392</v>
      </c>
      <c r="L739" s="242" t="s">
        <v>2393</v>
      </c>
      <c r="M739" s="242" t="s">
        <v>71</v>
      </c>
      <c r="N739" s="242" t="s">
        <v>96</v>
      </c>
      <c r="O739" s="242" t="s">
        <v>2394</v>
      </c>
      <c r="P739" s="246" t="s">
        <v>2395</v>
      </c>
      <c r="Q739" s="242" t="s">
        <v>1438</v>
      </c>
      <c r="R739" s="242" t="s">
        <v>1552</v>
      </c>
      <c r="S739" s="242" t="s">
        <v>1557</v>
      </c>
      <c r="T739" s="244"/>
      <c r="U739" s="244"/>
      <c r="V739" s="244"/>
      <c r="W739" s="244"/>
      <c r="X739" s="244"/>
      <c r="Y739" s="244"/>
      <c r="Z739" s="244"/>
      <c r="AA739" s="244"/>
      <c r="AB739" s="244"/>
      <c r="AC739" s="244"/>
      <c r="AD739" s="244"/>
      <c r="AE739" s="244"/>
      <c r="AF739" s="244"/>
      <c r="AG739" s="244"/>
      <c r="AH739" s="244"/>
      <c r="AI739" s="244"/>
      <c r="AJ739" s="244"/>
      <c r="AK739" s="242" t="s">
        <v>2387</v>
      </c>
      <c r="AL739" s="244"/>
      <c r="AM739" s="244"/>
      <c r="AN739" s="244"/>
      <c r="AO739" s="244"/>
      <c r="AP739" s="244"/>
    </row>
    <row r="740" ht="18.0" customHeight="1">
      <c r="A740" s="242" t="s">
        <v>36</v>
      </c>
      <c r="B740" s="243">
        <v>45796.766646585646</v>
      </c>
      <c r="C740" s="242" t="s">
        <v>276</v>
      </c>
      <c r="D740" s="242" t="s">
        <v>202</v>
      </c>
      <c r="E740" s="242" t="s">
        <v>52</v>
      </c>
      <c r="F740" s="242" t="s">
        <v>210</v>
      </c>
      <c r="G740" s="242" t="s">
        <v>54</v>
      </c>
      <c r="H740" s="242" t="s">
        <v>679</v>
      </c>
      <c r="I740" s="242" t="s">
        <v>2396</v>
      </c>
      <c r="J740" s="242" t="s">
        <v>43</v>
      </c>
      <c r="K740" s="244"/>
      <c r="L740" s="242" t="s">
        <v>2397</v>
      </c>
      <c r="M740" s="242" t="s">
        <v>71</v>
      </c>
      <c r="N740" s="242" t="s">
        <v>68</v>
      </c>
      <c r="O740" s="242" t="s">
        <v>910</v>
      </c>
      <c r="P740" s="246" t="s">
        <v>2398</v>
      </c>
      <c r="Q740" s="242" t="s">
        <v>1438</v>
      </c>
      <c r="R740" s="242" t="s">
        <v>1552</v>
      </c>
      <c r="S740" s="242" t="s">
        <v>1557</v>
      </c>
      <c r="T740" s="244"/>
      <c r="U740" s="242" t="s">
        <v>2399</v>
      </c>
      <c r="V740" s="242" t="s">
        <v>2213</v>
      </c>
      <c r="W740" s="242">
        <v>2.0</v>
      </c>
      <c r="X740" s="248"/>
      <c r="Y740" s="244"/>
      <c r="Z740" s="244"/>
      <c r="AA740" s="244"/>
      <c r="AB740" s="244"/>
      <c r="AC740" s="244"/>
      <c r="AD740" s="244"/>
      <c r="AE740" s="244"/>
      <c r="AF740" s="244"/>
      <c r="AG740" s="244"/>
      <c r="AH740" s="244"/>
      <c r="AI740" s="244"/>
      <c r="AJ740" s="244"/>
      <c r="AK740" s="242" t="s">
        <v>2387</v>
      </c>
      <c r="AL740" s="244"/>
      <c r="AM740" s="244"/>
      <c r="AN740" s="244"/>
      <c r="AO740" s="244"/>
      <c r="AP740" s="244"/>
    </row>
    <row r="741" ht="18.0" customHeight="1">
      <c r="A741" s="242" t="s">
        <v>36</v>
      </c>
      <c r="B741" s="243">
        <v>45796.98387243056</v>
      </c>
      <c r="C741" s="242" t="s">
        <v>1586</v>
      </c>
      <c r="D741" s="242" t="s">
        <v>389</v>
      </c>
      <c r="E741" s="242" t="s">
        <v>52</v>
      </c>
      <c r="F741" s="242" t="s">
        <v>65</v>
      </c>
      <c r="G741" s="242" t="s">
        <v>41</v>
      </c>
      <c r="H741" s="242" t="s">
        <v>625</v>
      </c>
      <c r="I741" s="265">
        <v>2943.0</v>
      </c>
      <c r="J741" s="242" t="s">
        <v>102</v>
      </c>
      <c r="K741" s="244"/>
      <c r="L741" s="247" t="s">
        <v>2400</v>
      </c>
      <c r="M741" s="242" t="s">
        <v>71</v>
      </c>
      <c r="N741" s="242" t="s">
        <v>96</v>
      </c>
      <c r="O741" s="242" t="s">
        <v>1593</v>
      </c>
      <c r="P741" s="246" t="s">
        <v>2401</v>
      </c>
      <c r="Q741" s="242" t="s">
        <v>1438</v>
      </c>
      <c r="R741" s="242" t="s">
        <v>1552</v>
      </c>
      <c r="S741" s="242" t="s">
        <v>71</v>
      </c>
      <c r="T741" s="242" t="s">
        <v>2402</v>
      </c>
      <c r="U741" s="244"/>
      <c r="V741" s="244"/>
      <c r="W741" s="244"/>
      <c r="X741" s="244"/>
      <c r="Y741" s="244"/>
      <c r="Z741" s="244"/>
      <c r="AA741" s="244"/>
      <c r="AB741" s="244"/>
      <c r="AC741" s="244"/>
      <c r="AD741" s="244"/>
      <c r="AE741" s="244"/>
      <c r="AF741" s="244"/>
      <c r="AG741" s="244"/>
      <c r="AH741" s="244"/>
      <c r="AI741" s="244"/>
      <c r="AJ741" s="244"/>
      <c r="AK741" s="242" t="s">
        <v>2387</v>
      </c>
      <c r="AL741" s="244"/>
      <c r="AM741" s="244"/>
      <c r="AN741" s="244"/>
      <c r="AO741" s="244"/>
      <c r="AP741" s="244"/>
    </row>
    <row r="742">
      <c r="A742" s="242" t="s">
        <v>36</v>
      </c>
      <c r="B742" s="243">
        <v>45797.39226503472</v>
      </c>
      <c r="C742" s="242" t="s">
        <v>1072</v>
      </c>
      <c r="D742" s="242" t="s">
        <v>51</v>
      </c>
      <c r="E742" s="242" t="s">
        <v>52</v>
      </c>
      <c r="F742" s="242" t="s">
        <v>65</v>
      </c>
      <c r="G742" s="242" t="s">
        <v>54</v>
      </c>
      <c r="H742" s="242" t="s">
        <v>625</v>
      </c>
      <c r="I742" s="264">
        <v>685.0</v>
      </c>
      <c r="J742" s="242" t="s">
        <v>102</v>
      </c>
      <c r="K742" s="247" t="s">
        <v>2403</v>
      </c>
      <c r="L742" s="242" t="s">
        <v>2404</v>
      </c>
      <c r="M742" s="242" t="s">
        <v>71</v>
      </c>
      <c r="N742" s="242" t="s">
        <v>96</v>
      </c>
      <c r="O742" s="242" t="s">
        <v>1076</v>
      </c>
      <c r="P742" s="242" t="s">
        <v>2405</v>
      </c>
      <c r="Q742" s="242" t="s">
        <v>1438</v>
      </c>
      <c r="R742" s="242" t="s">
        <v>1552</v>
      </c>
      <c r="S742" s="242" t="s">
        <v>1557</v>
      </c>
      <c r="T742" s="242" t="s">
        <v>2406</v>
      </c>
      <c r="U742" s="244"/>
      <c r="V742" s="244"/>
      <c r="W742" s="244"/>
      <c r="X742" s="244"/>
      <c r="Y742" s="244"/>
      <c r="Z742" s="244"/>
      <c r="AA742" s="244"/>
      <c r="AB742" s="244"/>
      <c r="AC742" s="244"/>
      <c r="AD742" s="244"/>
      <c r="AE742" s="244"/>
      <c r="AF742" s="244"/>
      <c r="AG742" s="244"/>
      <c r="AH742" s="244"/>
      <c r="AI742" s="244"/>
      <c r="AJ742" s="244"/>
      <c r="AK742" s="242" t="s">
        <v>2407</v>
      </c>
      <c r="AL742" s="244"/>
      <c r="AM742" s="244"/>
      <c r="AN742" s="244"/>
      <c r="AO742" s="244"/>
      <c r="AP742" s="244"/>
    </row>
    <row r="743">
      <c r="A743" s="242" t="s">
        <v>36</v>
      </c>
      <c r="B743" s="243">
        <v>45798.63950503472</v>
      </c>
      <c r="C743" s="242" t="s">
        <v>366</v>
      </c>
      <c r="D743" s="242" t="s">
        <v>142</v>
      </c>
      <c r="E743" s="242" t="s">
        <v>52</v>
      </c>
      <c r="F743" s="242" t="s">
        <v>65</v>
      </c>
      <c r="G743" s="242" t="s">
        <v>54</v>
      </c>
      <c r="H743" s="242" t="s">
        <v>607</v>
      </c>
      <c r="I743" s="242">
        <v>66.0</v>
      </c>
      <c r="J743" s="242" t="s">
        <v>102</v>
      </c>
      <c r="K743" s="245" t="s">
        <v>2408</v>
      </c>
      <c r="L743" s="242" t="s">
        <v>2409</v>
      </c>
      <c r="M743" s="242" t="s">
        <v>71</v>
      </c>
      <c r="N743" s="242" t="s">
        <v>96</v>
      </c>
      <c r="O743" s="242" t="s">
        <v>2410</v>
      </c>
      <c r="P743" s="246" t="s">
        <v>2411</v>
      </c>
      <c r="Q743" s="242" t="s">
        <v>1438</v>
      </c>
      <c r="R743" s="242" t="s">
        <v>1552</v>
      </c>
      <c r="S743" s="242" t="s">
        <v>71</v>
      </c>
      <c r="T743" s="242" t="s">
        <v>607</v>
      </c>
      <c r="U743" s="244"/>
      <c r="V743" s="242" t="s">
        <v>2412</v>
      </c>
      <c r="W743" s="244"/>
      <c r="X743" s="244"/>
      <c r="Y743" s="244"/>
      <c r="Z743" s="244"/>
      <c r="AA743" s="244"/>
      <c r="AB743" s="244"/>
      <c r="AC743" s="244"/>
      <c r="AD743" s="244"/>
      <c r="AE743" s="244"/>
      <c r="AF743" s="244"/>
      <c r="AG743" s="244"/>
      <c r="AH743" s="244"/>
      <c r="AI743" s="244"/>
      <c r="AJ743" s="244"/>
      <c r="AK743" s="242" t="s">
        <v>2407</v>
      </c>
      <c r="AL743" s="244"/>
      <c r="AM743" s="244"/>
      <c r="AN743" s="244"/>
      <c r="AO743" s="244"/>
      <c r="AP743" s="244"/>
    </row>
    <row r="744">
      <c r="A744" s="242" t="s">
        <v>36</v>
      </c>
      <c r="B744" s="243">
        <v>45800.4987833912</v>
      </c>
      <c r="C744" s="242" t="s">
        <v>728</v>
      </c>
      <c r="D744" s="242" t="s">
        <v>734</v>
      </c>
      <c r="E744" s="242" t="s">
        <v>735</v>
      </c>
      <c r="F744" s="242" t="s">
        <v>735</v>
      </c>
      <c r="G744" s="242" t="s">
        <v>735</v>
      </c>
      <c r="H744" s="242" t="s">
        <v>1098</v>
      </c>
      <c r="I744" s="266">
        <v>57587.0</v>
      </c>
      <c r="J744" s="242" t="s">
        <v>82</v>
      </c>
      <c r="K744" s="244"/>
      <c r="L744" s="244"/>
      <c r="M744" s="242" t="s">
        <v>71</v>
      </c>
      <c r="N744" s="242" t="s">
        <v>96</v>
      </c>
      <c r="O744" s="242" t="s">
        <v>2413</v>
      </c>
      <c r="P744" s="242" t="s">
        <v>2414</v>
      </c>
      <c r="Q744" s="242" t="s">
        <v>1438</v>
      </c>
      <c r="R744" s="242" t="s">
        <v>1598</v>
      </c>
      <c r="S744" s="242" t="s">
        <v>1557</v>
      </c>
      <c r="T744" s="242" t="s">
        <v>2415</v>
      </c>
      <c r="U744" s="244"/>
      <c r="V744" s="244"/>
      <c r="W744" s="244"/>
      <c r="X744" s="244"/>
      <c r="Y744" s="244"/>
      <c r="Z744" s="244"/>
      <c r="AA744" s="244"/>
      <c r="AB744" s="244"/>
      <c r="AC744" s="244"/>
      <c r="AD744" s="244"/>
      <c r="AE744" s="244"/>
      <c r="AF744" s="244"/>
      <c r="AG744" s="244"/>
      <c r="AH744" s="244"/>
      <c r="AI744" s="244"/>
      <c r="AJ744" s="244"/>
      <c r="AK744" s="242" t="s">
        <v>2416</v>
      </c>
      <c r="AL744" s="244"/>
      <c r="AM744" s="244"/>
      <c r="AN744" s="244"/>
      <c r="AO744" s="244"/>
      <c r="AP744" s="244"/>
    </row>
    <row r="745">
      <c r="A745" s="242" t="s">
        <v>36</v>
      </c>
      <c r="B745" s="243">
        <v>45800.50522851852</v>
      </c>
      <c r="C745" s="242" t="s">
        <v>1072</v>
      </c>
      <c r="D745" s="242" t="s">
        <v>51</v>
      </c>
      <c r="E745" s="242" t="s">
        <v>52</v>
      </c>
      <c r="F745" s="242" t="s">
        <v>65</v>
      </c>
      <c r="G745" s="242" t="s">
        <v>54</v>
      </c>
      <c r="H745" s="242" t="s">
        <v>625</v>
      </c>
      <c r="I745" s="242" t="s">
        <v>2417</v>
      </c>
      <c r="J745" s="242" t="s">
        <v>102</v>
      </c>
      <c r="K745" s="247" t="s">
        <v>2418</v>
      </c>
      <c r="L745" s="242" t="s">
        <v>2419</v>
      </c>
      <c r="M745" s="242" t="s">
        <v>71</v>
      </c>
      <c r="N745" s="242" t="s">
        <v>96</v>
      </c>
      <c r="O745" s="242" t="s">
        <v>1076</v>
      </c>
      <c r="P745" s="244"/>
      <c r="Q745" s="242" t="s">
        <v>1438</v>
      </c>
      <c r="R745" s="242" t="s">
        <v>1552</v>
      </c>
      <c r="S745" s="242" t="s">
        <v>71</v>
      </c>
      <c r="T745" s="242" t="s">
        <v>2420</v>
      </c>
      <c r="U745" s="244"/>
      <c r="V745" s="244"/>
      <c r="W745" s="244"/>
      <c r="X745" s="244"/>
      <c r="Y745" s="244"/>
      <c r="Z745" s="244"/>
      <c r="AA745" s="244"/>
      <c r="AB745" s="244"/>
      <c r="AC745" s="244"/>
      <c r="AD745" s="244"/>
      <c r="AE745" s="244"/>
      <c r="AF745" s="244"/>
      <c r="AG745" s="244"/>
      <c r="AH745" s="244"/>
      <c r="AI745" s="244"/>
      <c r="AJ745" s="244"/>
      <c r="AK745" s="242" t="s">
        <v>2407</v>
      </c>
      <c r="AL745" s="244"/>
      <c r="AM745" s="244"/>
      <c r="AN745" s="244"/>
      <c r="AO745" s="244"/>
      <c r="AP745" s="244"/>
    </row>
    <row r="746">
      <c r="A746" s="242" t="s">
        <v>36</v>
      </c>
      <c r="B746" s="243">
        <v>45800.66530282407</v>
      </c>
      <c r="C746" s="242" t="s">
        <v>325</v>
      </c>
      <c r="D746" s="242" t="s">
        <v>142</v>
      </c>
      <c r="E746" s="242" t="s">
        <v>138</v>
      </c>
      <c r="F746" s="242" t="s">
        <v>65</v>
      </c>
      <c r="G746" s="242" t="s">
        <v>54</v>
      </c>
      <c r="H746" s="242" t="s">
        <v>833</v>
      </c>
      <c r="I746" s="242" t="s">
        <v>2421</v>
      </c>
      <c r="J746" s="242" t="s">
        <v>157</v>
      </c>
      <c r="K746" s="244"/>
      <c r="L746" s="247" t="s">
        <v>2422</v>
      </c>
      <c r="M746" s="242" t="s">
        <v>71</v>
      </c>
      <c r="N746" s="242" t="s">
        <v>96</v>
      </c>
      <c r="O746" s="242" t="s">
        <v>2423</v>
      </c>
      <c r="P746" s="242" t="s">
        <v>2424</v>
      </c>
      <c r="Q746" s="242" t="s">
        <v>1438</v>
      </c>
      <c r="R746" s="242" t="s">
        <v>1552</v>
      </c>
      <c r="S746" s="242" t="s">
        <v>71</v>
      </c>
      <c r="T746" s="242" t="s">
        <v>2425</v>
      </c>
      <c r="U746" s="242" t="s">
        <v>2426</v>
      </c>
      <c r="V746" s="242" t="s">
        <v>2427</v>
      </c>
      <c r="W746" s="242">
        <v>1.0</v>
      </c>
      <c r="X746" s="244"/>
      <c r="Y746" s="244"/>
      <c r="Z746" s="244"/>
      <c r="AA746" s="244"/>
      <c r="AB746" s="244"/>
      <c r="AC746" s="244"/>
      <c r="AD746" s="244"/>
      <c r="AE746" s="244"/>
      <c r="AF746" s="244"/>
      <c r="AG746" s="244"/>
      <c r="AH746" s="244"/>
      <c r="AI746" s="244"/>
      <c r="AJ746" s="244"/>
      <c r="AK746" s="242" t="s">
        <v>2407</v>
      </c>
      <c r="AL746" s="244"/>
      <c r="AM746" s="244"/>
      <c r="AN746" s="244"/>
      <c r="AO746" s="244"/>
      <c r="AP746" s="244"/>
    </row>
    <row r="747" ht="24.75" customHeight="1">
      <c r="A747" s="242" t="s">
        <v>36</v>
      </c>
      <c r="B747" s="243">
        <v>45804.432812858795</v>
      </c>
      <c r="C747" s="242" t="s">
        <v>2428</v>
      </c>
      <c r="D747" s="242" t="s">
        <v>109</v>
      </c>
      <c r="E747" s="242" t="s">
        <v>138</v>
      </c>
      <c r="F747" s="242" t="s">
        <v>65</v>
      </c>
      <c r="G747" s="242" t="s">
        <v>54</v>
      </c>
      <c r="H747" s="242" t="s">
        <v>833</v>
      </c>
      <c r="I747" s="242" t="s">
        <v>2429</v>
      </c>
      <c r="J747" s="242" t="s">
        <v>514</v>
      </c>
      <c r="K747" s="249" t="s">
        <v>2430</v>
      </c>
      <c r="L747" s="242" t="s">
        <v>2431</v>
      </c>
      <c r="M747" s="242" t="s">
        <v>71</v>
      </c>
      <c r="N747" s="242" t="s">
        <v>96</v>
      </c>
      <c r="O747" s="242" t="s">
        <v>2432</v>
      </c>
      <c r="P747" s="242" t="s">
        <v>2433</v>
      </c>
      <c r="Q747" s="242" t="s">
        <v>1471</v>
      </c>
      <c r="R747" s="242" t="s">
        <v>1552</v>
      </c>
      <c r="S747" s="242" t="s">
        <v>71</v>
      </c>
      <c r="T747" s="242" t="s">
        <v>2434</v>
      </c>
      <c r="U747" s="242" t="s">
        <v>2435</v>
      </c>
      <c r="V747" s="242" t="s">
        <v>736</v>
      </c>
      <c r="W747" s="242" t="s">
        <v>736</v>
      </c>
      <c r="X747" s="242" t="s">
        <v>1557</v>
      </c>
      <c r="Y747" s="244"/>
      <c r="Z747" s="244"/>
      <c r="AA747" s="244"/>
      <c r="AB747" s="244"/>
      <c r="AC747" s="244"/>
      <c r="AD747" s="244"/>
      <c r="AE747" s="244"/>
      <c r="AF747" s="244"/>
      <c r="AG747" s="244"/>
      <c r="AH747" s="244"/>
      <c r="AI747" s="244"/>
      <c r="AJ747" s="244"/>
      <c r="AK747" s="242" t="s">
        <v>2436</v>
      </c>
      <c r="AL747" s="244"/>
      <c r="AM747" s="244"/>
      <c r="AN747" s="244"/>
      <c r="AO747" s="244"/>
      <c r="AP747" s="244"/>
    </row>
    <row r="748">
      <c r="A748" s="242" t="s">
        <v>36</v>
      </c>
      <c r="B748" s="243">
        <v>45804.4561815162</v>
      </c>
      <c r="C748" s="242" t="s">
        <v>925</v>
      </c>
      <c r="D748" s="242" t="s">
        <v>51</v>
      </c>
      <c r="E748" s="242" t="s">
        <v>52</v>
      </c>
      <c r="F748" s="242" t="s">
        <v>80</v>
      </c>
      <c r="G748" s="242" t="s">
        <v>54</v>
      </c>
      <c r="H748" s="242" t="s">
        <v>625</v>
      </c>
      <c r="I748" s="242" t="s">
        <v>2437</v>
      </c>
      <c r="J748" s="242" t="s">
        <v>514</v>
      </c>
      <c r="K748" s="244"/>
      <c r="L748" s="247" t="s">
        <v>2438</v>
      </c>
      <c r="M748" s="242" t="s">
        <v>71</v>
      </c>
      <c r="N748" s="242" t="s">
        <v>96</v>
      </c>
      <c r="O748" s="242" t="s">
        <v>2439</v>
      </c>
      <c r="P748" s="242" t="s">
        <v>2440</v>
      </c>
      <c r="Q748" s="242" t="s">
        <v>1438</v>
      </c>
      <c r="R748" s="242" t="s">
        <v>1552</v>
      </c>
      <c r="S748" s="242" t="s">
        <v>71</v>
      </c>
      <c r="T748" s="244"/>
      <c r="U748" s="242" t="s">
        <v>2441</v>
      </c>
      <c r="V748" s="244"/>
      <c r="W748" s="244"/>
      <c r="X748" s="242" t="s">
        <v>1133</v>
      </c>
      <c r="Y748" s="244"/>
      <c r="Z748" s="244"/>
      <c r="AA748" s="244"/>
      <c r="AB748" s="244"/>
      <c r="AC748" s="244"/>
      <c r="AD748" s="244"/>
      <c r="AE748" s="244"/>
      <c r="AF748" s="244"/>
      <c r="AG748" s="244"/>
      <c r="AH748" s="244"/>
      <c r="AI748" s="244"/>
      <c r="AJ748" s="244"/>
      <c r="AK748" s="281" t="s">
        <v>2442</v>
      </c>
      <c r="AL748" s="244"/>
      <c r="AM748" s="244"/>
      <c r="AN748" s="244"/>
      <c r="AO748" s="244"/>
      <c r="AP748" s="244"/>
    </row>
    <row r="749">
      <c r="A749" s="242" t="s">
        <v>36</v>
      </c>
      <c r="B749" s="243">
        <v>45804.47696516204</v>
      </c>
      <c r="C749" s="242" t="s">
        <v>2205</v>
      </c>
      <c r="D749" s="242" t="s">
        <v>51</v>
      </c>
      <c r="E749" s="242" t="s">
        <v>795</v>
      </c>
      <c r="F749" s="242" t="s">
        <v>80</v>
      </c>
      <c r="G749" s="242" t="s">
        <v>131</v>
      </c>
      <c r="H749" s="242" t="s">
        <v>625</v>
      </c>
      <c r="I749" s="242" t="s">
        <v>2443</v>
      </c>
      <c r="J749" s="242" t="s">
        <v>514</v>
      </c>
      <c r="K749" s="244"/>
      <c r="L749" s="242" t="s">
        <v>2444</v>
      </c>
      <c r="M749" s="242" t="s">
        <v>71</v>
      </c>
      <c r="N749" s="242" t="s">
        <v>96</v>
      </c>
      <c r="O749" s="242" t="s">
        <v>2445</v>
      </c>
      <c r="P749" s="242" t="s">
        <v>2446</v>
      </c>
      <c r="Q749" s="242" t="s">
        <v>1438</v>
      </c>
      <c r="R749" s="242" t="s">
        <v>1552</v>
      </c>
      <c r="S749" s="242" t="s">
        <v>71</v>
      </c>
      <c r="T749" s="244"/>
      <c r="U749" s="244"/>
      <c r="V749" s="244"/>
      <c r="W749" s="244"/>
      <c r="X749" s="244"/>
      <c r="Y749" s="244"/>
      <c r="Z749" s="244"/>
      <c r="AA749" s="244"/>
      <c r="AB749" s="244"/>
      <c r="AC749" s="244"/>
      <c r="AD749" s="244"/>
      <c r="AE749" s="244"/>
      <c r="AF749" s="244"/>
      <c r="AG749" s="244"/>
      <c r="AH749" s="244"/>
      <c r="AI749" s="244"/>
      <c r="AJ749" s="244"/>
      <c r="AK749" s="282" t="s">
        <v>2447</v>
      </c>
      <c r="AL749" s="244"/>
      <c r="AM749" s="244"/>
      <c r="AN749" s="244"/>
      <c r="AO749" s="244"/>
      <c r="AP749" s="244"/>
    </row>
    <row r="750">
      <c r="A750" s="242" t="s">
        <v>36</v>
      </c>
      <c r="B750" s="243">
        <v>45804.55396414352</v>
      </c>
      <c r="C750" s="242" t="s">
        <v>276</v>
      </c>
      <c r="D750" s="242" t="s">
        <v>202</v>
      </c>
      <c r="E750" s="242" t="s">
        <v>52</v>
      </c>
      <c r="F750" s="242" t="s">
        <v>65</v>
      </c>
      <c r="G750" s="242" t="s">
        <v>54</v>
      </c>
      <c r="H750" s="242" t="s">
        <v>1117</v>
      </c>
      <c r="I750" s="264">
        <v>1884.0</v>
      </c>
      <c r="J750" s="242" t="s">
        <v>43</v>
      </c>
      <c r="K750" s="244"/>
      <c r="L750" s="244"/>
      <c r="M750" s="242" t="s">
        <v>71</v>
      </c>
      <c r="N750" s="242" t="s">
        <v>68</v>
      </c>
      <c r="O750" s="242" t="s">
        <v>2448</v>
      </c>
      <c r="P750" s="246" t="s">
        <v>2449</v>
      </c>
      <c r="Q750" s="242" t="s">
        <v>1438</v>
      </c>
      <c r="R750" s="242" t="s">
        <v>1552</v>
      </c>
      <c r="S750" s="242" t="s">
        <v>1557</v>
      </c>
      <c r="T750" s="244"/>
      <c r="U750" s="244"/>
      <c r="V750" s="244"/>
      <c r="W750" s="244"/>
      <c r="X750" s="242">
        <v>15.0</v>
      </c>
      <c r="Y750" s="244"/>
      <c r="Z750" s="244"/>
      <c r="AA750" s="244"/>
      <c r="AB750" s="244"/>
      <c r="AC750" s="244"/>
      <c r="AD750" s="244"/>
      <c r="AE750" s="244"/>
      <c r="AF750" s="244"/>
      <c r="AG750" s="244"/>
      <c r="AH750" s="244"/>
      <c r="AI750" s="244"/>
      <c r="AJ750" s="244"/>
      <c r="AK750" s="242" t="s">
        <v>2450</v>
      </c>
      <c r="AL750" s="244"/>
      <c r="AM750" s="244"/>
      <c r="AN750" s="244"/>
      <c r="AO750" s="244"/>
      <c r="AP750" s="244"/>
    </row>
    <row r="751">
      <c r="A751" s="242" t="s">
        <v>36</v>
      </c>
      <c r="B751" s="243">
        <v>45805.655475312495</v>
      </c>
      <c r="C751" s="242" t="s">
        <v>2451</v>
      </c>
      <c r="D751" s="242" t="s">
        <v>109</v>
      </c>
      <c r="E751" s="242" t="s">
        <v>52</v>
      </c>
      <c r="F751" s="242" t="s">
        <v>65</v>
      </c>
      <c r="G751" s="242" t="s">
        <v>131</v>
      </c>
      <c r="H751" s="242" t="s">
        <v>992</v>
      </c>
      <c r="I751" s="242" t="s">
        <v>2452</v>
      </c>
      <c r="J751" s="242" t="s">
        <v>48</v>
      </c>
      <c r="K751" s="247" t="s">
        <v>2453</v>
      </c>
      <c r="L751" s="242" t="s">
        <v>2454</v>
      </c>
      <c r="M751" s="242" t="s">
        <v>71</v>
      </c>
      <c r="N751" s="242" t="s">
        <v>96</v>
      </c>
      <c r="O751" s="242" t="s">
        <v>2455</v>
      </c>
      <c r="P751" s="244"/>
      <c r="Q751" s="242" t="s">
        <v>1438</v>
      </c>
      <c r="R751" s="242" t="s">
        <v>1552</v>
      </c>
      <c r="S751" s="242" t="s">
        <v>1557</v>
      </c>
      <c r="T751" s="244"/>
      <c r="U751" s="244"/>
      <c r="V751" s="244"/>
      <c r="W751" s="244"/>
      <c r="X751" s="242">
        <v>1.0</v>
      </c>
      <c r="Y751" s="244"/>
      <c r="Z751" s="244"/>
      <c r="AA751" s="244"/>
      <c r="AB751" s="244"/>
      <c r="AC751" s="244"/>
      <c r="AD751" s="244"/>
      <c r="AE751" s="244"/>
      <c r="AF751" s="244"/>
      <c r="AG751" s="244"/>
      <c r="AH751" s="244"/>
      <c r="AI751" s="244"/>
      <c r="AJ751" s="244"/>
      <c r="AK751" s="242" t="s">
        <v>2456</v>
      </c>
      <c r="AL751" s="244"/>
      <c r="AM751" s="244"/>
      <c r="AN751" s="244"/>
      <c r="AO751" s="244"/>
      <c r="AP751" s="244"/>
    </row>
    <row r="752" ht="21.75" customHeight="1">
      <c r="A752" s="242" t="s">
        <v>36</v>
      </c>
      <c r="B752" s="243">
        <v>45805.72418498843</v>
      </c>
      <c r="C752" s="242" t="s">
        <v>276</v>
      </c>
      <c r="D752" s="242" t="s">
        <v>202</v>
      </c>
      <c r="E752" s="242" t="s">
        <v>52</v>
      </c>
      <c r="F752" s="242" t="s">
        <v>65</v>
      </c>
      <c r="G752" s="242" t="s">
        <v>54</v>
      </c>
      <c r="H752" s="242" t="s">
        <v>1117</v>
      </c>
      <c r="I752" s="242">
        <v>292.35</v>
      </c>
      <c r="J752" s="242" t="s">
        <v>43</v>
      </c>
      <c r="K752" s="244"/>
      <c r="L752" s="244"/>
      <c r="M752" s="242" t="s">
        <v>71</v>
      </c>
      <c r="N752" s="242" t="s">
        <v>68</v>
      </c>
      <c r="O752" s="242" t="s">
        <v>2448</v>
      </c>
      <c r="P752" s="246" t="s">
        <v>2457</v>
      </c>
      <c r="Q752" s="242" t="s">
        <v>1438</v>
      </c>
      <c r="R752" s="242" t="s">
        <v>1552</v>
      </c>
      <c r="S752" s="242" t="s">
        <v>1557</v>
      </c>
      <c r="T752" s="242" t="s">
        <v>2458</v>
      </c>
      <c r="U752" s="244"/>
      <c r="V752" s="244"/>
      <c r="W752" s="244"/>
      <c r="X752" s="242">
        <v>15.0</v>
      </c>
      <c r="Y752" s="244"/>
      <c r="Z752" s="244"/>
      <c r="AA752" s="244"/>
      <c r="AB752" s="244"/>
      <c r="AC752" s="244"/>
      <c r="AD752" s="244"/>
      <c r="AE752" s="244"/>
      <c r="AF752" s="244"/>
      <c r="AG752" s="244"/>
      <c r="AH752" s="244"/>
      <c r="AI752" s="244"/>
      <c r="AJ752" s="244"/>
      <c r="AK752" s="242" t="s">
        <v>2459</v>
      </c>
      <c r="AL752" s="244"/>
      <c r="AM752" s="244"/>
      <c r="AN752" s="244"/>
      <c r="AO752" s="244"/>
      <c r="AP752" s="244"/>
    </row>
    <row r="753">
      <c r="A753" s="242" t="s">
        <v>36</v>
      </c>
      <c r="B753" s="243">
        <v>45806.4798805787</v>
      </c>
      <c r="C753" s="242" t="s">
        <v>461</v>
      </c>
      <c r="D753" s="242" t="s">
        <v>109</v>
      </c>
      <c r="E753" s="242" t="s">
        <v>52</v>
      </c>
      <c r="F753" s="242" t="s">
        <v>65</v>
      </c>
      <c r="G753" s="242" t="s">
        <v>54</v>
      </c>
      <c r="H753" s="242" t="s">
        <v>625</v>
      </c>
      <c r="I753" s="264">
        <v>295.0</v>
      </c>
      <c r="J753" s="242" t="s">
        <v>418</v>
      </c>
      <c r="K753" s="244"/>
      <c r="L753" s="247" t="s">
        <v>2460</v>
      </c>
      <c r="M753" s="242" t="s">
        <v>71</v>
      </c>
      <c r="N753" s="242" t="s">
        <v>96</v>
      </c>
      <c r="O753" s="242" t="s">
        <v>2461</v>
      </c>
      <c r="P753" s="244"/>
      <c r="Q753" s="242" t="s">
        <v>1438</v>
      </c>
      <c r="R753" s="242" t="s">
        <v>1552</v>
      </c>
      <c r="S753" s="242" t="s">
        <v>1557</v>
      </c>
      <c r="T753" s="244"/>
      <c r="U753" s="244"/>
      <c r="V753" s="244"/>
      <c r="W753" s="244"/>
      <c r="X753" s="242" t="s">
        <v>736</v>
      </c>
      <c r="Y753" s="244"/>
      <c r="Z753" s="244"/>
      <c r="AA753" s="244"/>
      <c r="AB753" s="244"/>
      <c r="AC753" s="244"/>
      <c r="AD753" s="244"/>
      <c r="AE753" s="244"/>
      <c r="AF753" s="244"/>
      <c r="AG753" s="244"/>
      <c r="AH753" s="244"/>
      <c r="AI753" s="244"/>
      <c r="AJ753" s="244"/>
      <c r="AK753" s="242" t="s">
        <v>2456</v>
      </c>
      <c r="AL753" s="244"/>
      <c r="AM753" s="244"/>
      <c r="AN753" s="244"/>
      <c r="AO753" s="244"/>
      <c r="AP753" s="244"/>
    </row>
    <row r="754" ht="19.5" customHeight="1">
      <c r="A754" s="242" t="s">
        <v>36</v>
      </c>
      <c r="B754" s="243">
        <v>45806.58902791666</v>
      </c>
      <c r="C754" s="242" t="s">
        <v>225</v>
      </c>
      <c r="D754" s="242" t="s">
        <v>142</v>
      </c>
      <c r="E754" s="242" t="s">
        <v>138</v>
      </c>
      <c r="F754" s="242" t="s">
        <v>65</v>
      </c>
      <c r="G754" s="242" t="s">
        <v>54</v>
      </c>
      <c r="H754" s="242" t="s">
        <v>607</v>
      </c>
      <c r="I754" s="264">
        <v>165.0</v>
      </c>
      <c r="J754" s="242" t="s">
        <v>86</v>
      </c>
      <c r="K754" s="245" t="s">
        <v>2462</v>
      </c>
      <c r="L754" s="242" t="s">
        <v>2463</v>
      </c>
      <c r="M754" s="242" t="s">
        <v>71</v>
      </c>
      <c r="N754" s="242" t="s">
        <v>96</v>
      </c>
      <c r="O754" s="242" t="s">
        <v>2464</v>
      </c>
      <c r="P754" s="244"/>
      <c r="Q754" s="242" t="s">
        <v>1438</v>
      </c>
      <c r="R754" s="242" t="s">
        <v>1552</v>
      </c>
      <c r="S754" s="242" t="s">
        <v>1557</v>
      </c>
      <c r="T754" s="242" t="s">
        <v>2465</v>
      </c>
      <c r="U754" s="244"/>
      <c r="V754" s="244"/>
      <c r="W754" s="244"/>
      <c r="X754" s="244"/>
      <c r="Y754" s="244"/>
      <c r="Z754" s="244"/>
      <c r="AA754" s="244"/>
      <c r="AB754" s="244"/>
      <c r="AC754" s="244"/>
      <c r="AD754" s="244"/>
      <c r="AE754" s="244"/>
      <c r="AF754" s="244"/>
      <c r="AG754" s="244"/>
      <c r="AH754" s="244"/>
      <c r="AI754" s="244"/>
      <c r="AJ754" s="244"/>
      <c r="AK754" s="242" t="s">
        <v>2456</v>
      </c>
      <c r="AL754" s="244"/>
      <c r="AM754" s="244"/>
      <c r="AN754" s="244"/>
      <c r="AO754" s="244"/>
      <c r="AP754" s="244"/>
    </row>
    <row r="755">
      <c r="A755" s="242" t="s">
        <v>36</v>
      </c>
      <c r="B755" s="243">
        <v>45807.67251369213</v>
      </c>
      <c r="C755" s="242" t="s">
        <v>487</v>
      </c>
      <c r="D755" s="242" t="s">
        <v>142</v>
      </c>
      <c r="E755" s="242" t="s">
        <v>52</v>
      </c>
      <c r="F755" s="242" t="s">
        <v>65</v>
      </c>
      <c r="G755" s="242" t="s">
        <v>41</v>
      </c>
      <c r="H755" s="242" t="s">
        <v>607</v>
      </c>
      <c r="I755" s="242" t="s">
        <v>2466</v>
      </c>
      <c r="J755" s="242" t="s">
        <v>383</v>
      </c>
      <c r="K755" s="244"/>
      <c r="L755" s="242" t="s">
        <v>2467</v>
      </c>
      <c r="M755" s="242" t="s">
        <v>71</v>
      </c>
      <c r="N755" s="242" t="s">
        <v>96</v>
      </c>
      <c r="O755" s="242" t="s">
        <v>1276</v>
      </c>
      <c r="P755" s="246" t="s">
        <v>1978</v>
      </c>
      <c r="Q755" s="242" t="s">
        <v>1438</v>
      </c>
      <c r="R755" s="242" t="s">
        <v>1552</v>
      </c>
      <c r="S755" s="242" t="s">
        <v>71</v>
      </c>
      <c r="T755" s="242" t="s">
        <v>2468</v>
      </c>
      <c r="U755" s="244"/>
      <c r="V755" s="244"/>
      <c r="W755" s="244"/>
      <c r="X755" s="242">
        <v>1.0</v>
      </c>
      <c r="Y755" s="244"/>
      <c r="Z755" s="244"/>
      <c r="AA755" s="244"/>
      <c r="AB755" s="244"/>
      <c r="AC755" s="244"/>
      <c r="AD755" s="244"/>
      <c r="AE755" s="244"/>
      <c r="AF755" s="244"/>
      <c r="AG755" s="244"/>
      <c r="AH755" s="244"/>
      <c r="AI755" s="244"/>
      <c r="AJ755" s="244"/>
      <c r="AK755" s="242" t="s">
        <v>2469</v>
      </c>
      <c r="AL755" s="244"/>
      <c r="AM755" s="244"/>
      <c r="AN755" s="244"/>
      <c r="AO755" s="244"/>
      <c r="AP755" s="244"/>
    </row>
    <row r="756">
      <c r="A756" s="242" t="s">
        <v>36</v>
      </c>
      <c r="B756" s="243">
        <v>45810.556380277776</v>
      </c>
      <c r="C756" s="242" t="s">
        <v>333</v>
      </c>
      <c r="D756" s="242" t="s">
        <v>38</v>
      </c>
      <c r="E756" s="242" t="s">
        <v>40</v>
      </c>
      <c r="F756" s="242" t="s">
        <v>40</v>
      </c>
      <c r="G756" s="242" t="s">
        <v>41</v>
      </c>
      <c r="H756" s="242" t="s">
        <v>833</v>
      </c>
      <c r="I756" s="242" t="s">
        <v>2470</v>
      </c>
      <c r="J756" s="242" t="s">
        <v>102</v>
      </c>
      <c r="K756" s="244"/>
      <c r="L756" s="242" t="s">
        <v>2471</v>
      </c>
      <c r="M756" s="242" t="s">
        <v>71</v>
      </c>
      <c r="N756" s="242" t="s">
        <v>96</v>
      </c>
      <c r="O756" s="242" t="s">
        <v>2472</v>
      </c>
      <c r="P756" s="242" t="s">
        <v>2385</v>
      </c>
      <c r="Q756" s="242" t="s">
        <v>1471</v>
      </c>
      <c r="R756" s="242" t="s">
        <v>1552</v>
      </c>
      <c r="S756" s="242" t="s">
        <v>71</v>
      </c>
      <c r="T756" s="244"/>
      <c r="U756" s="244"/>
      <c r="V756" s="244"/>
      <c r="W756" s="244"/>
      <c r="X756" s="244"/>
      <c r="Y756" s="244"/>
      <c r="Z756" s="244"/>
      <c r="AA756" s="244"/>
      <c r="AB756" s="244"/>
      <c r="AC756" s="244"/>
      <c r="AD756" s="244"/>
      <c r="AE756" s="244"/>
      <c r="AF756" s="244"/>
      <c r="AG756" s="244"/>
      <c r="AH756" s="244"/>
      <c r="AI756" s="244"/>
      <c r="AJ756" s="244"/>
      <c r="AK756" s="242" t="s">
        <v>2469</v>
      </c>
      <c r="AL756" s="244"/>
      <c r="AM756" s="244"/>
      <c r="AN756" s="244"/>
      <c r="AO756" s="244"/>
      <c r="AP756" s="244"/>
    </row>
    <row r="757">
      <c r="A757" s="242" t="s">
        <v>36</v>
      </c>
      <c r="B757" s="243">
        <v>45811.5545699537</v>
      </c>
      <c r="C757" s="242" t="s">
        <v>366</v>
      </c>
      <c r="D757" s="242" t="s">
        <v>142</v>
      </c>
      <c r="E757" s="242" t="s">
        <v>52</v>
      </c>
      <c r="F757" s="242" t="s">
        <v>65</v>
      </c>
      <c r="G757" s="242" t="s">
        <v>54</v>
      </c>
      <c r="H757" s="242" t="s">
        <v>833</v>
      </c>
      <c r="I757" s="242" t="s">
        <v>2473</v>
      </c>
      <c r="J757" s="242" t="s">
        <v>102</v>
      </c>
      <c r="K757" s="247" t="s">
        <v>2474</v>
      </c>
      <c r="L757" s="247" t="s">
        <v>2475</v>
      </c>
      <c r="M757" s="242" t="s">
        <v>71</v>
      </c>
      <c r="N757" s="242" t="s">
        <v>96</v>
      </c>
      <c r="O757" s="242" t="s">
        <v>2476</v>
      </c>
      <c r="P757" s="242" t="s">
        <v>2477</v>
      </c>
      <c r="Q757" s="242" t="s">
        <v>1471</v>
      </c>
      <c r="R757" s="242" t="s">
        <v>1552</v>
      </c>
      <c r="S757" s="242" t="s">
        <v>1621</v>
      </c>
      <c r="T757" s="242" t="s">
        <v>2478</v>
      </c>
      <c r="U757" s="244"/>
      <c r="V757" s="244"/>
      <c r="W757" s="244"/>
      <c r="X757" s="244"/>
      <c r="Y757" s="244"/>
      <c r="Z757" s="244"/>
      <c r="AA757" s="244"/>
      <c r="AB757" s="244"/>
      <c r="AC757" s="244"/>
      <c r="AD757" s="244"/>
      <c r="AE757" s="244"/>
      <c r="AF757" s="244"/>
      <c r="AG757" s="244"/>
      <c r="AH757" s="244"/>
      <c r="AI757" s="244"/>
      <c r="AJ757" s="244"/>
      <c r="AK757" s="242" t="s">
        <v>2479</v>
      </c>
      <c r="AL757" s="244"/>
      <c r="AM757" s="244"/>
      <c r="AN757" s="244"/>
      <c r="AO757" s="244"/>
      <c r="AP757" s="244"/>
    </row>
    <row r="758" ht="20.25" customHeight="1">
      <c r="A758" s="242" t="s">
        <v>36</v>
      </c>
      <c r="B758" s="243">
        <v>45812.47736185185</v>
      </c>
      <c r="C758" s="242" t="s">
        <v>245</v>
      </c>
      <c r="D758" s="242" t="s">
        <v>142</v>
      </c>
      <c r="E758" s="242" t="s">
        <v>52</v>
      </c>
      <c r="F758" s="242" t="s">
        <v>65</v>
      </c>
      <c r="G758" s="242" t="s">
        <v>54</v>
      </c>
      <c r="H758" s="242" t="s">
        <v>625</v>
      </c>
      <c r="I758" s="266">
        <v>2555.0</v>
      </c>
      <c r="J758" s="242" t="s">
        <v>102</v>
      </c>
      <c r="K758" s="244"/>
      <c r="L758" s="247" t="s">
        <v>2480</v>
      </c>
      <c r="M758" s="242" t="s">
        <v>71</v>
      </c>
      <c r="N758" s="242" t="s">
        <v>96</v>
      </c>
      <c r="O758" s="242" t="s">
        <v>1115</v>
      </c>
      <c r="P758" s="242" t="s">
        <v>2481</v>
      </c>
      <c r="Q758" s="242" t="s">
        <v>1438</v>
      </c>
      <c r="R758" s="242" t="s">
        <v>1552</v>
      </c>
      <c r="S758" s="242" t="s">
        <v>1557</v>
      </c>
      <c r="T758" s="242" t="s">
        <v>2482</v>
      </c>
      <c r="U758" s="244"/>
      <c r="V758" s="244"/>
      <c r="W758" s="244"/>
      <c r="X758" s="244"/>
      <c r="Y758" s="244"/>
      <c r="Z758" s="244"/>
      <c r="AA758" s="244"/>
      <c r="AB758" s="244"/>
      <c r="AC758" s="244"/>
      <c r="AD758" s="244"/>
      <c r="AE758" s="244"/>
      <c r="AF758" s="244"/>
      <c r="AG758" s="244"/>
      <c r="AH758" s="244"/>
      <c r="AI758" s="244"/>
      <c r="AJ758" s="244"/>
      <c r="AK758" s="242" t="s">
        <v>2479</v>
      </c>
      <c r="AL758" s="244"/>
      <c r="AM758" s="244"/>
      <c r="AN758" s="244"/>
      <c r="AO758" s="244"/>
      <c r="AP758" s="244"/>
    </row>
    <row r="759">
      <c r="A759" s="242" t="s">
        <v>36</v>
      </c>
      <c r="B759" s="243">
        <v>45813.35910824074</v>
      </c>
      <c r="C759" s="242" t="s">
        <v>639</v>
      </c>
      <c r="D759" s="242" t="s">
        <v>109</v>
      </c>
      <c r="E759" s="242" t="s">
        <v>52</v>
      </c>
      <c r="F759" s="242" t="s">
        <v>65</v>
      </c>
      <c r="G759" s="242" t="s">
        <v>54</v>
      </c>
      <c r="H759" s="242" t="s">
        <v>625</v>
      </c>
      <c r="I759" s="242" t="s">
        <v>2483</v>
      </c>
      <c r="J759" s="242" t="s">
        <v>118</v>
      </c>
      <c r="K759" s="244"/>
      <c r="L759" s="242" t="s">
        <v>2484</v>
      </c>
      <c r="M759" s="242" t="s">
        <v>71</v>
      </c>
      <c r="N759" s="242" t="s">
        <v>68</v>
      </c>
      <c r="O759" s="242" t="s">
        <v>2485</v>
      </c>
      <c r="P759" s="242" t="s">
        <v>2486</v>
      </c>
      <c r="Q759" s="242" t="s">
        <v>1471</v>
      </c>
      <c r="R759" s="242" t="s">
        <v>1552</v>
      </c>
      <c r="S759" s="242" t="s">
        <v>1621</v>
      </c>
      <c r="T759" s="242" t="s">
        <v>2487</v>
      </c>
      <c r="U759" s="244"/>
      <c r="V759" s="244"/>
      <c r="W759" s="244"/>
      <c r="X759" s="242" t="s">
        <v>736</v>
      </c>
      <c r="Y759" s="244"/>
      <c r="Z759" s="244"/>
      <c r="AA759" s="244"/>
      <c r="AB759" s="244"/>
      <c r="AC759" s="244"/>
      <c r="AD759" s="244"/>
      <c r="AE759" s="244"/>
      <c r="AF759" s="244"/>
      <c r="AG759" s="244"/>
      <c r="AH759" s="244"/>
      <c r="AI759" s="244"/>
      <c r="AJ759" s="244"/>
      <c r="AK759" s="242" t="s">
        <v>2488</v>
      </c>
      <c r="AL759" s="244"/>
      <c r="AM759" s="244"/>
      <c r="AN759" s="244"/>
      <c r="AO759" s="244"/>
      <c r="AP759" s="244"/>
    </row>
    <row r="760">
      <c r="A760" s="242" t="s">
        <v>36</v>
      </c>
      <c r="B760" s="243">
        <v>45813.536855949074</v>
      </c>
      <c r="C760" s="242" t="s">
        <v>323</v>
      </c>
      <c r="D760" s="242" t="s">
        <v>51</v>
      </c>
      <c r="E760" s="242" t="s">
        <v>138</v>
      </c>
      <c r="F760" s="242" t="s">
        <v>65</v>
      </c>
      <c r="G760" s="242" t="s">
        <v>54</v>
      </c>
      <c r="H760" s="242" t="s">
        <v>42</v>
      </c>
      <c r="I760" s="266">
        <v>1000.0</v>
      </c>
      <c r="J760" s="242" t="s">
        <v>194</v>
      </c>
      <c r="K760" s="244"/>
      <c r="L760" s="244"/>
      <c r="M760" s="242" t="s">
        <v>71</v>
      </c>
      <c r="N760" s="242" t="s">
        <v>68</v>
      </c>
      <c r="O760" s="242" t="s">
        <v>2489</v>
      </c>
      <c r="P760" s="244"/>
      <c r="Q760" s="242" t="s">
        <v>1438</v>
      </c>
      <c r="R760" s="242" t="s">
        <v>1552</v>
      </c>
      <c r="S760" s="242" t="s">
        <v>1557</v>
      </c>
      <c r="T760" s="244"/>
      <c r="U760" s="244"/>
      <c r="V760" s="244"/>
      <c r="W760" s="244"/>
      <c r="X760" s="244"/>
      <c r="Y760" s="244"/>
      <c r="Z760" s="244"/>
      <c r="AA760" s="244"/>
      <c r="AB760" s="244"/>
      <c r="AC760" s="244"/>
      <c r="AD760" s="244"/>
      <c r="AE760" s="244"/>
      <c r="AF760" s="244"/>
      <c r="AG760" s="244"/>
      <c r="AH760" s="244"/>
      <c r="AI760" s="244"/>
      <c r="AJ760" s="244"/>
      <c r="AK760" s="242" t="s">
        <v>2479</v>
      </c>
      <c r="AL760" s="244"/>
      <c r="AM760" s="244"/>
      <c r="AN760" s="244"/>
      <c r="AO760" s="244"/>
      <c r="AP760" s="244"/>
    </row>
    <row r="761">
      <c r="A761" s="242" t="s">
        <v>36</v>
      </c>
      <c r="B761" s="243">
        <v>45817.40403394676</v>
      </c>
      <c r="C761" s="242" t="s">
        <v>201</v>
      </c>
      <c r="D761" s="242" t="s">
        <v>202</v>
      </c>
      <c r="E761" s="242" t="s">
        <v>52</v>
      </c>
      <c r="F761" s="242" t="s">
        <v>60</v>
      </c>
      <c r="G761" s="242" t="s">
        <v>54</v>
      </c>
      <c r="H761" s="242" t="s">
        <v>625</v>
      </c>
      <c r="I761" s="266">
        <v>4000.0</v>
      </c>
      <c r="J761" s="242" t="s">
        <v>102</v>
      </c>
      <c r="K761" s="244"/>
      <c r="L761" s="247" t="s">
        <v>2490</v>
      </c>
      <c r="M761" s="242" t="s">
        <v>71</v>
      </c>
      <c r="N761" s="242" t="s">
        <v>96</v>
      </c>
      <c r="O761" s="242" t="s">
        <v>1265</v>
      </c>
      <c r="P761" s="242" t="s">
        <v>2491</v>
      </c>
      <c r="Q761" s="242" t="s">
        <v>1471</v>
      </c>
      <c r="R761" s="242" t="s">
        <v>1552</v>
      </c>
      <c r="S761" s="242" t="s">
        <v>71</v>
      </c>
      <c r="T761" s="244"/>
      <c r="U761" s="244"/>
      <c r="V761" s="244"/>
      <c r="W761" s="244"/>
      <c r="X761" s="244"/>
      <c r="Y761" s="244"/>
      <c r="Z761" s="244"/>
      <c r="AA761" s="244"/>
      <c r="AB761" s="244"/>
      <c r="AC761" s="244"/>
      <c r="AD761" s="244"/>
      <c r="AE761" s="244"/>
      <c r="AF761" s="244"/>
      <c r="AG761" s="244"/>
      <c r="AH761" s="244"/>
      <c r="AI761" s="244"/>
      <c r="AJ761" s="244"/>
      <c r="AK761" s="242" t="s">
        <v>2479</v>
      </c>
      <c r="AL761" s="244"/>
      <c r="AM761" s="244"/>
      <c r="AN761" s="244"/>
      <c r="AO761" s="244"/>
      <c r="AP761" s="244"/>
    </row>
    <row r="762">
      <c r="A762" s="242" t="s">
        <v>36</v>
      </c>
      <c r="B762" s="243">
        <v>45818.5360625</v>
      </c>
      <c r="C762" s="242" t="s">
        <v>2492</v>
      </c>
      <c r="D762" s="242" t="s">
        <v>142</v>
      </c>
      <c r="E762" s="242" t="s">
        <v>52</v>
      </c>
      <c r="F762" s="242" t="s">
        <v>65</v>
      </c>
      <c r="G762" s="242" t="s">
        <v>54</v>
      </c>
      <c r="H762" s="242" t="s">
        <v>625</v>
      </c>
      <c r="I762" s="266">
        <v>1599.0</v>
      </c>
      <c r="J762" s="242" t="s">
        <v>194</v>
      </c>
      <c r="K762" s="245" t="s">
        <v>2493</v>
      </c>
      <c r="L762" s="242" t="s">
        <v>2494</v>
      </c>
      <c r="M762" s="242" t="s">
        <v>71</v>
      </c>
      <c r="N762" s="242" t="s">
        <v>96</v>
      </c>
      <c r="O762" s="242" t="s">
        <v>2495</v>
      </c>
      <c r="P762" s="242" t="s">
        <v>2496</v>
      </c>
      <c r="Q762" s="242" t="s">
        <v>1438</v>
      </c>
      <c r="R762" s="242" t="s">
        <v>1552</v>
      </c>
      <c r="S762" s="242" t="s">
        <v>71</v>
      </c>
      <c r="T762" s="242" t="s">
        <v>2497</v>
      </c>
      <c r="U762" s="244"/>
      <c r="V762" s="244"/>
      <c r="W762" s="244"/>
      <c r="X762" s="244"/>
      <c r="Y762" s="244"/>
      <c r="Z762" s="244"/>
      <c r="AA762" s="244"/>
      <c r="AB762" s="244"/>
      <c r="AC762" s="244"/>
      <c r="AD762" s="244"/>
      <c r="AE762" s="244"/>
      <c r="AF762" s="244"/>
      <c r="AG762" s="244"/>
      <c r="AH762" s="244"/>
      <c r="AI762" s="244"/>
      <c r="AJ762" s="244"/>
      <c r="AK762" s="242" t="s">
        <v>2498</v>
      </c>
      <c r="AL762" s="244"/>
      <c r="AM762" s="244"/>
      <c r="AN762" s="244"/>
      <c r="AO762" s="244"/>
      <c r="AP762" s="244"/>
    </row>
    <row r="763">
      <c r="A763" s="242" t="s">
        <v>36</v>
      </c>
      <c r="B763" s="243">
        <v>45819.47683424769</v>
      </c>
      <c r="C763" s="242" t="s">
        <v>162</v>
      </c>
      <c r="D763" s="242" t="s">
        <v>51</v>
      </c>
      <c r="E763" s="242" t="s">
        <v>52</v>
      </c>
      <c r="F763" s="242" t="s">
        <v>65</v>
      </c>
      <c r="G763" s="242" t="s">
        <v>131</v>
      </c>
      <c r="H763" s="242" t="s">
        <v>625</v>
      </c>
      <c r="I763" s="242" t="s">
        <v>2499</v>
      </c>
      <c r="J763" s="242" t="s">
        <v>194</v>
      </c>
      <c r="K763" s="247" t="s">
        <v>2500</v>
      </c>
      <c r="L763" s="242" t="s">
        <v>2501</v>
      </c>
      <c r="M763" s="242" t="s">
        <v>71</v>
      </c>
      <c r="N763" s="242" t="s">
        <v>96</v>
      </c>
      <c r="O763" s="242" t="s">
        <v>1565</v>
      </c>
      <c r="P763" s="246" t="s">
        <v>2502</v>
      </c>
      <c r="Q763" s="242" t="s">
        <v>1438</v>
      </c>
      <c r="R763" s="242" t="s">
        <v>1552</v>
      </c>
      <c r="S763" s="242" t="s">
        <v>1557</v>
      </c>
      <c r="T763" s="242" t="s">
        <v>2503</v>
      </c>
      <c r="U763" s="244"/>
      <c r="V763" s="242" t="s">
        <v>1433</v>
      </c>
      <c r="W763" s="242" t="s">
        <v>1433</v>
      </c>
      <c r="X763" s="242" t="s">
        <v>2504</v>
      </c>
      <c r="Y763" s="244"/>
      <c r="Z763" s="244"/>
      <c r="AA763" s="244"/>
      <c r="AB763" s="244"/>
      <c r="AC763" s="244"/>
      <c r="AD763" s="244"/>
      <c r="AE763" s="244"/>
      <c r="AF763" s="244"/>
      <c r="AG763" s="244"/>
      <c r="AH763" s="244"/>
      <c r="AI763" s="244"/>
      <c r="AJ763" s="244"/>
      <c r="AK763" s="242" t="s">
        <v>2498</v>
      </c>
      <c r="AL763" s="244"/>
      <c r="AM763" s="244"/>
      <c r="AN763" s="244"/>
      <c r="AO763" s="244"/>
      <c r="AP763" s="244"/>
    </row>
    <row r="764">
      <c r="A764" s="268" t="s">
        <v>177</v>
      </c>
      <c r="B764" s="269">
        <v>45819.48642074074</v>
      </c>
      <c r="C764" s="268" t="s">
        <v>2505</v>
      </c>
      <c r="D764" s="268" t="s">
        <v>51</v>
      </c>
      <c r="E764" s="268" t="s">
        <v>52</v>
      </c>
      <c r="F764" s="268" t="s">
        <v>53</v>
      </c>
      <c r="G764" s="268" t="s">
        <v>41</v>
      </c>
      <c r="H764" s="268" t="s">
        <v>992</v>
      </c>
      <c r="I764" s="268" t="s">
        <v>2506</v>
      </c>
      <c r="J764" s="268" t="s">
        <v>184</v>
      </c>
      <c r="K764" s="283" t="s">
        <v>2507</v>
      </c>
      <c r="L764" s="268" t="s">
        <v>2508</v>
      </c>
      <c r="M764" s="268" t="s">
        <v>71</v>
      </c>
      <c r="N764" s="268" t="s">
        <v>96</v>
      </c>
      <c r="O764" s="268" t="s">
        <v>2509</v>
      </c>
      <c r="P764" s="268" t="s">
        <v>2510</v>
      </c>
      <c r="Q764" s="268" t="s">
        <v>1438</v>
      </c>
      <c r="R764" s="268" t="s">
        <v>1552</v>
      </c>
      <c r="S764" s="268" t="s">
        <v>1557</v>
      </c>
      <c r="T764" s="268" t="s">
        <v>2511</v>
      </c>
      <c r="U764" s="271"/>
      <c r="V764" s="271"/>
      <c r="W764" s="271"/>
      <c r="X764" s="271"/>
      <c r="Y764" s="271"/>
      <c r="Z764" s="271"/>
      <c r="AA764" s="271"/>
      <c r="AB764" s="271"/>
      <c r="AC764" s="271"/>
      <c r="AD764" s="271"/>
      <c r="AE764" s="271"/>
      <c r="AF764" s="271"/>
      <c r="AG764" s="271"/>
      <c r="AH764" s="271"/>
      <c r="AI764" s="271"/>
      <c r="AJ764" s="271"/>
      <c r="AK764" s="268" t="s">
        <v>2512</v>
      </c>
      <c r="AL764" s="271"/>
      <c r="AM764" s="271"/>
      <c r="AN764" s="271"/>
      <c r="AO764" s="271"/>
      <c r="AP764" s="271"/>
    </row>
    <row r="765" ht="16.5" customHeight="1">
      <c r="A765" s="242" t="s">
        <v>36</v>
      </c>
      <c r="B765" s="243">
        <v>45819.50397560185</v>
      </c>
      <c r="C765" s="242" t="s">
        <v>2505</v>
      </c>
      <c r="D765" s="242" t="s">
        <v>51</v>
      </c>
      <c r="E765" s="242" t="s">
        <v>52</v>
      </c>
      <c r="F765" s="242" t="s">
        <v>53</v>
      </c>
      <c r="G765" s="242" t="s">
        <v>41</v>
      </c>
      <c r="H765" s="242" t="s">
        <v>992</v>
      </c>
      <c r="I765" s="266">
        <v>1000.0</v>
      </c>
      <c r="J765" s="242" t="s">
        <v>184</v>
      </c>
      <c r="K765" s="247" t="s">
        <v>2513</v>
      </c>
      <c r="L765" s="242" t="s">
        <v>2514</v>
      </c>
      <c r="M765" s="242" t="s">
        <v>71</v>
      </c>
      <c r="N765" s="242" t="s">
        <v>96</v>
      </c>
      <c r="O765" s="242" t="s">
        <v>2509</v>
      </c>
      <c r="P765" s="242" t="s">
        <v>2515</v>
      </c>
      <c r="Q765" s="242" t="s">
        <v>1438</v>
      </c>
      <c r="R765" s="242" t="s">
        <v>1552</v>
      </c>
      <c r="S765" s="242" t="s">
        <v>1557</v>
      </c>
      <c r="T765" s="242" t="s">
        <v>2516</v>
      </c>
      <c r="U765" s="244"/>
      <c r="V765" s="244"/>
      <c r="W765" s="244"/>
      <c r="X765" s="244"/>
      <c r="Y765" s="244"/>
      <c r="Z765" s="244"/>
      <c r="AA765" s="244"/>
      <c r="AB765" s="244"/>
      <c r="AC765" s="244"/>
      <c r="AD765" s="244"/>
      <c r="AE765" s="244"/>
      <c r="AF765" s="244"/>
      <c r="AG765" s="244"/>
      <c r="AH765" s="244"/>
      <c r="AI765" s="244"/>
      <c r="AJ765" s="244"/>
      <c r="AK765" s="242" t="s">
        <v>2498</v>
      </c>
      <c r="AL765" s="244"/>
      <c r="AM765" s="244"/>
      <c r="AN765" s="244"/>
      <c r="AO765" s="244"/>
      <c r="AP765" s="244"/>
    </row>
    <row r="766" ht="18.0" customHeight="1">
      <c r="A766" s="242" t="s">
        <v>36</v>
      </c>
      <c r="B766" s="243">
        <v>45819.507150150464</v>
      </c>
      <c r="C766" s="242" t="s">
        <v>2505</v>
      </c>
      <c r="D766" s="242" t="s">
        <v>51</v>
      </c>
      <c r="E766" s="242" t="s">
        <v>52</v>
      </c>
      <c r="F766" s="242" t="s">
        <v>53</v>
      </c>
      <c r="G766" s="242" t="s">
        <v>41</v>
      </c>
      <c r="H766" s="242" t="s">
        <v>992</v>
      </c>
      <c r="I766" s="266">
        <v>1000.0</v>
      </c>
      <c r="J766" s="242" t="s">
        <v>184</v>
      </c>
      <c r="K766" s="247" t="s">
        <v>2517</v>
      </c>
      <c r="L766" s="242" t="s">
        <v>2518</v>
      </c>
      <c r="M766" s="242" t="s">
        <v>71</v>
      </c>
      <c r="N766" s="242" t="s">
        <v>96</v>
      </c>
      <c r="O766" s="242" t="s">
        <v>2509</v>
      </c>
      <c r="P766" s="242" t="s">
        <v>2519</v>
      </c>
      <c r="Q766" s="242" t="s">
        <v>1438</v>
      </c>
      <c r="R766" s="242" t="s">
        <v>1552</v>
      </c>
      <c r="S766" s="242" t="s">
        <v>1557</v>
      </c>
      <c r="T766" s="242" t="s">
        <v>2516</v>
      </c>
      <c r="U766" s="244"/>
      <c r="V766" s="244"/>
      <c r="W766" s="244"/>
      <c r="X766" s="244"/>
      <c r="Y766" s="244"/>
      <c r="Z766" s="244"/>
      <c r="AA766" s="244"/>
      <c r="AB766" s="244"/>
      <c r="AC766" s="244"/>
      <c r="AD766" s="244"/>
      <c r="AE766" s="244"/>
      <c r="AF766" s="244"/>
      <c r="AG766" s="244"/>
      <c r="AH766" s="244"/>
      <c r="AI766" s="244"/>
      <c r="AJ766" s="244"/>
      <c r="AK766" s="242" t="s">
        <v>2498</v>
      </c>
      <c r="AL766" s="244"/>
      <c r="AM766" s="244"/>
      <c r="AN766" s="244"/>
      <c r="AO766" s="244"/>
      <c r="AP766" s="244"/>
    </row>
    <row r="767" ht="16.5" customHeight="1">
      <c r="A767" s="242" t="s">
        <v>36</v>
      </c>
      <c r="B767" s="243">
        <v>45819.51184907407</v>
      </c>
      <c r="C767" s="242" t="s">
        <v>2505</v>
      </c>
      <c r="D767" s="242" t="s">
        <v>51</v>
      </c>
      <c r="E767" s="242" t="s">
        <v>52</v>
      </c>
      <c r="F767" s="242" t="s">
        <v>53</v>
      </c>
      <c r="G767" s="242" t="s">
        <v>41</v>
      </c>
      <c r="H767" s="242" t="s">
        <v>992</v>
      </c>
      <c r="I767" s="266">
        <v>3000.0</v>
      </c>
      <c r="J767" s="242" t="s">
        <v>184</v>
      </c>
      <c r="K767" s="247" t="s">
        <v>2520</v>
      </c>
      <c r="L767" s="242" t="s">
        <v>2521</v>
      </c>
      <c r="M767" s="242" t="s">
        <v>71</v>
      </c>
      <c r="N767" s="242" t="s">
        <v>96</v>
      </c>
      <c r="O767" s="242" t="s">
        <v>2509</v>
      </c>
      <c r="P767" s="242" t="s">
        <v>2522</v>
      </c>
      <c r="Q767" s="242" t="s">
        <v>1438</v>
      </c>
      <c r="R767" s="242" t="s">
        <v>1552</v>
      </c>
      <c r="S767" s="242" t="s">
        <v>1557</v>
      </c>
      <c r="T767" s="242" t="s">
        <v>2523</v>
      </c>
      <c r="U767" s="244"/>
      <c r="V767" s="244"/>
      <c r="W767" s="244"/>
      <c r="X767" s="244"/>
      <c r="Y767" s="244"/>
      <c r="Z767" s="244"/>
      <c r="AA767" s="244"/>
      <c r="AB767" s="244"/>
      <c r="AC767" s="244"/>
      <c r="AD767" s="244"/>
      <c r="AE767" s="244"/>
      <c r="AF767" s="244"/>
      <c r="AG767" s="244"/>
      <c r="AH767" s="244"/>
      <c r="AI767" s="244"/>
      <c r="AJ767" s="244"/>
      <c r="AK767" s="242" t="s">
        <v>2498</v>
      </c>
      <c r="AL767" s="244"/>
      <c r="AM767" s="244"/>
      <c r="AN767" s="244"/>
      <c r="AO767" s="244"/>
      <c r="AP767" s="244"/>
    </row>
    <row r="768">
      <c r="A768" s="242" t="s">
        <v>36</v>
      </c>
      <c r="B768" s="243">
        <v>45820.51103991898</v>
      </c>
      <c r="C768" s="242" t="s">
        <v>2524</v>
      </c>
      <c r="D768" s="242" t="s">
        <v>38</v>
      </c>
      <c r="E768" s="242" t="s">
        <v>40</v>
      </c>
      <c r="F768" s="242" t="s">
        <v>40</v>
      </c>
      <c r="G768" s="242" t="s">
        <v>41</v>
      </c>
      <c r="H768" s="242" t="s">
        <v>625</v>
      </c>
      <c r="I768" s="264">
        <v>59.99</v>
      </c>
      <c r="J768" s="242" t="s">
        <v>184</v>
      </c>
      <c r="K768" s="247" t="s">
        <v>2525</v>
      </c>
      <c r="L768" s="242" t="s">
        <v>2526</v>
      </c>
      <c r="M768" s="242" t="s">
        <v>71</v>
      </c>
      <c r="N768" s="242" t="s">
        <v>96</v>
      </c>
      <c r="O768" s="242" t="s">
        <v>2527</v>
      </c>
      <c r="P768" s="242" t="s">
        <v>2528</v>
      </c>
      <c r="Q768" s="242" t="s">
        <v>1438</v>
      </c>
      <c r="R768" s="242" t="s">
        <v>1552</v>
      </c>
      <c r="S768" s="242" t="s">
        <v>71</v>
      </c>
      <c r="T768" s="244"/>
      <c r="U768" s="244"/>
      <c r="V768" s="244"/>
      <c r="W768" s="244"/>
      <c r="X768" s="242" t="s">
        <v>2529</v>
      </c>
      <c r="Y768" s="244"/>
      <c r="Z768" s="244"/>
      <c r="AA768" s="244"/>
      <c r="AB768" s="244"/>
      <c r="AC768" s="244"/>
      <c r="AD768" s="244"/>
      <c r="AE768" s="244"/>
      <c r="AF768" s="244"/>
      <c r="AG768" s="244"/>
      <c r="AH768" s="244"/>
      <c r="AI768" s="244"/>
      <c r="AJ768" s="244"/>
      <c r="AK768" s="242" t="s">
        <v>2530</v>
      </c>
      <c r="AL768" s="244"/>
      <c r="AM768" s="244"/>
      <c r="AN768" s="244"/>
      <c r="AO768" s="244"/>
      <c r="AP768" s="244"/>
    </row>
    <row r="769">
      <c r="A769" s="242" t="s">
        <v>36</v>
      </c>
      <c r="B769" s="243">
        <v>45820.564129942126</v>
      </c>
      <c r="C769" s="242" t="s">
        <v>574</v>
      </c>
      <c r="D769" s="242" t="s">
        <v>142</v>
      </c>
      <c r="E769" s="242" t="s">
        <v>52</v>
      </c>
      <c r="F769" s="242" t="s">
        <v>65</v>
      </c>
      <c r="G769" s="242" t="s">
        <v>54</v>
      </c>
      <c r="H769" s="242" t="s">
        <v>625</v>
      </c>
      <c r="I769" s="242" t="s">
        <v>2531</v>
      </c>
      <c r="J769" s="242" t="s">
        <v>86</v>
      </c>
      <c r="K769" s="245" t="s">
        <v>2532</v>
      </c>
      <c r="L769" s="242" t="s">
        <v>2533</v>
      </c>
      <c r="M769" s="242" t="s">
        <v>71</v>
      </c>
      <c r="N769" s="242" t="s">
        <v>96</v>
      </c>
      <c r="O769" s="242" t="s">
        <v>2534</v>
      </c>
      <c r="P769" s="242" t="s">
        <v>2535</v>
      </c>
      <c r="Q769" s="242" t="s">
        <v>1471</v>
      </c>
      <c r="R769" s="242" t="s">
        <v>1552</v>
      </c>
      <c r="S769" s="242" t="s">
        <v>71</v>
      </c>
      <c r="T769" s="242" t="s">
        <v>2536</v>
      </c>
      <c r="U769" s="244"/>
      <c r="V769" s="244"/>
      <c r="W769" s="244"/>
      <c r="X769" s="244"/>
      <c r="Y769" s="244"/>
      <c r="Z769" s="244"/>
      <c r="AA769" s="244"/>
      <c r="AB769" s="244"/>
      <c r="AC769" s="244"/>
      <c r="AD769" s="244"/>
      <c r="AE769" s="244"/>
      <c r="AF769" s="244"/>
      <c r="AG769" s="244"/>
      <c r="AH769" s="244"/>
      <c r="AI769" s="244"/>
      <c r="AJ769" s="244"/>
      <c r="AK769" s="242" t="s">
        <v>2530</v>
      </c>
      <c r="AL769" s="244"/>
      <c r="AM769" s="244"/>
      <c r="AN769" s="244"/>
      <c r="AO769" s="244"/>
      <c r="AP769" s="244"/>
    </row>
    <row r="770">
      <c r="A770" s="242" t="s">
        <v>36</v>
      </c>
      <c r="B770" s="243">
        <v>45820.590464884255</v>
      </c>
      <c r="C770" s="242" t="s">
        <v>1994</v>
      </c>
      <c r="D770" s="242" t="s">
        <v>142</v>
      </c>
      <c r="E770" s="242" t="s">
        <v>138</v>
      </c>
      <c r="F770" s="242" t="s">
        <v>139</v>
      </c>
      <c r="G770" s="242" t="s">
        <v>41</v>
      </c>
      <c r="H770" s="242" t="s">
        <v>833</v>
      </c>
      <c r="I770" s="266">
        <v>3000.0</v>
      </c>
      <c r="J770" s="242" t="s">
        <v>100</v>
      </c>
      <c r="K770" s="244"/>
      <c r="L770" s="247" t="s">
        <v>2537</v>
      </c>
      <c r="M770" s="242" t="s">
        <v>71</v>
      </c>
      <c r="N770" s="242" t="s">
        <v>96</v>
      </c>
      <c r="O770" s="242" t="s">
        <v>2538</v>
      </c>
      <c r="P770" s="242" t="s">
        <v>2539</v>
      </c>
      <c r="Q770" s="242" t="s">
        <v>1471</v>
      </c>
      <c r="R770" s="242" t="s">
        <v>1552</v>
      </c>
      <c r="S770" s="242" t="s">
        <v>71</v>
      </c>
      <c r="T770" s="244"/>
      <c r="U770" s="244"/>
      <c r="V770" s="244"/>
      <c r="W770" s="244"/>
      <c r="X770" s="244"/>
      <c r="Y770" s="244"/>
      <c r="Z770" s="244"/>
      <c r="AA770" s="244"/>
      <c r="AB770" s="244"/>
      <c r="AC770" s="244"/>
      <c r="AD770" s="244"/>
      <c r="AE770" s="244"/>
      <c r="AF770" s="244"/>
      <c r="AG770" s="244"/>
      <c r="AH770" s="244"/>
      <c r="AI770" s="244"/>
      <c r="AJ770" s="244"/>
      <c r="AK770" s="242" t="s">
        <v>2540</v>
      </c>
      <c r="AL770" s="244"/>
      <c r="AM770" s="244"/>
      <c r="AN770" s="244"/>
      <c r="AO770" s="244"/>
      <c r="AP770" s="244"/>
    </row>
    <row r="771">
      <c r="A771" s="242" t="s">
        <v>36</v>
      </c>
      <c r="B771" s="243">
        <v>45820.62763753472</v>
      </c>
      <c r="C771" s="242" t="s">
        <v>240</v>
      </c>
      <c r="D771" s="242" t="s">
        <v>142</v>
      </c>
      <c r="E771" s="242" t="s">
        <v>149</v>
      </c>
      <c r="F771" s="242" t="s">
        <v>139</v>
      </c>
      <c r="G771" s="242" t="s">
        <v>54</v>
      </c>
      <c r="H771" s="242" t="s">
        <v>607</v>
      </c>
      <c r="I771" s="242">
        <v>115.0</v>
      </c>
      <c r="J771" s="242" t="s">
        <v>102</v>
      </c>
      <c r="K771" s="247" t="s">
        <v>2541</v>
      </c>
      <c r="L771" s="242" t="s">
        <v>2542</v>
      </c>
      <c r="M771" s="242" t="s">
        <v>71</v>
      </c>
      <c r="N771" s="242" t="s">
        <v>96</v>
      </c>
      <c r="O771" s="242" t="s">
        <v>2543</v>
      </c>
      <c r="P771" s="246" t="s">
        <v>2544</v>
      </c>
      <c r="Q771" s="242" t="s">
        <v>1438</v>
      </c>
      <c r="R771" s="242" t="s">
        <v>1552</v>
      </c>
      <c r="S771" s="242" t="s">
        <v>1557</v>
      </c>
      <c r="T771" s="244"/>
      <c r="U771" s="244"/>
      <c r="V771" s="244"/>
      <c r="W771" s="244"/>
      <c r="X771" s="242">
        <v>1.0</v>
      </c>
      <c r="Y771" s="244"/>
      <c r="Z771" s="244"/>
      <c r="AA771" s="244"/>
      <c r="AB771" s="244"/>
      <c r="AC771" s="244"/>
      <c r="AD771" s="244"/>
      <c r="AE771" s="244"/>
      <c r="AF771" s="244"/>
      <c r="AG771" s="244"/>
      <c r="AH771" s="244"/>
      <c r="AI771" s="244"/>
      <c r="AJ771" s="244"/>
      <c r="AK771" s="242" t="s">
        <v>2540</v>
      </c>
      <c r="AL771" s="244"/>
      <c r="AM771" s="244"/>
      <c r="AN771" s="244"/>
      <c r="AO771" s="244"/>
      <c r="AP771" s="244"/>
    </row>
    <row r="772">
      <c r="A772" s="242" t="s">
        <v>36</v>
      </c>
      <c r="B772" s="243">
        <v>45820.637484293984</v>
      </c>
      <c r="C772" s="242" t="s">
        <v>333</v>
      </c>
      <c r="D772" s="242" t="s">
        <v>800</v>
      </c>
      <c r="E772" s="242" t="s">
        <v>800</v>
      </c>
      <c r="F772" s="242" t="s">
        <v>800</v>
      </c>
      <c r="G772" s="242" t="s">
        <v>800</v>
      </c>
      <c r="H772" s="242" t="s">
        <v>1117</v>
      </c>
      <c r="I772" s="242" t="s">
        <v>2545</v>
      </c>
      <c r="J772" s="242" t="s">
        <v>102</v>
      </c>
      <c r="K772" s="244"/>
      <c r="L772" s="244"/>
      <c r="M772" s="242" t="s">
        <v>71</v>
      </c>
      <c r="N772" s="242" t="s">
        <v>96</v>
      </c>
      <c r="O772" s="242" t="s">
        <v>2546</v>
      </c>
      <c r="P772" s="246" t="s">
        <v>2547</v>
      </c>
      <c r="Q772" s="242" t="s">
        <v>1438</v>
      </c>
      <c r="R772" s="242" t="s">
        <v>1552</v>
      </c>
      <c r="S772" s="242" t="s">
        <v>1557</v>
      </c>
      <c r="T772" s="242" t="s">
        <v>2548</v>
      </c>
      <c r="U772" s="244"/>
      <c r="V772" s="244"/>
      <c r="W772" s="244"/>
      <c r="X772" s="242">
        <v>30.0</v>
      </c>
      <c r="Y772" s="244"/>
      <c r="Z772" s="244"/>
      <c r="AA772" s="244"/>
      <c r="AB772" s="244"/>
      <c r="AC772" s="244"/>
      <c r="AD772" s="244"/>
      <c r="AE772" s="244"/>
      <c r="AF772" s="244"/>
      <c r="AG772" s="244"/>
      <c r="AH772" s="244"/>
      <c r="AI772" s="244"/>
      <c r="AJ772" s="244"/>
      <c r="AK772" s="242" t="s">
        <v>2530</v>
      </c>
      <c r="AL772" s="244"/>
      <c r="AM772" s="244"/>
      <c r="AN772" s="244"/>
      <c r="AO772" s="244"/>
      <c r="AP772" s="244"/>
    </row>
    <row r="773">
      <c r="A773" s="242" t="s">
        <v>36</v>
      </c>
      <c r="B773" s="243">
        <v>45826.36170111111</v>
      </c>
      <c r="C773" s="242" t="s">
        <v>2359</v>
      </c>
      <c r="D773" s="242" t="s">
        <v>109</v>
      </c>
      <c r="E773" s="242" t="s">
        <v>52</v>
      </c>
      <c r="F773" s="242" t="s">
        <v>40</v>
      </c>
      <c r="G773" s="242" t="s">
        <v>41</v>
      </c>
      <c r="H773" s="242" t="s">
        <v>625</v>
      </c>
      <c r="I773" s="264">
        <v>439.62</v>
      </c>
      <c r="J773" s="242" t="s">
        <v>100</v>
      </c>
      <c r="K773" s="247" t="s">
        <v>2549</v>
      </c>
      <c r="L773" s="284" t="s">
        <v>2550</v>
      </c>
      <c r="M773" s="242" t="s">
        <v>71</v>
      </c>
      <c r="N773" s="242" t="s">
        <v>96</v>
      </c>
      <c r="O773" s="242" t="s">
        <v>2361</v>
      </c>
      <c r="P773" s="244"/>
      <c r="Q773" s="242" t="s">
        <v>1438</v>
      </c>
      <c r="R773" s="242" t="s">
        <v>1552</v>
      </c>
      <c r="S773" s="242" t="s">
        <v>1621</v>
      </c>
      <c r="T773" s="242" t="s">
        <v>2551</v>
      </c>
      <c r="U773" s="244"/>
      <c r="V773" s="244"/>
      <c r="W773" s="244"/>
      <c r="X773" s="244"/>
      <c r="Y773" s="244"/>
      <c r="Z773" s="244"/>
      <c r="AA773" s="244"/>
      <c r="AB773" s="244"/>
      <c r="AC773" s="244"/>
      <c r="AD773" s="244"/>
      <c r="AE773" s="244"/>
      <c r="AF773" s="244"/>
      <c r="AG773" s="244"/>
      <c r="AH773" s="244"/>
      <c r="AI773" s="244"/>
      <c r="AJ773" s="244"/>
      <c r="AK773" s="242" t="s">
        <v>2552</v>
      </c>
      <c r="AL773" s="244"/>
      <c r="AM773" s="244"/>
      <c r="AN773" s="244"/>
      <c r="AO773" s="244"/>
      <c r="AP773" s="244"/>
    </row>
    <row r="774">
      <c r="A774" s="242" t="s">
        <v>36</v>
      </c>
      <c r="B774" s="243">
        <v>45826.37981021991</v>
      </c>
      <c r="C774" s="242" t="s">
        <v>2492</v>
      </c>
      <c r="D774" s="242" t="s">
        <v>142</v>
      </c>
      <c r="E774" s="242" t="s">
        <v>52</v>
      </c>
      <c r="F774" s="242" t="s">
        <v>65</v>
      </c>
      <c r="G774" s="242" t="s">
        <v>131</v>
      </c>
      <c r="H774" s="242" t="s">
        <v>992</v>
      </c>
      <c r="I774" s="266">
        <v>260.0</v>
      </c>
      <c r="J774" s="242" t="s">
        <v>194</v>
      </c>
      <c r="K774" s="244"/>
      <c r="L774" s="242" t="s">
        <v>2553</v>
      </c>
      <c r="M774" s="242" t="s">
        <v>71</v>
      </c>
      <c r="N774" s="242" t="s">
        <v>96</v>
      </c>
      <c r="O774" s="242" t="s">
        <v>2554</v>
      </c>
      <c r="P774" s="242" t="s">
        <v>2555</v>
      </c>
      <c r="Q774" s="242" t="s">
        <v>1438</v>
      </c>
      <c r="R774" s="242" t="s">
        <v>1552</v>
      </c>
      <c r="S774" s="242" t="s">
        <v>1557</v>
      </c>
      <c r="T774" s="242" t="s">
        <v>2556</v>
      </c>
      <c r="U774" s="244"/>
      <c r="V774" s="244"/>
      <c r="W774" s="244"/>
      <c r="X774" s="242">
        <v>1.0</v>
      </c>
      <c r="Y774" s="244"/>
      <c r="Z774" s="244"/>
      <c r="AA774" s="244"/>
      <c r="AB774" s="244"/>
      <c r="AC774" s="244"/>
      <c r="AD774" s="244"/>
      <c r="AE774" s="244"/>
      <c r="AF774" s="244"/>
      <c r="AG774" s="244"/>
      <c r="AH774" s="244"/>
      <c r="AI774" s="244"/>
      <c r="AJ774" s="244"/>
      <c r="AK774" s="242" t="s">
        <v>2557</v>
      </c>
      <c r="AL774" s="244"/>
      <c r="AM774" s="244"/>
      <c r="AN774" s="244"/>
      <c r="AO774" s="244"/>
      <c r="AP774" s="244"/>
    </row>
    <row r="775" ht="15.75" customHeight="1">
      <c r="A775" s="242" t="s">
        <v>36</v>
      </c>
      <c r="B775" s="243">
        <v>45826.69233048611</v>
      </c>
      <c r="C775" s="242" t="s">
        <v>2505</v>
      </c>
      <c r="D775" s="242" t="s">
        <v>51</v>
      </c>
      <c r="E775" s="242" t="s">
        <v>52</v>
      </c>
      <c r="F775" s="242" t="s">
        <v>53</v>
      </c>
      <c r="G775" s="242" t="s">
        <v>41</v>
      </c>
      <c r="H775" s="242" t="s">
        <v>992</v>
      </c>
      <c r="I775" s="266">
        <v>1000.0</v>
      </c>
      <c r="J775" s="242" t="s">
        <v>184</v>
      </c>
      <c r="K775" s="242" t="s">
        <v>2558</v>
      </c>
      <c r="L775" s="242" t="s">
        <v>2559</v>
      </c>
      <c r="M775" s="242" t="s">
        <v>71</v>
      </c>
      <c r="N775" s="242" t="s">
        <v>96</v>
      </c>
      <c r="O775" s="242" t="s">
        <v>2509</v>
      </c>
      <c r="P775" s="242" t="s">
        <v>2560</v>
      </c>
      <c r="Q775" s="242" t="s">
        <v>1438</v>
      </c>
      <c r="R775" s="242" t="s">
        <v>1552</v>
      </c>
      <c r="S775" s="242" t="s">
        <v>1621</v>
      </c>
      <c r="T775" s="242" t="s">
        <v>2523</v>
      </c>
      <c r="U775" s="244"/>
      <c r="V775" s="244"/>
      <c r="W775" s="244"/>
      <c r="X775" s="244"/>
      <c r="Y775" s="244"/>
      <c r="Z775" s="244"/>
      <c r="AA775" s="244"/>
      <c r="AB775" s="244"/>
      <c r="AC775" s="244"/>
      <c r="AD775" s="244"/>
      <c r="AE775" s="244"/>
      <c r="AF775" s="244"/>
      <c r="AG775" s="244"/>
      <c r="AH775" s="244"/>
      <c r="AI775" s="244"/>
      <c r="AJ775" s="244"/>
      <c r="AK775" s="242" t="s">
        <v>2561</v>
      </c>
      <c r="AL775" s="244"/>
      <c r="AM775" s="244"/>
      <c r="AN775" s="244"/>
      <c r="AO775" s="244"/>
      <c r="AP775" s="244"/>
    </row>
    <row r="776" ht="15.75" customHeight="1">
      <c r="A776" s="242" t="s">
        <v>36</v>
      </c>
      <c r="B776" s="243">
        <v>45826.69824452546</v>
      </c>
      <c r="C776" s="242" t="s">
        <v>2505</v>
      </c>
      <c r="D776" s="242" t="s">
        <v>51</v>
      </c>
      <c r="E776" s="242" t="s">
        <v>52</v>
      </c>
      <c r="F776" s="242" t="s">
        <v>53</v>
      </c>
      <c r="G776" s="242" t="s">
        <v>41</v>
      </c>
      <c r="H776" s="242" t="s">
        <v>992</v>
      </c>
      <c r="I776" s="266">
        <v>3000.0</v>
      </c>
      <c r="J776" s="242" t="s">
        <v>184</v>
      </c>
      <c r="K776" s="242" t="s">
        <v>2562</v>
      </c>
      <c r="L776" s="242" t="s">
        <v>2563</v>
      </c>
      <c r="M776" s="242" t="s">
        <v>71</v>
      </c>
      <c r="N776" s="242" t="s">
        <v>96</v>
      </c>
      <c r="O776" s="242" t="s">
        <v>2509</v>
      </c>
      <c r="P776" s="242" t="s">
        <v>2564</v>
      </c>
      <c r="Q776" s="242" t="s">
        <v>1438</v>
      </c>
      <c r="R776" s="242" t="s">
        <v>1552</v>
      </c>
      <c r="S776" s="242" t="s">
        <v>1621</v>
      </c>
      <c r="T776" s="242" t="s">
        <v>2523</v>
      </c>
      <c r="U776" s="244"/>
      <c r="V776" s="244"/>
      <c r="W776" s="244"/>
      <c r="X776" s="244"/>
      <c r="Y776" s="244"/>
      <c r="Z776" s="244"/>
      <c r="AA776" s="244"/>
      <c r="AB776" s="244"/>
      <c r="AC776" s="244"/>
      <c r="AD776" s="244"/>
      <c r="AE776" s="244"/>
      <c r="AF776" s="244"/>
      <c r="AG776" s="244"/>
      <c r="AH776" s="244"/>
      <c r="AI776" s="244"/>
      <c r="AJ776" s="244"/>
      <c r="AK776" s="242" t="s">
        <v>2561</v>
      </c>
      <c r="AL776" s="244"/>
      <c r="AM776" s="244"/>
      <c r="AN776" s="244"/>
      <c r="AO776" s="244"/>
      <c r="AP776" s="244"/>
    </row>
    <row r="777">
      <c r="A777" s="242" t="s">
        <v>36</v>
      </c>
      <c r="B777" s="243">
        <v>45829.42773831019</v>
      </c>
      <c r="C777" s="242" t="s">
        <v>2266</v>
      </c>
      <c r="D777" s="242" t="s">
        <v>38</v>
      </c>
      <c r="E777" s="242" t="s">
        <v>40</v>
      </c>
      <c r="F777" s="242" t="s">
        <v>40</v>
      </c>
      <c r="G777" s="242" t="s">
        <v>54</v>
      </c>
      <c r="H777" s="242" t="s">
        <v>625</v>
      </c>
      <c r="I777" s="266">
        <v>659.0</v>
      </c>
      <c r="J777" s="242" t="s">
        <v>100</v>
      </c>
      <c r="K777" s="247" t="s">
        <v>2565</v>
      </c>
      <c r="L777" s="242" t="s">
        <v>2566</v>
      </c>
      <c r="M777" s="242" t="s">
        <v>71</v>
      </c>
      <c r="N777" s="242" t="s">
        <v>96</v>
      </c>
      <c r="O777" s="242" t="s">
        <v>2269</v>
      </c>
      <c r="P777" s="242" t="s">
        <v>2567</v>
      </c>
      <c r="Q777" s="242" t="s">
        <v>1438</v>
      </c>
      <c r="R777" s="242" t="s">
        <v>1552</v>
      </c>
      <c r="S777" s="242" t="s">
        <v>71</v>
      </c>
      <c r="T777" s="244"/>
      <c r="U777" s="244"/>
      <c r="V777" s="244"/>
      <c r="W777" s="244"/>
      <c r="X777" s="244"/>
      <c r="Y777" s="244"/>
      <c r="Z777" s="244"/>
      <c r="AA777" s="244"/>
      <c r="AB777" s="244"/>
      <c r="AC777" s="244"/>
      <c r="AD777" s="244"/>
      <c r="AE777" s="244"/>
      <c r="AF777" s="244"/>
      <c r="AG777" s="244"/>
      <c r="AH777" s="244"/>
      <c r="AI777" s="244"/>
      <c r="AJ777" s="244"/>
      <c r="AK777" s="242" t="s">
        <v>2530</v>
      </c>
      <c r="AL777" s="244"/>
      <c r="AM777" s="244"/>
      <c r="AN777" s="244"/>
      <c r="AO777" s="244"/>
      <c r="AP777" s="244"/>
    </row>
    <row r="778">
      <c r="A778" s="242" t="s">
        <v>36</v>
      </c>
      <c r="B778" s="243">
        <v>45832.55439481481</v>
      </c>
      <c r="C778" s="242" t="s">
        <v>237</v>
      </c>
      <c r="D778" s="242" t="s">
        <v>51</v>
      </c>
      <c r="E778" s="242" t="s">
        <v>52</v>
      </c>
      <c r="F778" s="242" t="s">
        <v>65</v>
      </c>
      <c r="G778" s="242" t="s">
        <v>54</v>
      </c>
      <c r="H778" s="242" t="s">
        <v>625</v>
      </c>
      <c r="I778" s="264">
        <v>325.0</v>
      </c>
      <c r="J778" s="242" t="s">
        <v>100</v>
      </c>
      <c r="K778" s="247" t="s">
        <v>2568</v>
      </c>
      <c r="L778" s="242" t="s">
        <v>2569</v>
      </c>
      <c r="M778" s="242" t="s">
        <v>71</v>
      </c>
      <c r="N778" s="242" t="s">
        <v>96</v>
      </c>
      <c r="O778" s="242" t="s">
        <v>1036</v>
      </c>
      <c r="P778" s="242" t="s">
        <v>2570</v>
      </c>
      <c r="Q778" s="242" t="s">
        <v>1438</v>
      </c>
      <c r="R778" s="242" t="s">
        <v>1552</v>
      </c>
      <c r="S778" s="242" t="s">
        <v>71</v>
      </c>
      <c r="T778" s="244"/>
      <c r="U778" s="244"/>
      <c r="V778" s="244"/>
      <c r="W778" s="244"/>
      <c r="X778" s="242" t="s">
        <v>1557</v>
      </c>
      <c r="Y778" s="244"/>
      <c r="Z778" s="244"/>
      <c r="AA778" s="244"/>
      <c r="AB778" s="244"/>
      <c r="AC778" s="244"/>
      <c r="AD778" s="244"/>
      <c r="AE778" s="244"/>
      <c r="AF778" s="244"/>
      <c r="AG778" s="244"/>
      <c r="AH778" s="244"/>
      <c r="AI778" s="244"/>
      <c r="AJ778" s="244"/>
      <c r="AK778" s="242" t="s">
        <v>2530</v>
      </c>
      <c r="AL778" s="244"/>
      <c r="AM778" s="244"/>
      <c r="AN778" s="244"/>
      <c r="AO778" s="244"/>
      <c r="AP778" s="244"/>
    </row>
    <row r="779">
      <c r="A779" s="242" t="s">
        <v>36</v>
      </c>
      <c r="B779" s="243">
        <v>45833.323557870375</v>
      </c>
      <c r="C779" s="242" t="s">
        <v>237</v>
      </c>
      <c r="D779" s="242" t="s">
        <v>51</v>
      </c>
      <c r="E779" s="242" t="s">
        <v>52</v>
      </c>
      <c r="F779" s="242" t="s">
        <v>65</v>
      </c>
      <c r="G779" s="242" t="s">
        <v>54</v>
      </c>
      <c r="H779" s="242" t="s">
        <v>625</v>
      </c>
      <c r="I779" s="242" t="s">
        <v>2571</v>
      </c>
      <c r="J779" s="242" t="s">
        <v>100</v>
      </c>
      <c r="K779" s="245" t="s">
        <v>2572</v>
      </c>
      <c r="L779" s="242" t="s">
        <v>2573</v>
      </c>
      <c r="M779" s="242" t="s">
        <v>71</v>
      </c>
      <c r="N779" s="242" t="s">
        <v>96</v>
      </c>
      <c r="O779" s="242" t="s">
        <v>1411</v>
      </c>
      <c r="P779" s="242" t="s">
        <v>2574</v>
      </c>
      <c r="Q779" s="242" t="s">
        <v>1438</v>
      </c>
      <c r="R779" s="242" t="s">
        <v>1552</v>
      </c>
      <c r="S779" s="242" t="s">
        <v>71</v>
      </c>
      <c r="T779" s="244"/>
      <c r="U779" s="244"/>
      <c r="V779" s="244"/>
      <c r="W779" s="244"/>
      <c r="X779" s="244"/>
      <c r="Y779" s="244"/>
      <c r="Z779" s="244"/>
      <c r="AA779" s="244"/>
      <c r="AB779" s="244"/>
      <c r="AC779" s="244"/>
      <c r="AD779" s="244"/>
      <c r="AE779" s="244"/>
      <c r="AF779" s="244"/>
      <c r="AG779" s="244"/>
      <c r="AH779" s="244"/>
      <c r="AI779" s="244"/>
      <c r="AJ779" s="244"/>
      <c r="AK779" s="242" t="s">
        <v>2530</v>
      </c>
      <c r="AL779" s="244"/>
      <c r="AM779" s="244"/>
      <c r="AN779" s="244"/>
      <c r="AO779" s="244"/>
      <c r="AP779" s="244"/>
    </row>
    <row r="780">
      <c r="A780" s="242" t="s">
        <v>36</v>
      </c>
      <c r="B780" s="243">
        <v>45833.64513592592</v>
      </c>
      <c r="C780" s="242" t="s">
        <v>78</v>
      </c>
      <c r="D780" s="242" t="s">
        <v>800</v>
      </c>
      <c r="E780" s="242" t="s">
        <v>800</v>
      </c>
      <c r="F780" s="242" t="s">
        <v>800</v>
      </c>
      <c r="G780" s="242" t="s">
        <v>800</v>
      </c>
      <c r="H780" s="242" t="s">
        <v>625</v>
      </c>
      <c r="I780" s="242">
        <v>510.0</v>
      </c>
      <c r="J780" s="242" t="s">
        <v>82</v>
      </c>
      <c r="K780" s="245" t="s">
        <v>2575</v>
      </c>
      <c r="L780" s="242" t="s">
        <v>2576</v>
      </c>
      <c r="M780" s="242" t="s">
        <v>71</v>
      </c>
      <c r="N780" s="242" t="s">
        <v>96</v>
      </c>
      <c r="O780" s="242" t="s">
        <v>2577</v>
      </c>
      <c r="P780" s="246" t="s">
        <v>2578</v>
      </c>
      <c r="Q780" s="242" t="s">
        <v>1438</v>
      </c>
      <c r="R780" s="242" t="s">
        <v>1552</v>
      </c>
      <c r="S780" s="242" t="s">
        <v>1557</v>
      </c>
      <c r="T780" s="242" t="s">
        <v>2579</v>
      </c>
      <c r="U780" s="244"/>
      <c r="V780" s="244"/>
      <c r="W780" s="244"/>
      <c r="X780" s="242">
        <v>6.0</v>
      </c>
      <c r="Y780" s="244"/>
      <c r="Z780" s="244"/>
      <c r="AA780" s="244"/>
      <c r="AB780" s="244"/>
      <c r="AC780" s="244"/>
      <c r="AD780" s="244"/>
      <c r="AE780" s="244"/>
      <c r="AF780" s="244"/>
      <c r="AG780" s="244"/>
      <c r="AH780" s="244"/>
      <c r="AI780" s="244"/>
      <c r="AJ780" s="244"/>
      <c r="AK780" s="242" t="s">
        <v>2580</v>
      </c>
      <c r="AL780" s="244"/>
      <c r="AM780" s="244"/>
      <c r="AN780" s="244"/>
      <c r="AO780" s="244"/>
      <c r="AP780" s="244"/>
    </row>
    <row r="781" ht="13.5" customHeight="1">
      <c r="A781" s="242" t="s">
        <v>36</v>
      </c>
      <c r="B781" s="243">
        <v>45838.691162766205</v>
      </c>
      <c r="C781" s="242" t="s">
        <v>1406</v>
      </c>
      <c r="D781" s="242" t="s">
        <v>109</v>
      </c>
      <c r="E781" s="242" t="s">
        <v>52</v>
      </c>
      <c r="F781" s="242" t="s">
        <v>65</v>
      </c>
      <c r="G781" s="242" t="s">
        <v>54</v>
      </c>
      <c r="H781" s="242" t="s">
        <v>625</v>
      </c>
      <c r="I781" s="264">
        <v>6000.0</v>
      </c>
      <c r="J781" s="242" t="s">
        <v>383</v>
      </c>
      <c r="K781" s="247" t="s">
        <v>2581</v>
      </c>
      <c r="L781" s="242" t="s">
        <v>2582</v>
      </c>
      <c r="M781" s="242" t="s">
        <v>71</v>
      </c>
      <c r="N781" s="242" t="s">
        <v>96</v>
      </c>
      <c r="O781" s="242" t="s">
        <v>1408</v>
      </c>
      <c r="P781" s="246" t="s">
        <v>2583</v>
      </c>
      <c r="Q781" s="242" t="s">
        <v>1438</v>
      </c>
      <c r="R781" s="242" t="s">
        <v>1552</v>
      </c>
      <c r="S781" s="242" t="s">
        <v>71</v>
      </c>
      <c r="T781" s="244"/>
      <c r="U781" s="244"/>
      <c r="V781" s="244"/>
      <c r="W781" s="244"/>
      <c r="X781" s="244"/>
      <c r="Y781" s="244"/>
      <c r="Z781" s="244"/>
      <c r="AA781" s="244"/>
      <c r="AB781" s="244"/>
      <c r="AC781" s="244"/>
      <c r="AD781" s="244"/>
      <c r="AE781" s="244"/>
      <c r="AF781" s="244"/>
      <c r="AG781" s="244"/>
      <c r="AH781" s="244"/>
      <c r="AI781" s="244"/>
      <c r="AJ781" s="244"/>
      <c r="AK781" s="242" t="s">
        <v>2580</v>
      </c>
      <c r="AL781" s="244"/>
      <c r="AM781" s="244"/>
      <c r="AN781" s="244"/>
      <c r="AO781" s="244"/>
      <c r="AP781" s="244"/>
    </row>
    <row r="782">
      <c r="A782" s="242" t="s">
        <v>36</v>
      </c>
      <c r="B782" s="243">
        <v>45839.409506006945</v>
      </c>
      <c r="C782" s="242" t="s">
        <v>710</v>
      </c>
      <c r="D782" s="242" t="s">
        <v>51</v>
      </c>
      <c r="E782" s="242" t="s">
        <v>52</v>
      </c>
      <c r="F782" s="242" t="s">
        <v>65</v>
      </c>
      <c r="G782" s="242" t="s">
        <v>54</v>
      </c>
      <c r="H782" s="242" t="s">
        <v>625</v>
      </c>
      <c r="I782" s="242" t="s">
        <v>2584</v>
      </c>
      <c r="J782" s="242" t="s">
        <v>86</v>
      </c>
      <c r="K782" s="245" t="s">
        <v>2585</v>
      </c>
      <c r="L782" s="247" t="s">
        <v>2586</v>
      </c>
      <c r="M782" s="242" t="s">
        <v>71</v>
      </c>
      <c r="N782" s="242" t="s">
        <v>96</v>
      </c>
      <c r="O782" s="242" t="s">
        <v>965</v>
      </c>
      <c r="P782" s="242" t="s">
        <v>2587</v>
      </c>
      <c r="Q782" s="242" t="s">
        <v>1438</v>
      </c>
      <c r="R782" s="242" t="s">
        <v>1552</v>
      </c>
      <c r="S782" s="242" t="s">
        <v>71</v>
      </c>
      <c r="T782" s="244"/>
      <c r="U782" s="244"/>
      <c r="V782" s="244"/>
      <c r="W782" s="244"/>
      <c r="X782" s="242" t="s">
        <v>1433</v>
      </c>
      <c r="Y782" s="244"/>
      <c r="Z782" s="244"/>
      <c r="AA782" s="244"/>
      <c r="AB782" s="244"/>
      <c r="AC782" s="244"/>
      <c r="AD782" s="244"/>
      <c r="AE782" s="244"/>
      <c r="AF782" s="244"/>
      <c r="AG782" s="244"/>
      <c r="AH782" s="244"/>
      <c r="AI782" s="244"/>
      <c r="AJ782" s="244"/>
      <c r="AK782" s="242" t="s">
        <v>2580</v>
      </c>
      <c r="AL782" s="244"/>
      <c r="AM782" s="244"/>
      <c r="AN782" s="244"/>
      <c r="AO782" s="244"/>
      <c r="AP782" s="244"/>
    </row>
    <row r="783">
      <c r="A783" s="242" t="s">
        <v>36</v>
      </c>
      <c r="B783" s="243">
        <v>45845.42280677083</v>
      </c>
      <c r="C783" s="242" t="s">
        <v>1242</v>
      </c>
      <c r="D783" s="242" t="s">
        <v>142</v>
      </c>
      <c r="E783" s="242" t="s">
        <v>52</v>
      </c>
      <c r="F783" s="242" t="s">
        <v>40</v>
      </c>
      <c r="G783" s="242" t="s">
        <v>54</v>
      </c>
      <c r="H783" s="242" t="s">
        <v>607</v>
      </c>
      <c r="I783" s="242" t="s">
        <v>2588</v>
      </c>
      <c r="J783" s="242" t="s">
        <v>1243</v>
      </c>
      <c r="K783" s="244"/>
      <c r="L783" s="242" t="s">
        <v>2589</v>
      </c>
      <c r="M783" s="242" t="s">
        <v>71</v>
      </c>
      <c r="N783" s="242" t="s">
        <v>96</v>
      </c>
      <c r="O783" s="242" t="s">
        <v>2590</v>
      </c>
      <c r="P783" s="244"/>
      <c r="Q783" s="242" t="s">
        <v>1438</v>
      </c>
      <c r="R783" s="242" t="s">
        <v>1552</v>
      </c>
      <c r="S783" s="242" t="s">
        <v>1557</v>
      </c>
      <c r="T783" s="244"/>
      <c r="U783" s="244"/>
      <c r="V783" s="244"/>
      <c r="W783" s="244"/>
      <c r="X783" s="244"/>
      <c r="Y783" s="244"/>
      <c r="Z783" s="244"/>
      <c r="AA783" s="244"/>
      <c r="AB783" s="244"/>
      <c r="AC783" s="244"/>
      <c r="AD783" s="244"/>
      <c r="AE783" s="244"/>
      <c r="AF783" s="244"/>
      <c r="AG783" s="244"/>
      <c r="AH783" s="244"/>
      <c r="AI783" s="244"/>
      <c r="AJ783" s="244"/>
      <c r="AK783" s="242" t="s">
        <v>2591</v>
      </c>
      <c r="AL783" s="244"/>
      <c r="AM783" s="244"/>
      <c r="AN783" s="244"/>
      <c r="AO783" s="244"/>
      <c r="AP783" s="244"/>
    </row>
    <row r="784">
      <c r="A784" s="242" t="s">
        <v>36</v>
      </c>
      <c r="B784" s="243">
        <v>45845.475570069444</v>
      </c>
      <c r="C784" s="242" t="s">
        <v>1242</v>
      </c>
      <c r="D784" s="242" t="s">
        <v>142</v>
      </c>
      <c r="E784" s="242" t="s">
        <v>52</v>
      </c>
      <c r="F784" s="242" t="s">
        <v>65</v>
      </c>
      <c r="G784" s="242" t="s">
        <v>54</v>
      </c>
      <c r="H784" s="242" t="s">
        <v>833</v>
      </c>
      <c r="I784" s="266">
        <v>33.0</v>
      </c>
      <c r="J784" s="242" t="s">
        <v>1243</v>
      </c>
      <c r="K784" s="245" t="s">
        <v>2592</v>
      </c>
      <c r="L784" s="242" t="s">
        <v>2593</v>
      </c>
      <c r="M784" s="242" t="s">
        <v>71</v>
      </c>
      <c r="N784" s="242" t="s">
        <v>96</v>
      </c>
      <c r="O784" s="242" t="s">
        <v>2594</v>
      </c>
      <c r="P784" s="242" t="s">
        <v>2595</v>
      </c>
      <c r="Q784" s="242" t="s">
        <v>1438</v>
      </c>
      <c r="R784" s="242" t="s">
        <v>1552</v>
      </c>
      <c r="S784" s="242" t="s">
        <v>1557</v>
      </c>
      <c r="T784" s="242" t="s">
        <v>2596</v>
      </c>
      <c r="U784" s="244"/>
      <c r="V784" s="244"/>
      <c r="W784" s="244"/>
      <c r="X784" s="244"/>
      <c r="Y784" s="244"/>
      <c r="Z784" s="244"/>
      <c r="AA784" s="244"/>
      <c r="AB784" s="244"/>
      <c r="AC784" s="244"/>
      <c r="AD784" s="244"/>
      <c r="AE784" s="244"/>
      <c r="AF784" s="244"/>
      <c r="AG784" s="244"/>
      <c r="AH784" s="244"/>
      <c r="AI784" s="244"/>
      <c r="AJ784" s="244"/>
      <c r="AK784" s="242" t="s">
        <v>2591</v>
      </c>
      <c r="AL784" s="244"/>
      <c r="AM784" s="244"/>
      <c r="AN784" s="244"/>
      <c r="AO784" s="244"/>
      <c r="AP784" s="244"/>
    </row>
    <row r="785">
      <c r="A785" s="242" t="s">
        <v>36</v>
      </c>
      <c r="B785" s="243">
        <v>45846.48397894676</v>
      </c>
      <c r="C785" s="242" t="s">
        <v>760</v>
      </c>
      <c r="D785" s="242" t="s">
        <v>800</v>
      </c>
      <c r="E785" s="242" t="s">
        <v>800</v>
      </c>
      <c r="F785" s="242" t="s">
        <v>800</v>
      </c>
      <c r="G785" s="242" t="s">
        <v>800</v>
      </c>
      <c r="H785" s="242" t="s">
        <v>625</v>
      </c>
      <c r="I785" s="242" t="s">
        <v>2597</v>
      </c>
      <c r="J785" s="242" t="s">
        <v>1046</v>
      </c>
      <c r="K785" s="244"/>
      <c r="L785" s="247" t="s">
        <v>2598</v>
      </c>
      <c r="M785" s="242" t="s">
        <v>71</v>
      </c>
      <c r="N785" s="242" t="s">
        <v>96</v>
      </c>
      <c r="O785" s="242" t="s">
        <v>2599</v>
      </c>
      <c r="P785" s="242" t="s">
        <v>2600</v>
      </c>
      <c r="Q785" s="242" t="s">
        <v>1438</v>
      </c>
      <c r="R785" s="242" t="s">
        <v>1552</v>
      </c>
      <c r="S785" s="242" t="s">
        <v>1557</v>
      </c>
      <c r="T785" s="242" t="s">
        <v>2601</v>
      </c>
      <c r="U785" s="244"/>
      <c r="V785" s="244"/>
      <c r="W785" s="244"/>
      <c r="X785" s="242" t="s">
        <v>2602</v>
      </c>
      <c r="Y785" s="244"/>
      <c r="Z785" s="244"/>
      <c r="AA785" s="244"/>
      <c r="AB785" s="244"/>
      <c r="AC785" s="244"/>
      <c r="AD785" s="244"/>
      <c r="AE785" s="244"/>
      <c r="AF785" s="244"/>
      <c r="AG785" s="244"/>
      <c r="AH785" s="244"/>
      <c r="AI785" s="244"/>
      <c r="AJ785" s="244"/>
      <c r="AK785" s="242" t="s">
        <v>2591</v>
      </c>
      <c r="AL785" s="244"/>
      <c r="AM785" s="244"/>
      <c r="AN785" s="244"/>
      <c r="AO785" s="244"/>
      <c r="AP785" s="244"/>
    </row>
    <row r="786">
      <c r="A786" s="242" t="s">
        <v>36</v>
      </c>
      <c r="B786" s="243">
        <v>45847.395190324074</v>
      </c>
      <c r="C786" s="242" t="s">
        <v>760</v>
      </c>
      <c r="D786" s="242" t="s">
        <v>734</v>
      </c>
      <c r="E786" s="242" t="s">
        <v>39</v>
      </c>
      <c r="F786" s="242" t="s">
        <v>735</v>
      </c>
      <c r="G786" s="242" t="s">
        <v>735</v>
      </c>
      <c r="H786" s="242" t="s">
        <v>1098</v>
      </c>
      <c r="I786" s="242" t="s">
        <v>2603</v>
      </c>
      <c r="J786" s="242" t="s">
        <v>383</v>
      </c>
      <c r="K786" s="244"/>
      <c r="L786" s="244"/>
      <c r="M786" s="242" t="s">
        <v>71</v>
      </c>
      <c r="N786" s="242" t="s">
        <v>96</v>
      </c>
      <c r="O786" s="242" t="s">
        <v>2604</v>
      </c>
      <c r="P786" s="242" t="s">
        <v>2605</v>
      </c>
      <c r="Q786" s="242" t="s">
        <v>1438</v>
      </c>
      <c r="R786" s="242" t="s">
        <v>1552</v>
      </c>
      <c r="S786" s="242" t="s">
        <v>1621</v>
      </c>
      <c r="T786" s="242" t="s">
        <v>2606</v>
      </c>
      <c r="U786" s="244"/>
      <c r="V786" s="244"/>
      <c r="W786" s="244"/>
      <c r="X786" s="242" t="s">
        <v>2607</v>
      </c>
      <c r="Y786" s="244"/>
      <c r="Z786" s="244"/>
      <c r="AA786" s="244"/>
      <c r="AB786" s="244"/>
      <c r="AC786" s="244"/>
      <c r="AD786" s="244"/>
      <c r="AE786" s="244"/>
      <c r="AF786" s="244"/>
      <c r="AG786" s="244"/>
      <c r="AH786" s="244"/>
      <c r="AI786" s="244"/>
      <c r="AJ786" s="244"/>
      <c r="AK786" s="242" t="s">
        <v>2591</v>
      </c>
      <c r="AL786" s="244"/>
      <c r="AM786" s="244"/>
      <c r="AN786" s="244"/>
      <c r="AO786" s="244"/>
      <c r="AP786" s="244"/>
    </row>
    <row r="787">
      <c r="A787" s="242" t="s">
        <v>36</v>
      </c>
      <c r="B787" s="243">
        <v>45847.40047270834</v>
      </c>
      <c r="C787" s="242" t="s">
        <v>2608</v>
      </c>
      <c r="D787" s="242" t="s">
        <v>142</v>
      </c>
      <c r="E787" s="242" t="s">
        <v>52</v>
      </c>
      <c r="F787" s="242" t="s">
        <v>65</v>
      </c>
      <c r="G787" s="242" t="s">
        <v>131</v>
      </c>
      <c r="H787" s="242" t="s">
        <v>607</v>
      </c>
      <c r="I787" s="264">
        <v>165.0</v>
      </c>
      <c r="J787" s="242" t="s">
        <v>184</v>
      </c>
      <c r="K787" s="244"/>
      <c r="L787" s="242" t="s">
        <v>2609</v>
      </c>
      <c r="M787" s="242" t="s">
        <v>71</v>
      </c>
      <c r="N787" s="242" t="s">
        <v>96</v>
      </c>
      <c r="O787" s="242" t="s">
        <v>2610</v>
      </c>
      <c r="P787" s="244"/>
      <c r="Q787" s="242" t="s">
        <v>1438</v>
      </c>
      <c r="R787" s="242" t="s">
        <v>1552</v>
      </c>
      <c r="S787" s="242" t="s">
        <v>1621</v>
      </c>
      <c r="T787" s="244"/>
      <c r="U787" s="244"/>
      <c r="V787" s="244"/>
      <c r="W787" s="244"/>
      <c r="X787" s="244"/>
      <c r="Y787" s="244"/>
      <c r="Z787" s="244"/>
      <c r="AA787" s="244"/>
      <c r="AB787" s="244"/>
      <c r="AC787" s="244"/>
      <c r="AD787" s="244"/>
      <c r="AE787" s="244"/>
      <c r="AF787" s="244"/>
      <c r="AG787" s="244"/>
      <c r="AH787" s="244"/>
      <c r="AI787" s="244"/>
      <c r="AJ787" s="244"/>
      <c r="AK787" s="242" t="s">
        <v>2591</v>
      </c>
      <c r="AL787" s="244"/>
      <c r="AM787" s="244"/>
      <c r="AN787" s="244"/>
      <c r="AO787" s="244"/>
      <c r="AP787" s="244"/>
    </row>
    <row r="788">
      <c r="A788" s="242" t="s">
        <v>36</v>
      </c>
      <c r="B788" s="243">
        <v>45847.59827686343</v>
      </c>
      <c r="C788" s="242" t="s">
        <v>1116</v>
      </c>
      <c r="D788" s="242" t="s">
        <v>51</v>
      </c>
      <c r="E788" s="242" t="s">
        <v>138</v>
      </c>
      <c r="F788" s="242" t="s">
        <v>65</v>
      </c>
      <c r="G788" s="242" t="s">
        <v>54</v>
      </c>
      <c r="H788" s="242" t="s">
        <v>1117</v>
      </c>
      <c r="I788" s="266">
        <v>644.0</v>
      </c>
      <c r="J788" s="242" t="s">
        <v>102</v>
      </c>
      <c r="K788" s="244"/>
      <c r="L788" s="244"/>
      <c r="M788" s="242" t="s">
        <v>71</v>
      </c>
      <c r="N788" s="242" t="s">
        <v>96</v>
      </c>
      <c r="O788" s="242" t="s">
        <v>2611</v>
      </c>
      <c r="P788" s="246" t="s">
        <v>2612</v>
      </c>
      <c r="Q788" s="242" t="s">
        <v>1438</v>
      </c>
      <c r="R788" s="242" t="s">
        <v>1598</v>
      </c>
      <c r="S788" s="242" t="s">
        <v>1557</v>
      </c>
      <c r="T788" s="242" t="s">
        <v>2613</v>
      </c>
      <c r="U788" s="244"/>
      <c r="V788" s="244"/>
      <c r="W788" s="244"/>
      <c r="X788" s="242">
        <v>28.0</v>
      </c>
      <c r="Y788" s="244"/>
      <c r="Z788" s="244"/>
      <c r="AA788" s="244"/>
      <c r="AB788" s="244"/>
      <c r="AC788" s="244"/>
      <c r="AD788" s="244"/>
      <c r="AE788" s="244"/>
      <c r="AF788" s="244"/>
      <c r="AG788" s="244"/>
      <c r="AH788" s="244"/>
      <c r="AI788" s="244"/>
      <c r="AJ788" s="244"/>
      <c r="AK788" s="242" t="s">
        <v>2591</v>
      </c>
      <c r="AL788" s="244"/>
      <c r="AM788" s="244"/>
      <c r="AN788" s="244"/>
      <c r="AO788" s="244"/>
      <c r="AP788" s="244"/>
    </row>
    <row r="789">
      <c r="A789" s="242" t="s">
        <v>36</v>
      </c>
      <c r="B789" s="243">
        <v>45847.64916068287</v>
      </c>
      <c r="C789" s="242" t="s">
        <v>1041</v>
      </c>
      <c r="D789" s="242" t="s">
        <v>51</v>
      </c>
      <c r="E789" s="242" t="s">
        <v>52</v>
      </c>
      <c r="F789" s="242" t="s">
        <v>65</v>
      </c>
      <c r="G789" s="242" t="s">
        <v>54</v>
      </c>
      <c r="H789" s="242" t="s">
        <v>625</v>
      </c>
      <c r="I789" s="242" t="s">
        <v>2614</v>
      </c>
      <c r="J789" s="242" t="s">
        <v>189</v>
      </c>
      <c r="K789" s="244"/>
      <c r="L789" s="247" t="s">
        <v>2615</v>
      </c>
      <c r="M789" s="242" t="s">
        <v>71</v>
      </c>
      <c r="N789" s="242" t="s">
        <v>96</v>
      </c>
      <c r="O789" s="242" t="s">
        <v>2171</v>
      </c>
      <c r="P789" s="242" t="s">
        <v>2616</v>
      </c>
      <c r="Q789" s="242" t="s">
        <v>1471</v>
      </c>
      <c r="R789" s="242" t="s">
        <v>1552</v>
      </c>
      <c r="S789" s="242" t="s">
        <v>71</v>
      </c>
      <c r="T789" s="242" t="s">
        <v>2617</v>
      </c>
      <c r="U789" s="244"/>
      <c r="V789" s="244"/>
      <c r="W789" s="244"/>
      <c r="X789" s="244"/>
      <c r="Y789" s="244"/>
      <c r="Z789" s="244"/>
      <c r="AA789" s="244"/>
      <c r="AB789" s="244"/>
      <c r="AC789" s="244"/>
      <c r="AD789" s="244"/>
      <c r="AE789" s="244"/>
      <c r="AF789" s="244"/>
      <c r="AG789" s="244"/>
      <c r="AH789" s="244"/>
      <c r="AI789" s="244"/>
      <c r="AJ789" s="244"/>
      <c r="AK789" s="242" t="s">
        <v>2591</v>
      </c>
      <c r="AL789" s="244"/>
      <c r="AM789" s="244"/>
      <c r="AN789" s="244"/>
      <c r="AO789" s="244"/>
      <c r="AP789" s="244"/>
    </row>
    <row r="790">
      <c r="A790" s="242" t="s">
        <v>36</v>
      </c>
      <c r="B790" s="243">
        <v>45848.38853575231</v>
      </c>
      <c r="C790" s="242" t="s">
        <v>2239</v>
      </c>
      <c r="D790" s="242" t="s">
        <v>105</v>
      </c>
      <c r="E790" s="242" t="s">
        <v>52</v>
      </c>
      <c r="F790" s="242" t="s">
        <v>65</v>
      </c>
      <c r="G790" s="242" t="s">
        <v>54</v>
      </c>
      <c r="H790" s="242" t="s">
        <v>625</v>
      </c>
      <c r="I790" s="242" t="s">
        <v>2618</v>
      </c>
      <c r="J790" s="242" t="s">
        <v>514</v>
      </c>
      <c r="K790" s="285" t="s">
        <v>2619</v>
      </c>
      <c r="L790" s="242" t="s">
        <v>2620</v>
      </c>
      <c r="M790" s="242" t="s">
        <v>71</v>
      </c>
      <c r="N790" s="242" t="s">
        <v>68</v>
      </c>
      <c r="O790" s="242" t="s">
        <v>2242</v>
      </c>
      <c r="P790" s="286">
        <v>45890.0</v>
      </c>
      <c r="Q790" s="242" t="s">
        <v>1438</v>
      </c>
      <c r="R790" s="242" t="s">
        <v>1552</v>
      </c>
      <c r="S790" s="242" t="s">
        <v>71</v>
      </c>
      <c r="T790" s="244"/>
      <c r="U790" s="244"/>
      <c r="V790" s="244"/>
      <c r="W790" s="244"/>
      <c r="X790" s="244"/>
      <c r="Y790" s="244"/>
      <c r="Z790" s="244"/>
      <c r="AA790" s="244"/>
      <c r="AB790" s="244"/>
      <c r="AC790" s="244"/>
      <c r="AD790" s="244"/>
      <c r="AE790" s="244"/>
      <c r="AF790" s="244"/>
      <c r="AG790" s="244"/>
      <c r="AH790" s="244"/>
      <c r="AI790" s="244"/>
      <c r="AJ790" s="244"/>
      <c r="AK790" s="242" t="s">
        <v>2621</v>
      </c>
      <c r="AL790" s="244"/>
      <c r="AM790" s="244"/>
      <c r="AN790" s="244"/>
      <c r="AO790" s="244"/>
      <c r="AP790" s="244"/>
    </row>
    <row r="791">
      <c r="A791" s="242" t="s">
        <v>36</v>
      </c>
      <c r="B791" s="243">
        <v>45848.96319563658</v>
      </c>
      <c r="C791" s="242" t="s">
        <v>153</v>
      </c>
      <c r="D791" s="242" t="s">
        <v>142</v>
      </c>
      <c r="E791" s="242" t="s">
        <v>52</v>
      </c>
      <c r="F791" s="242" t="s">
        <v>65</v>
      </c>
      <c r="G791" s="242" t="s">
        <v>131</v>
      </c>
      <c r="H791" s="242" t="s">
        <v>625</v>
      </c>
      <c r="I791" s="266">
        <v>219.0</v>
      </c>
      <c r="J791" s="242" t="s">
        <v>100</v>
      </c>
      <c r="K791" s="244"/>
      <c r="L791" s="247" t="s">
        <v>2622</v>
      </c>
      <c r="M791" s="242" t="s">
        <v>71</v>
      </c>
      <c r="N791" s="242" t="s">
        <v>96</v>
      </c>
      <c r="O791" s="242" t="s">
        <v>2623</v>
      </c>
      <c r="P791" s="242" t="s">
        <v>736</v>
      </c>
      <c r="Q791" s="242" t="s">
        <v>1438</v>
      </c>
      <c r="R791" s="242" t="s">
        <v>1552</v>
      </c>
      <c r="S791" s="242" t="s">
        <v>71</v>
      </c>
      <c r="T791" s="244"/>
      <c r="U791" s="244"/>
      <c r="V791" s="244"/>
      <c r="W791" s="244"/>
      <c r="X791" s="244"/>
      <c r="Y791" s="244"/>
      <c r="Z791" s="244"/>
      <c r="AA791" s="244"/>
      <c r="AB791" s="244"/>
      <c r="AC791" s="244"/>
      <c r="AD791" s="244"/>
      <c r="AE791" s="244"/>
      <c r="AF791" s="244"/>
      <c r="AG791" s="244"/>
      <c r="AH791" s="244"/>
      <c r="AI791" s="244"/>
      <c r="AJ791" s="244"/>
      <c r="AK791" s="242" t="s">
        <v>2624</v>
      </c>
      <c r="AL791" s="244"/>
      <c r="AM791" s="244"/>
      <c r="AN791" s="244"/>
      <c r="AO791" s="244"/>
      <c r="AP791" s="244"/>
    </row>
    <row r="792">
      <c r="A792" s="272" t="s">
        <v>177</v>
      </c>
      <c r="B792" s="273">
        <v>45852.44695957176</v>
      </c>
      <c r="C792" s="272" t="s">
        <v>171</v>
      </c>
      <c r="D792" s="272" t="s">
        <v>38</v>
      </c>
      <c r="E792" s="272" t="s">
        <v>40</v>
      </c>
      <c r="F792" s="272" t="s">
        <v>40</v>
      </c>
      <c r="G792" s="272" t="s">
        <v>41</v>
      </c>
      <c r="H792" s="272" t="s">
        <v>833</v>
      </c>
      <c r="I792" s="272" t="s">
        <v>2625</v>
      </c>
      <c r="J792" s="272" t="s">
        <v>100</v>
      </c>
      <c r="K792" s="274"/>
      <c r="L792" s="272" t="s">
        <v>2626</v>
      </c>
      <c r="M792" s="272" t="s">
        <v>71</v>
      </c>
      <c r="N792" s="272" t="s">
        <v>96</v>
      </c>
      <c r="O792" s="272" t="s">
        <v>894</v>
      </c>
      <c r="P792" s="287" t="s">
        <v>2627</v>
      </c>
      <c r="Q792" s="272" t="s">
        <v>1438</v>
      </c>
      <c r="R792" s="272" t="s">
        <v>1552</v>
      </c>
      <c r="S792" s="272" t="s">
        <v>71</v>
      </c>
      <c r="T792" s="274"/>
      <c r="U792" s="274"/>
      <c r="V792" s="274"/>
      <c r="W792" s="274"/>
      <c r="X792" s="274"/>
      <c r="Y792" s="274"/>
      <c r="Z792" s="274"/>
      <c r="AA792" s="274"/>
      <c r="AB792" s="274"/>
      <c r="AC792" s="274"/>
      <c r="AD792" s="274"/>
      <c r="AE792" s="274"/>
      <c r="AF792" s="274"/>
      <c r="AG792" s="274"/>
      <c r="AH792" s="274"/>
      <c r="AI792" s="274"/>
      <c r="AJ792" s="274"/>
      <c r="AK792" s="272" t="s">
        <v>2628</v>
      </c>
      <c r="AL792" s="274"/>
      <c r="AM792" s="274"/>
      <c r="AN792" s="274"/>
      <c r="AO792" s="274"/>
      <c r="AP792" s="274"/>
    </row>
    <row r="793">
      <c r="A793" s="242" t="s">
        <v>36</v>
      </c>
      <c r="B793" s="243">
        <v>45853.683860439814</v>
      </c>
      <c r="C793" s="242" t="s">
        <v>416</v>
      </c>
      <c r="D793" s="242" t="s">
        <v>260</v>
      </c>
      <c r="E793" s="242" t="s">
        <v>138</v>
      </c>
      <c r="F793" s="242" t="s">
        <v>65</v>
      </c>
      <c r="G793" s="242" t="s">
        <v>54</v>
      </c>
      <c r="H793" s="242" t="s">
        <v>625</v>
      </c>
      <c r="I793" s="266">
        <v>3000.0</v>
      </c>
      <c r="J793" s="242" t="s">
        <v>418</v>
      </c>
      <c r="K793" s="244"/>
      <c r="L793" s="242" t="s">
        <v>2629</v>
      </c>
      <c r="M793" s="242" t="s">
        <v>71</v>
      </c>
      <c r="N793" s="242" t="s">
        <v>68</v>
      </c>
      <c r="O793" s="242" t="s">
        <v>1053</v>
      </c>
      <c r="P793" s="242" t="s">
        <v>2630</v>
      </c>
      <c r="Q793" s="242" t="s">
        <v>1471</v>
      </c>
      <c r="R793" s="242" t="s">
        <v>1552</v>
      </c>
      <c r="S793" s="242" t="s">
        <v>71</v>
      </c>
      <c r="T793" s="242" t="s">
        <v>2631</v>
      </c>
      <c r="U793" s="244"/>
      <c r="V793" s="244"/>
      <c r="W793" s="244"/>
      <c r="X793" s="244"/>
      <c r="Y793" s="244"/>
      <c r="Z793" s="244"/>
      <c r="AA793" s="244"/>
      <c r="AB793" s="244"/>
      <c r="AC793" s="244"/>
      <c r="AD793" s="244"/>
      <c r="AE793" s="244"/>
      <c r="AF793" s="244"/>
      <c r="AG793" s="244"/>
      <c r="AH793" s="244"/>
      <c r="AI793" s="244"/>
      <c r="AJ793" s="244"/>
      <c r="AK793" s="242" t="s">
        <v>2632</v>
      </c>
      <c r="AL793" s="244"/>
      <c r="AM793" s="244"/>
      <c r="AN793" s="244"/>
      <c r="AO793" s="244"/>
      <c r="AP793" s="244"/>
    </row>
    <row r="794">
      <c r="A794" s="242" t="s">
        <v>36</v>
      </c>
      <c r="B794" s="243">
        <v>45853.6854927199</v>
      </c>
      <c r="C794" s="242" t="s">
        <v>416</v>
      </c>
      <c r="D794" s="242" t="s">
        <v>109</v>
      </c>
      <c r="E794" s="242" t="s">
        <v>138</v>
      </c>
      <c r="F794" s="242" t="s">
        <v>65</v>
      </c>
      <c r="G794" s="242" t="s">
        <v>54</v>
      </c>
      <c r="H794" s="242" t="s">
        <v>625</v>
      </c>
      <c r="I794" s="266">
        <v>3000.0</v>
      </c>
      <c r="J794" s="242" t="s">
        <v>418</v>
      </c>
      <c r="K794" s="244"/>
      <c r="L794" s="242" t="s">
        <v>2629</v>
      </c>
      <c r="M794" s="242" t="s">
        <v>71</v>
      </c>
      <c r="N794" s="242" t="s">
        <v>96</v>
      </c>
      <c r="O794" s="242" t="s">
        <v>2461</v>
      </c>
      <c r="P794" s="242" t="s">
        <v>2630</v>
      </c>
      <c r="Q794" s="242" t="s">
        <v>1471</v>
      </c>
      <c r="R794" s="242" t="s">
        <v>1552</v>
      </c>
      <c r="S794" s="242" t="s">
        <v>71</v>
      </c>
      <c r="T794" s="242" t="s">
        <v>2631</v>
      </c>
      <c r="U794" s="244"/>
      <c r="V794" s="244"/>
      <c r="W794" s="244"/>
      <c r="X794" s="244"/>
      <c r="Y794" s="244"/>
      <c r="Z794" s="244"/>
      <c r="AA794" s="244"/>
      <c r="AB794" s="244"/>
      <c r="AC794" s="244"/>
      <c r="AD794" s="244"/>
      <c r="AE794" s="244"/>
      <c r="AF794" s="244"/>
      <c r="AG794" s="244"/>
      <c r="AH794" s="244"/>
      <c r="AI794" s="244"/>
      <c r="AJ794" s="244"/>
      <c r="AK794" s="242" t="s">
        <v>2624</v>
      </c>
      <c r="AL794" s="244"/>
      <c r="AM794" s="244"/>
      <c r="AN794" s="244"/>
      <c r="AO794" s="244"/>
      <c r="AP794" s="244"/>
    </row>
    <row r="795">
      <c r="A795" s="242" t="s">
        <v>36</v>
      </c>
      <c r="B795" s="243">
        <v>45853.68669012732</v>
      </c>
      <c r="C795" s="242" t="s">
        <v>416</v>
      </c>
      <c r="D795" s="242" t="s">
        <v>109</v>
      </c>
      <c r="E795" s="242" t="s">
        <v>138</v>
      </c>
      <c r="F795" s="242" t="s">
        <v>65</v>
      </c>
      <c r="G795" s="242" t="s">
        <v>54</v>
      </c>
      <c r="H795" s="242" t="s">
        <v>625</v>
      </c>
      <c r="I795" s="266">
        <v>3000.0</v>
      </c>
      <c r="J795" s="242" t="s">
        <v>418</v>
      </c>
      <c r="K795" s="244"/>
      <c r="L795" s="242" t="s">
        <v>2629</v>
      </c>
      <c r="M795" s="242" t="s">
        <v>71</v>
      </c>
      <c r="N795" s="242" t="s">
        <v>96</v>
      </c>
      <c r="O795" s="242" t="s">
        <v>2633</v>
      </c>
      <c r="P795" s="242" t="s">
        <v>2634</v>
      </c>
      <c r="Q795" s="242" t="s">
        <v>1471</v>
      </c>
      <c r="R795" s="242" t="s">
        <v>1552</v>
      </c>
      <c r="S795" s="242" t="s">
        <v>71</v>
      </c>
      <c r="T795" s="242" t="s">
        <v>2631</v>
      </c>
      <c r="U795" s="244"/>
      <c r="V795" s="244"/>
      <c r="W795" s="244"/>
      <c r="X795" s="244"/>
      <c r="Y795" s="244"/>
      <c r="Z795" s="244"/>
      <c r="AA795" s="244"/>
      <c r="AB795" s="244"/>
      <c r="AC795" s="244"/>
      <c r="AD795" s="244"/>
      <c r="AE795" s="244"/>
      <c r="AF795" s="244"/>
      <c r="AG795" s="244"/>
      <c r="AH795" s="244"/>
      <c r="AI795" s="244"/>
      <c r="AJ795" s="244"/>
      <c r="AK795" s="242" t="s">
        <v>2624</v>
      </c>
      <c r="AL795" s="244"/>
      <c r="AM795" s="244"/>
      <c r="AN795" s="244"/>
      <c r="AO795" s="244"/>
      <c r="AP795" s="244"/>
    </row>
    <row r="796">
      <c r="A796" s="242" t="s">
        <v>36</v>
      </c>
      <c r="B796" s="243">
        <v>45853.687733935185</v>
      </c>
      <c r="C796" s="242" t="s">
        <v>416</v>
      </c>
      <c r="D796" s="242" t="s">
        <v>142</v>
      </c>
      <c r="E796" s="242" t="s">
        <v>138</v>
      </c>
      <c r="F796" s="242" t="s">
        <v>65</v>
      </c>
      <c r="G796" s="242" t="s">
        <v>54</v>
      </c>
      <c r="H796" s="242" t="s">
        <v>625</v>
      </c>
      <c r="I796" s="266">
        <v>3000.0</v>
      </c>
      <c r="J796" s="242" t="s">
        <v>418</v>
      </c>
      <c r="K796" s="244"/>
      <c r="L796" s="242" t="s">
        <v>2629</v>
      </c>
      <c r="M796" s="242" t="s">
        <v>71</v>
      </c>
      <c r="N796" s="242" t="s">
        <v>96</v>
      </c>
      <c r="O796" s="242" t="s">
        <v>1065</v>
      </c>
      <c r="P796" s="242" t="s">
        <v>2634</v>
      </c>
      <c r="Q796" s="242" t="s">
        <v>1471</v>
      </c>
      <c r="R796" s="242" t="s">
        <v>1552</v>
      </c>
      <c r="S796" s="242" t="s">
        <v>71</v>
      </c>
      <c r="T796" s="242" t="s">
        <v>2635</v>
      </c>
      <c r="U796" s="244"/>
      <c r="V796" s="244"/>
      <c r="W796" s="244"/>
      <c r="X796" s="244"/>
      <c r="Y796" s="244"/>
      <c r="Z796" s="244"/>
      <c r="AA796" s="244"/>
      <c r="AB796" s="244"/>
      <c r="AC796" s="244"/>
      <c r="AD796" s="244"/>
      <c r="AE796" s="244"/>
      <c r="AF796" s="244"/>
      <c r="AG796" s="244"/>
      <c r="AH796" s="244"/>
      <c r="AI796" s="244"/>
      <c r="AJ796" s="244"/>
      <c r="AK796" s="242" t="s">
        <v>2624</v>
      </c>
      <c r="AL796" s="244"/>
      <c r="AM796" s="244"/>
      <c r="AN796" s="244"/>
      <c r="AO796" s="244"/>
      <c r="AP796" s="244"/>
    </row>
    <row r="797" ht="15.0" customHeight="1">
      <c r="A797" s="242" t="s">
        <v>36</v>
      </c>
      <c r="B797" s="243">
        <v>45855.46028478009</v>
      </c>
      <c r="C797" s="242" t="s">
        <v>715</v>
      </c>
      <c r="D797" s="242" t="s">
        <v>51</v>
      </c>
      <c r="E797" s="242" t="s">
        <v>52</v>
      </c>
      <c r="F797" s="242" t="s">
        <v>40</v>
      </c>
      <c r="G797" s="242" t="s">
        <v>41</v>
      </c>
      <c r="H797" s="242" t="s">
        <v>625</v>
      </c>
      <c r="I797" s="242">
        <v>105.0</v>
      </c>
      <c r="J797" s="242" t="s">
        <v>229</v>
      </c>
      <c r="K797" s="247" t="s">
        <v>2636</v>
      </c>
      <c r="L797" s="242" t="s">
        <v>2637</v>
      </c>
      <c r="M797" s="242" t="s">
        <v>71</v>
      </c>
      <c r="N797" s="242" t="s">
        <v>96</v>
      </c>
      <c r="O797" s="242" t="s">
        <v>2037</v>
      </c>
      <c r="P797" s="246" t="s">
        <v>2638</v>
      </c>
      <c r="Q797" s="242" t="s">
        <v>1438</v>
      </c>
      <c r="R797" s="242" t="s">
        <v>1552</v>
      </c>
      <c r="S797" s="242" t="s">
        <v>71</v>
      </c>
      <c r="T797" s="244"/>
      <c r="U797" s="244"/>
      <c r="V797" s="244"/>
      <c r="W797" s="244"/>
      <c r="X797" s="244"/>
      <c r="Y797" s="244"/>
      <c r="Z797" s="244"/>
      <c r="AA797" s="244"/>
      <c r="AB797" s="244"/>
      <c r="AC797" s="244"/>
      <c r="AD797" s="244"/>
      <c r="AE797" s="244"/>
      <c r="AF797" s="244"/>
      <c r="AG797" s="244"/>
      <c r="AH797" s="244"/>
      <c r="AI797" s="244"/>
      <c r="AJ797" s="244"/>
      <c r="AK797" s="242" t="s">
        <v>2639</v>
      </c>
      <c r="AL797" s="244"/>
      <c r="AM797" s="244"/>
      <c r="AN797" s="244"/>
      <c r="AO797" s="244"/>
      <c r="AP797" s="244"/>
    </row>
    <row r="798">
      <c r="A798" s="242" t="s">
        <v>36</v>
      </c>
      <c r="B798" s="243">
        <v>45855.56247818287</v>
      </c>
      <c r="C798" s="242" t="s">
        <v>2524</v>
      </c>
      <c r="D798" s="242" t="s">
        <v>38</v>
      </c>
      <c r="E798" s="242" t="s">
        <v>40</v>
      </c>
      <c r="F798" s="242" t="s">
        <v>40</v>
      </c>
      <c r="G798" s="242" t="s">
        <v>41</v>
      </c>
      <c r="H798" s="242" t="s">
        <v>992</v>
      </c>
      <c r="I798" s="264">
        <v>59.99</v>
      </c>
      <c r="J798" s="242" t="s">
        <v>184</v>
      </c>
      <c r="K798" s="247" t="s">
        <v>2640</v>
      </c>
      <c r="L798" s="242" t="s">
        <v>2023</v>
      </c>
      <c r="M798" s="242" t="s">
        <v>71</v>
      </c>
      <c r="N798" s="242" t="s">
        <v>96</v>
      </c>
      <c r="O798" s="242" t="s">
        <v>2527</v>
      </c>
      <c r="P798" s="242" t="s">
        <v>2641</v>
      </c>
      <c r="Q798" s="242" t="s">
        <v>1438</v>
      </c>
      <c r="R798" s="242" t="s">
        <v>1552</v>
      </c>
      <c r="S798" s="242" t="s">
        <v>71</v>
      </c>
      <c r="T798" s="242" t="s">
        <v>2023</v>
      </c>
      <c r="U798" s="244"/>
      <c r="V798" s="244"/>
      <c r="W798" s="244"/>
      <c r="X798" s="242" t="s">
        <v>2642</v>
      </c>
      <c r="Y798" s="244"/>
      <c r="Z798" s="244"/>
      <c r="AA798" s="244"/>
      <c r="AB798" s="244"/>
      <c r="AC798" s="244"/>
      <c r="AD798" s="244"/>
      <c r="AE798" s="244"/>
      <c r="AF798" s="244"/>
      <c r="AG798" s="244"/>
      <c r="AH798" s="244"/>
      <c r="AI798" s="244"/>
      <c r="AJ798" s="244"/>
      <c r="AK798" s="242" t="s">
        <v>2643</v>
      </c>
      <c r="AL798" s="244"/>
      <c r="AM798" s="244"/>
      <c r="AN798" s="244"/>
      <c r="AO798" s="244"/>
      <c r="AP798" s="244"/>
    </row>
    <row r="799" ht="13.5" customHeight="1">
      <c r="A799" s="242" t="s">
        <v>36</v>
      </c>
      <c r="B799" s="243">
        <v>45856.6534878588</v>
      </c>
      <c r="C799" s="242" t="s">
        <v>314</v>
      </c>
      <c r="D799" s="242" t="s">
        <v>315</v>
      </c>
      <c r="E799" s="242" t="s">
        <v>149</v>
      </c>
      <c r="F799" s="242" t="s">
        <v>80</v>
      </c>
      <c r="G799" s="242" t="s">
        <v>131</v>
      </c>
      <c r="H799" s="242" t="s">
        <v>625</v>
      </c>
      <c r="I799" s="242" t="s">
        <v>2644</v>
      </c>
      <c r="J799" s="242" t="s">
        <v>118</v>
      </c>
      <c r="K799" s="247" t="s">
        <v>2645</v>
      </c>
      <c r="L799" s="242" t="s">
        <v>2646</v>
      </c>
      <c r="M799" s="242" t="s">
        <v>71</v>
      </c>
      <c r="N799" s="242" t="s">
        <v>68</v>
      </c>
      <c r="O799" s="242" t="s">
        <v>1561</v>
      </c>
      <c r="P799" s="242" t="s">
        <v>2647</v>
      </c>
      <c r="Q799" s="242" t="s">
        <v>1471</v>
      </c>
      <c r="R799" s="242" t="s">
        <v>1552</v>
      </c>
      <c r="S799" s="242" t="s">
        <v>1621</v>
      </c>
      <c r="T799" s="242" t="s">
        <v>2648</v>
      </c>
      <c r="U799" s="244"/>
      <c r="V799" s="244"/>
      <c r="W799" s="244"/>
      <c r="X799" s="244"/>
      <c r="Y799" s="244"/>
      <c r="Z799" s="244"/>
      <c r="AA799" s="244"/>
      <c r="AB799" s="244"/>
      <c r="AC799" s="244"/>
      <c r="AD799" s="244"/>
      <c r="AE799" s="244"/>
      <c r="AF799" s="244"/>
      <c r="AG799" s="244"/>
      <c r="AH799" s="244"/>
      <c r="AI799" s="244"/>
      <c r="AJ799" s="244"/>
      <c r="AK799" s="242" t="s">
        <v>2649</v>
      </c>
      <c r="AL799" s="244"/>
      <c r="AM799" s="244"/>
      <c r="AN799" s="244"/>
      <c r="AO799" s="244"/>
      <c r="AP799" s="244"/>
    </row>
    <row r="800">
      <c r="A800" s="242" t="s">
        <v>36</v>
      </c>
      <c r="B800" s="243">
        <v>45857.78246782407</v>
      </c>
      <c r="C800" s="242" t="s">
        <v>2650</v>
      </c>
      <c r="D800" s="242" t="s">
        <v>51</v>
      </c>
      <c r="E800" s="242" t="s">
        <v>52</v>
      </c>
      <c r="F800" s="242" t="s">
        <v>80</v>
      </c>
      <c r="G800" s="242" t="s">
        <v>54</v>
      </c>
      <c r="H800" s="242" t="s">
        <v>607</v>
      </c>
      <c r="I800" s="266">
        <v>165.0</v>
      </c>
      <c r="J800" s="242" t="s">
        <v>100</v>
      </c>
      <c r="K800" s="244"/>
      <c r="L800" s="242" t="s">
        <v>2651</v>
      </c>
      <c r="M800" s="242" t="s">
        <v>71</v>
      </c>
      <c r="N800" s="242" t="s">
        <v>96</v>
      </c>
      <c r="O800" s="242" t="s">
        <v>2652</v>
      </c>
      <c r="P800" s="246" t="s">
        <v>2653</v>
      </c>
      <c r="Q800" s="242" t="s">
        <v>1438</v>
      </c>
      <c r="R800" s="242" t="s">
        <v>1552</v>
      </c>
      <c r="S800" s="242" t="s">
        <v>1557</v>
      </c>
      <c r="T800" s="244"/>
      <c r="U800" s="244"/>
      <c r="V800" s="244"/>
      <c r="W800" s="244"/>
      <c r="X800" s="244"/>
      <c r="Y800" s="244"/>
      <c r="Z800" s="244"/>
      <c r="AA800" s="244"/>
      <c r="AB800" s="244"/>
      <c r="AC800" s="244"/>
      <c r="AD800" s="244"/>
      <c r="AE800" s="244"/>
      <c r="AF800" s="244"/>
      <c r="AG800" s="244"/>
      <c r="AH800" s="244"/>
      <c r="AI800" s="244"/>
      <c r="AJ800" s="244"/>
      <c r="AK800" s="242" t="s">
        <v>2643</v>
      </c>
      <c r="AL800" s="244"/>
      <c r="AM800" s="244"/>
      <c r="AN800" s="244"/>
      <c r="AO800" s="244"/>
      <c r="AP800" s="244"/>
    </row>
    <row r="801">
      <c r="A801" s="242" t="s">
        <v>36</v>
      </c>
      <c r="B801" s="243">
        <v>45860.46202821759</v>
      </c>
      <c r="C801" s="242" t="s">
        <v>697</v>
      </c>
      <c r="D801" s="242" t="s">
        <v>832</v>
      </c>
      <c r="E801" s="242" t="s">
        <v>138</v>
      </c>
      <c r="F801" s="242" t="s">
        <v>65</v>
      </c>
      <c r="G801" s="242" t="s">
        <v>54</v>
      </c>
      <c r="H801" s="242" t="s">
        <v>607</v>
      </c>
      <c r="I801" s="264">
        <v>66.0</v>
      </c>
      <c r="J801" s="242" t="s">
        <v>418</v>
      </c>
      <c r="K801" s="244"/>
      <c r="L801" s="247" t="s">
        <v>2654</v>
      </c>
      <c r="M801" s="242" t="s">
        <v>71</v>
      </c>
      <c r="N801" s="242" t="s">
        <v>96</v>
      </c>
      <c r="O801" s="242" t="s">
        <v>1065</v>
      </c>
      <c r="P801" s="246" t="s">
        <v>2655</v>
      </c>
      <c r="Q801" s="242" t="s">
        <v>1438</v>
      </c>
      <c r="R801" s="242" t="s">
        <v>1552</v>
      </c>
      <c r="S801" s="242" t="s">
        <v>1557</v>
      </c>
      <c r="T801" s="244"/>
      <c r="U801" s="244"/>
      <c r="V801" s="242" t="s">
        <v>2656</v>
      </c>
      <c r="W801" s="244"/>
      <c r="X801" s="244"/>
      <c r="Y801" s="244"/>
      <c r="Z801" s="244"/>
      <c r="AA801" s="244"/>
      <c r="AB801" s="244"/>
      <c r="AC801" s="244"/>
      <c r="AD801" s="244"/>
      <c r="AE801" s="244"/>
      <c r="AF801" s="244"/>
      <c r="AG801" s="244"/>
      <c r="AH801" s="244"/>
      <c r="AI801" s="244"/>
      <c r="AJ801" s="244"/>
      <c r="AK801" s="242" t="s">
        <v>2657</v>
      </c>
      <c r="AL801" s="244"/>
      <c r="AM801" s="244"/>
      <c r="AN801" s="244"/>
      <c r="AO801" s="244"/>
      <c r="AP801" s="244"/>
    </row>
    <row r="802">
      <c r="A802" s="242" t="s">
        <v>36</v>
      </c>
      <c r="B802" s="243">
        <v>45860.659486261575</v>
      </c>
      <c r="C802" s="242" t="s">
        <v>2266</v>
      </c>
      <c r="D802" s="242" t="s">
        <v>38</v>
      </c>
      <c r="E802" s="242" t="s">
        <v>40</v>
      </c>
      <c r="F802" s="242" t="s">
        <v>40</v>
      </c>
      <c r="G802" s="242" t="s">
        <v>41</v>
      </c>
      <c r="H802" s="242" t="s">
        <v>607</v>
      </c>
      <c r="I802" s="266">
        <v>286.0</v>
      </c>
      <c r="J802" s="242" t="s">
        <v>100</v>
      </c>
      <c r="K802" s="244"/>
      <c r="L802" s="242" t="s">
        <v>2658</v>
      </c>
      <c r="M802" s="242" t="s">
        <v>71</v>
      </c>
      <c r="N802" s="242" t="s">
        <v>96</v>
      </c>
      <c r="O802" s="242" t="s">
        <v>2659</v>
      </c>
      <c r="P802" s="242" t="s">
        <v>2660</v>
      </c>
      <c r="Q802" s="242" t="s">
        <v>1438</v>
      </c>
      <c r="R802" s="242" t="s">
        <v>1552</v>
      </c>
      <c r="S802" s="242" t="s">
        <v>1557</v>
      </c>
      <c r="T802" s="244"/>
      <c r="U802" s="244"/>
      <c r="V802" s="244"/>
      <c r="W802" s="244"/>
      <c r="X802" s="244"/>
      <c r="Y802" s="244"/>
      <c r="Z802" s="244"/>
      <c r="AA802" s="244"/>
      <c r="AB802" s="244"/>
      <c r="AC802" s="244"/>
      <c r="AD802" s="244"/>
      <c r="AE802" s="244"/>
      <c r="AF802" s="244"/>
      <c r="AG802" s="244"/>
      <c r="AH802" s="244"/>
      <c r="AI802" s="244"/>
      <c r="AJ802" s="244"/>
      <c r="AK802" s="242" t="s">
        <v>2657</v>
      </c>
      <c r="AL802" s="244"/>
      <c r="AM802" s="244"/>
      <c r="AN802" s="244"/>
      <c r="AO802" s="244"/>
      <c r="AP802" s="244"/>
    </row>
    <row r="803">
      <c r="A803" s="242" t="s">
        <v>36</v>
      </c>
      <c r="B803" s="243">
        <v>45860.668477893516</v>
      </c>
      <c r="C803" s="242" t="s">
        <v>247</v>
      </c>
      <c r="D803" s="242" t="s">
        <v>109</v>
      </c>
      <c r="E803" s="242" t="s">
        <v>138</v>
      </c>
      <c r="F803" s="242" t="s">
        <v>80</v>
      </c>
      <c r="G803" s="242" t="s">
        <v>131</v>
      </c>
      <c r="H803" s="242" t="s">
        <v>625</v>
      </c>
      <c r="I803" s="242" t="s">
        <v>2661</v>
      </c>
      <c r="J803" s="242" t="s">
        <v>262</v>
      </c>
      <c r="K803" s="244"/>
      <c r="L803" s="247" t="s">
        <v>2662</v>
      </c>
      <c r="M803" s="242" t="s">
        <v>71</v>
      </c>
      <c r="N803" s="242" t="s">
        <v>96</v>
      </c>
      <c r="O803" s="242" t="s">
        <v>2663</v>
      </c>
      <c r="P803" s="242" t="s">
        <v>2664</v>
      </c>
      <c r="Q803" s="242" t="s">
        <v>1471</v>
      </c>
      <c r="R803" s="242" t="s">
        <v>1552</v>
      </c>
      <c r="S803" s="242" t="s">
        <v>71</v>
      </c>
      <c r="T803" s="244"/>
      <c r="U803" s="244"/>
      <c r="V803" s="244"/>
      <c r="W803" s="244"/>
      <c r="X803" s="242">
        <v>1.0</v>
      </c>
      <c r="Y803" s="244"/>
      <c r="Z803" s="244"/>
      <c r="AA803" s="244"/>
      <c r="AB803" s="244"/>
      <c r="AC803" s="244"/>
      <c r="AD803" s="244"/>
      <c r="AE803" s="244"/>
      <c r="AF803" s="244"/>
      <c r="AG803" s="244"/>
      <c r="AH803" s="244"/>
      <c r="AI803" s="244"/>
      <c r="AJ803" s="244"/>
      <c r="AK803" s="242" t="s">
        <v>2665</v>
      </c>
      <c r="AL803" s="244"/>
      <c r="AM803" s="244"/>
      <c r="AN803" s="244"/>
      <c r="AO803" s="244"/>
      <c r="AP803" s="244"/>
    </row>
    <row r="804">
      <c r="A804" s="242" t="s">
        <v>36</v>
      </c>
      <c r="B804" s="243">
        <v>45860.6890065162</v>
      </c>
      <c r="C804" s="242" t="s">
        <v>650</v>
      </c>
      <c r="D804" s="242" t="s">
        <v>202</v>
      </c>
      <c r="E804" s="242" t="s">
        <v>138</v>
      </c>
      <c r="F804" s="242" t="s">
        <v>65</v>
      </c>
      <c r="G804" s="242" t="s">
        <v>54</v>
      </c>
      <c r="H804" s="242" t="s">
        <v>625</v>
      </c>
      <c r="I804" s="242" t="s">
        <v>2666</v>
      </c>
      <c r="J804" s="242" t="s">
        <v>262</v>
      </c>
      <c r="K804" s="244"/>
      <c r="L804" s="247" t="s">
        <v>2667</v>
      </c>
      <c r="M804" s="242" t="s">
        <v>71</v>
      </c>
      <c r="N804" s="242" t="s">
        <v>96</v>
      </c>
      <c r="O804" s="242" t="s">
        <v>2668</v>
      </c>
      <c r="P804" s="242" t="s">
        <v>2669</v>
      </c>
      <c r="Q804" s="242" t="s">
        <v>1471</v>
      </c>
      <c r="R804" s="242" t="s">
        <v>1598</v>
      </c>
      <c r="S804" s="242" t="s">
        <v>1557</v>
      </c>
      <c r="T804" s="244"/>
      <c r="U804" s="244"/>
      <c r="V804" s="244"/>
      <c r="W804" s="244"/>
      <c r="X804" s="244"/>
      <c r="Y804" s="244"/>
      <c r="Z804" s="244"/>
      <c r="AA804" s="244"/>
      <c r="AB804" s="244"/>
      <c r="AC804" s="244"/>
      <c r="AD804" s="244"/>
      <c r="AE804" s="244"/>
      <c r="AF804" s="244"/>
      <c r="AG804" s="244"/>
      <c r="AH804" s="244"/>
      <c r="AI804" s="244"/>
      <c r="AJ804" s="244"/>
      <c r="AK804" s="242" t="s">
        <v>2665</v>
      </c>
      <c r="AL804" s="244"/>
      <c r="AM804" s="244"/>
      <c r="AN804" s="244"/>
      <c r="AO804" s="244"/>
      <c r="AP804" s="244"/>
    </row>
    <row r="805" ht="18.75" customHeight="1">
      <c r="A805" s="272" t="s">
        <v>1037</v>
      </c>
      <c r="B805" s="273">
        <v>45860.702230740746</v>
      </c>
      <c r="C805" s="272" t="s">
        <v>868</v>
      </c>
      <c r="D805" s="272" t="s">
        <v>51</v>
      </c>
      <c r="E805" s="272" t="s">
        <v>52</v>
      </c>
      <c r="F805" s="272" t="s">
        <v>80</v>
      </c>
      <c r="G805" s="272" t="s">
        <v>54</v>
      </c>
      <c r="H805" s="272" t="s">
        <v>992</v>
      </c>
      <c r="I805" s="272">
        <v>762.5</v>
      </c>
      <c r="J805" s="272" t="s">
        <v>538</v>
      </c>
      <c r="K805" s="288" t="s">
        <v>2670</v>
      </c>
      <c r="L805" s="289" t="s">
        <v>2671</v>
      </c>
      <c r="M805" s="272" t="s">
        <v>71</v>
      </c>
      <c r="N805" s="272" t="s">
        <v>96</v>
      </c>
      <c r="O805" s="272" t="s">
        <v>871</v>
      </c>
      <c r="P805" s="272" t="s">
        <v>2672</v>
      </c>
      <c r="Q805" s="272" t="s">
        <v>1438</v>
      </c>
      <c r="R805" s="272" t="s">
        <v>1552</v>
      </c>
      <c r="S805" s="272" t="s">
        <v>1557</v>
      </c>
      <c r="T805" s="272" t="s">
        <v>2673</v>
      </c>
      <c r="U805" s="274"/>
      <c r="V805" s="274"/>
      <c r="W805" s="274"/>
      <c r="X805" s="274"/>
      <c r="Y805" s="274"/>
      <c r="Z805" s="274"/>
      <c r="AA805" s="274"/>
      <c r="AB805" s="274"/>
      <c r="AC805" s="274"/>
      <c r="AD805" s="274"/>
      <c r="AE805" s="274"/>
      <c r="AF805" s="274"/>
      <c r="AG805" s="274"/>
      <c r="AH805" s="274"/>
      <c r="AI805" s="274"/>
      <c r="AJ805" s="274"/>
      <c r="AK805" s="272" t="s">
        <v>2674</v>
      </c>
      <c r="AL805" s="274"/>
      <c r="AM805" s="274"/>
      <c r="AN805" s="274"/>
      <c r="AO805" s="274"/>
      <c r="AP805" s="274"/>
    </row>
    <row r="806" ht="18.0" customHeight="1">
      <c r="A806" s="242" t="s">
        <v>36</v>
      </c>
      <c r="B806" s="243">
        <v>45862.517570324075</v>
      </c>
      <c r="C806" s="242" t="s">
        <v>760</v>
      </c>
      <c r="D806" s="242" t="s">
        <v>800</v>
      </c>
      <c r="E806" s="242" t="s">
        <v>800</v>
      </c>
      <c r="F806" s="242" t="s">
        <v>800</v>
      </c>
      <c r="G806" s="242" t="s">
        <v>800</v>
      </c>
      <c r="H806" s="242" t="s">
        <v>625</v>
      </c>
      <c r="I806" s="242" t="s">
        <v>2675</v>
      </c>
      <c r="J806" s="242" t="s">
        <v>1046</v>
      </c>
      <c r="K806" s="244"/>
      <c r="L806" s="247" t="s">
        <v>2676</v>
      </c>
      <c r="M806" s="242" t="s">
        <v>71</v>
      </c>
      <c r="N806" s="242" t="s">
        <v>96</v>
      </c>
      <c r="O806" s="242" t="s">
        <v>2308</v>
      </c>
      <c r="P806" s="242" t="s">
        <v>2677</v>
      </c>
      <c r="Q806" s="242" t="s">
        <v>1438</v>
      </c>
      <c r="R806" s="242" t="s">
        <v>1552</v>
      </c>
      <c r="S806" s="242" t="s">
        <v>1557</v>
      </c>
      <c r="T806" s="242" t="s">
        <v>2678</v>
      </c>
      <c r="U806" s="244"/>
      <c r="V806" s="244"/>
      <c r="W806" s="244"/>
      <c r="X806" s="242" t="s">
        <v>2679</v>
      </c>
      <c r="Y806" s="244"/>
      <c r="Z806" s="244"/>
      <c r="AA806" s="244"/>
      <c r="AB806" s="244"/>
      <c r="AC806" s="244"/>
      <c r="AD806" s="244"/>
      <c r="AE806" s="244"/>
      <c r="AF806" s="244"/>
      <c r="AG806" s="244"/>
      <c r="AH806" s="244"/>
      <c r="AI806" s="244"/>
      <c r="AJ806" s="244"/>
      <c r="AK806" s="242" t="s">
        <v>2680</v>
      </c>
      <c r="AL806" s="244"/>
      <c r="AM806" s="244"/>
      <c r="AN806" s="244"/>
      <c r="AO806" s="244"/>
      <c r="AP806" s="244"/>
    </row>
    <row r="807" ht="20.25" customHeight="1">
      <c r="A807" s="242" t="s">
        <v>36</v>
      </c>
      <c r="B807" s="243">
        <v>45862.52837443287</v>
      </c>
      <c r="C807" s="242" t="s">
        <v>174</v>
      </c>
      <c r="D807" s="242" t="s">
        <v>51</v>
      </c>
      <c r="E807" s="242" t="s">
        <v>52</v>
      </c>
      <c r="F807" s="242" t="s">
        <v>65</v>
      </c>
      <c r="G807" s="242" t="s">
        <v>54</v>
      </c>
      <c r="H807" s="242" t="s">
        <v>625</v>
      </c>
      <c r="I807" s="242" t="s">
        <v>2681</v>
      </c>
      <c r="J807" s="242" t="s">
        <v>100</v>
      </c>
      <c r="K807" s="244"/>
      <c r="L807" s="290" t="s">
        <v>2682</v>
      </c>
      <c r="M807" s="242" t="s">
        <v>71</v>
      </c>
      <c r="N807" s="242" t="s">
        <v>96</v>
      </c>
      <c r="O807" s="242" t="s">
        <v>2683</v>
      </c>
      <c r="P807" s="242" t="s">
        <v>2684</v>
      </c>
      <c r="Q807" s="242" t="s">
        <v>1471</v>
      </c>
      <c r="R807" s="242" t="s">
        <v>1552</v>
      </c>
      <c r="S807" s="242" t="s">
        <v>71</v>
      </c>
      <c r="T807" s="244"/>
      <c r="U807" s="244"/>
      <c r="V807" s="244"/>
      <c r="W807" s="244"/>
      <c r="X807" s="244"/>
      <c r="Y807" s="244"/>
      <c r="Z807" s="244"/>
      <c r="AA807" s="244"/>
      <c r="AB807" s="244"/>
      <c r="AC807" s="244"/>
      <c r="AD807" s="244"/>
      <c r="AE807" s="244"/>
      <c r="AF807" s="244"/>
      <c r="AG807" s="244"/>
      <c r="AH807" s="244"/>
      <c r="AI807" s="244"/>
      <c r="AJ807" s="244"/>
      <c r="AK807" s="242" t="s">
        <v>2685</v>
      </c>
      <c r="AL807" s="244"/>
      <c r="AM807" s="244"/>
      <c r="AN807" s="244"/>
      <c r="AO807" s="244"/>
      <c r="AP807" s="244"/>
    </row>
    <row r="808" ht="18.75" customHeight="1">
      <c r="A808" s="291" t="s">
        <v>1037</v>
      </c>
      <c r="B808" s="292">
        <v>45863.37826521991</v>
      </c>
      <c r="C808" s="291" t="s">
        <v>2686</v>
      </c>
      <c r="D808" s="291" t="s">
        <v>202</v>
      </c>
      <c r="E808" s="291" t="s">
        <v>52</v>
      </c>
      <c r="F808" s="291" t="s">
        <v>65</v>
      </c>
      <c r="G808" s="291" t="s">
        <v>41</v>
      </c>
      <c r="H808" s="291" t="s">
        <v>625</v>
      </c>
      <c r="I808" s="293">
        <v>2895.0</v>
      </c>
      <c r="J808" s="291" t="s">
        <v>262</v>
      </c>
      <c r="K808" s="294"/>
      <c r="L808" s="295" t="s">
        <v>2687</v>
      </c>
      <c r="M808" s="291" t="s">
        <v>71</v>
      </c>
      <c r="N808" s="291" t="s">
        <v>96</v>
      </c>
      <c r="O808" s="291" t="s">
        <v>2688</v>
      </c>
      <c r="P808" s="291" t="s">
        <v>2689</v>
      </c>
      <c r="Q808" s="291" t="s">
        <v>1471</v>
      </c>
      <c r="R808" s="291" t="s">
        <v>1552</v>
      </c>
      <c r="S808" s="291" t="s">
        <v>1557</v>
      </c>
      <c r="T808" s="291" t="s">
        <v>2690</v>
      </c>
      <c r="U808" s="294"/>
      <c r="V808" s="294"/>
      <c r="W808" s="294"/>
      <c r="X808" s="294"/>
      <c r="Y808" s="294"/>
      <c r="Z808" s="294"/>
      <c r="AA808" s="294"/>
      <c r="AB808" s="294"/>
      <c r="AC808" s="294"/>
      <c r="AD808" s="294"/>
      <c r="AE808" s="294"/>
      <c r="AF808" s="294"/>
      <c r="AG808" s="294"/>
      <c r="AH808" s="294"/>
      <c r="AI808" s="294"/>
      <c r="AJ808" s="294"/>
      <c r="AK808" s="291" t="s">
        <v>2691</v>
      </c>
      <c r="AL808" s="294"/>
      <c r="AM808" s="294"/>
      <c r="AN808" s="294"/>
      <c r="AO808" s="294"/>
      <c r="AP808" s="294"/>
    </row>
    <row r="809">
      <c r="A809" s="242" t="s">
        <v>36</v>
      </c>
      <c r="B809" s="243">
        <v>45866.66376354167</v>
      </c>
      <c r="C809" s="242" t="s">
        <v>785</v>
      </c>
      <c r="D809" s="242" t="s">
        <v>51</v>
      </c>
      <c r="E809" s="242" t="s">
        <v>52</v>
      </c>
      <c r="F809" s="242" t="s">
        <v>210</v>
      </c>
      <c r="G809" s="242" t="s">
        <v>131</v>
      </c>
      <c r="H809" s="242" t="s">
        <v>625</v>
      </c>
      <c r="I809" s="264">
        <v>129.99</v>
      </c>
      <c r="J809" s="242" t="s">
        <v>100</v>
      </c>
      <c r="K809" s="247" t="s">
        <v>2692</v>
      </c>
      <c r="L809" s="242" t="s">
        <v>2693</v>
      </c>
      <c r="M809" s="242" t="s">
        <v>71</v>
      </c>
      <c r="N809" s="242" t="s">
        <v>96</v>
      </c>
      <c r="O809" s="242" t="s">
        <v>788</v>
      </c>
      <c r="P809" s="242" t="s">
        <v>2694</v>
      </c>
      <c r="Q809" s="242" t="s">
        <v>1438</v>
      </c>
      <c r="R809" s="242" t="s">
        <v>1552</v>
      </c>
      <c r="S809" s="242" t="s">
        <v>71</v>
      </c>
      <c r="T809" s="244"/>
      <c r="U809" s="244"/>
      <c r="V809" s="244"/>
      <c r="W809" s="244"/>
      <c r="X809" s="244"/>
      <c r="Y809" s="244"/>
      <c r="Z809" s="244"/>
      <c r="AA809" s="244"/>
      <c r="AB809" s="244"/>
      <c r="AC809" s="244"/>
      <c r="AD809" s="244"/>
      <c r="AE809" s="244"/>
      <c r="AF809" s="244"/>
      <c r="AG809" s="244"/>
      <c r="AH809" s="244"/>
      <c r="AI809" s="244"/>
      <c r="AJ809" s="244"/>
      <c r="AK809" s="242" t="s">
        <v>2695</v>
      </c>
      <c r="AL809" s="244"/>
      <c r="AM809" s="244"/>
      <c r="AN809" s="244"/>
      <c r="AO809" s="244"/>
      <c r="AP809" s="244"/>
    </row>
    <row r="810">
      <c r="A810" s="242" t="s">
        <v>36</v>
      </c>
      <c r="B810" s="243">
        <v>45868.31391708333</v>
      </c>
      <c r="C810" s="242" t="s">
        <v>130</v>
      </c>
      <c r="D810" s="242" t="s">
        <v>51</v>
      </c>
      <c r="E810" s="242" t="s">
        <v>52</v>
      </c>
      <c r="F810" s="242" t="s">
        <v>53</v>
      </c>
      <c r="G810" s="242" t="s">
        <v>131</v>
      </c>
      <c r="H810" s="242" t="s">
        <v>833</v>
      </c>
      <c r="I810" s="266">
        <v>300.0</v>
      </c>
      <c r="J810" s="242" t="s">
        <v>100</v>
      </c>
      <c r="K810" s="244"/>
      <c r="L810" s="242" t="s">
        <v>2696</v>
      </c>
      <c r="M810" s="242" t="s">
        <v>71</v>
      </c>
      <c r="N810" s="242" t="s">
        <v>68</v>
      </c>
      <c r="O810" s="242" t="s">
        <v>1965</v>
      </c>
      <c r="P810" s="242" t="s">
        <v>2697</v>
      </c>
      <c r="Q810" s="242" t="s">
        <v>1438</v>
      </c>
      <c r="R810" s="242" t="s">
        <v>1552</v>
      </c>
      <c r="S810" s="242" t="s">
        <v>71</v>
      </c>
      <c r="T810" s="244"/>
      <c r="U810" s="244"/>
      <c r="V810" s="244"/>
      <c r="W810" s="244"/>
      <c r="X810" s="244"/>
      <c r="Y810" s="244"/>
      <c r="Z810" s="244"/>
      <c r="AA810" s="244"/>
      <c r="AB810" s="244"/>
      <c r="AC810" s="244"/>
      <c r="AD810" s="244"/>
      <c r="AE810" s="244"/>
      <c r="AF810" s="244"/>
      <c r="AG810" s="244"/>
      <c r="AH810" s="244"/>
      <c r="AI810" s="244"/>
      <c r="AJ810" s="244"/>
      <c r="AK810" s="242" t="s">
        <v>2695</v>
      </c>
      <c r="AL810" s="244"/>
      <c r="AM810" s="244"/>
      <c r="AN810" s="244"/>
      <c r="AO810" s="244"/>
      <c r="AP810" s="244"/>
    </row>
    <row r="811">
      <c r="A811" s="242" t="s">
        <v>36</v>
      </c>
      <c r="B811" s="243">
        <v>45868.397461203705</v>
      </c>
      <c r="C811" s="242" t="s">
        <v>2698</v>
      </c>
      <c r="D811" s="242" t="s">
        <v>51</v>
      </c>
      <c r="E811" s="242" t="s">
        <v>52</v>
      </c>
      <c r="F811" s="242" t="s">
        <v>65</v>
      </c>
      <c r="G811" s="242" t="s">
        <v>131</v>
      </c>
      <c r="H811" s="242" t="s">
        <v>625</v>
      </c>
      <c r="I811" s="266">
        <v>300.0</v>
      </c>
      <c r="J811" s="242" t="s">
        <v>446</v>
      </c>
      <c r="K811" s="247" t="s">
        <v>2699</v>
      </c>
      <c r="L811" s="242" t="s">
        <v>2700</v>
      </c>
      <c r="M811" s="242" t="s">
        <v>71</v>
      </c>
      <c r="N811" s="242" t="s">
        <v>96</v>
      </c>
      <c r="O811" s="242" t="s">
        <v>2701</v>
      </c>
      <c r="P811" s="242" t="s">
        <v>2702</v>
      </c>
      <c r="Q811" s="242" t="s">
        <v>1438</v>
      </c>
      <c r="R811" s="242" t="s">
        <v>1552</v>
      </c>
      <c r="S811" s="242" t="s">
        <v>71</v>
      </c>
      <c r="T811" s="244"/>
      <c r="U811" s="244"/>
      <c r="V811" s="244"/>
      <c r="W811" s="244"/>
      <c r="X811" s="244"/>
      <c r="Y811" s="244"/>
      <c r="Z811" s="244"/>
      <c r="AA811" s="244"/>
      <c r="AB811" s="244"/>
      <c r="AC811" s="244"/>
      <c r="AD811" s="244"/>
      <c r="AE811" s="244"/>
      <c r="AF811" s="244"/>
      <c r="AG811" s="244"/>
      <c r="AH811" s="244"/>
      <c r="AI811" s="244"/>
      <c r="AJ811" s="244"/>
      <c r="AK811" s="242" t="s">
        <v>2695</v>
      </c>
      <c r="AL811" s="244"/>
      <c r="AM811" s="244"/>
      <c r="AN811" s="244"/>
      <c r="AO811" s="244"/>
      <c r="AP811" s="244"/>
    </row>
    <row r="812">
      <c r="A812" s="242" t="s">
        <v>36</v>
      </c>
      <c r="B812" s="243">
        <v>45868.432422060185</v>
      </c>
      <c r="C812" s="242" t="s">
        <v>1280</v>
      </c>
      <c r="D812" s="242" t="s">
        <v>51</v>
      </c>
      <c r="E812" s="242" t="s">
        <v>149</v>
      </c>
      <c r="F812" s="242" t="s">
        <v>549</v>
      </c>
      <c r="G812" s="242" t="s">
        <v>131</v>
      </c>
      <c r="H812" s="242" t="s">
        <v>625</v>
      </c>
      <c r="I812" s="242" t="s">
        <v>2703</v>
      </c>
      <c r="J812" s="242" t="s">
        <v>184</v>
      </c>
      <c r="K812" s="242" t="s">
        <v>2704</v>
      </c>
      <c r="L812" s="242" t="s">
        <v>2705</v>
      </c>
      <c r="M812" s="242" t="s">
        <v>71</v>
      </c>
      <c r="N812" s="242" t="s">
        <v>96</v>
      </c>
      <c r="O812" s="242" t="s">
        <v>1283</v>
      </c>
      <c r="P812" s="246" t="s">
        <v>2706</v>
      </c>
      <c r="Q812" s="242" t="s">
        <v>1471</v>
      </c>
      <c r="R812" s="242" t="s">
        <v>1552</v>
      </c>
      <c r="S812" s="242" t="s">
        <v>71</v>
      </c>
      <c r="T812" s="242" t="s">
        <v>2707</v>
      </c>
      <c r="U812" s="244"/>
      <c r="V812" s="244"/>
      <c r="W812" s="244"/>
      <c r="X812" s="242">
        <v>1.0</v>
      </c>
      <c r="Y812" s="244"/>
      <c r="Z812" s="244"/>
      <c r="AA812" s="244"/>
      <c r="AB812" s="244"/>
      <c r="AC812" s="244"/>
      <c r="AD812" s="244"/>
      <c r="AE812" s="244"/>
      <c r="AF812" s="244"/>
      <c r="AG812" s="244"/>
      <c r="AH812" s="244"/>
      <c r="AI812" s="244"/>
      <c r="AJ812" s="244"/>
      <c r="AK812" s="242" t="s">
        <v>2695</v>
      </c>
      <c r="AL812" s="244"/>
      <c r="AM812" s="244"/>
      <c r="AN812" s="244"/>
      <c r="AO812" s="244"/>
      <c r="AP812" s="244"/>
    </row>
    <row r="813" ht="15.0" customHeight="1">
      <c r="A813" s="242" t="s">
        <v>36</v>
      </c>
      <c r="B813" s="243">
        <v>45868.55776174768</v>
      </c>
      <c r="C813" s="242" t="s">
        <v>694</v>
      </c>
      <c r="D813" s="242" t="s">
        <v>51</v>
      </c>
      <c r="E813" s="242" t="s">
        <v>52</v>
      </c>
      <c r="F813" s="242" t="s">
        <v>65</v>
      </c>
      <c r="G813" s="242" t="s">
        <v>131</v>
      </c>
      <c r="H813" s="242" t="s">
        <v>625</v>
      </c>
      <c r="I813" s="266">
        <v>1086.0</v>
      </c>
      <c r="J813" s="242" t="s">
        <v>48</v>
      </c>
      <c r="K813" s="244"/>
      <c r="L813" s="247" t="s">
        <v>2708</v>
      </c>
      <c r="M813" s="242" t="s">
        <v>71</v>
      </c>
      <c r="N813" s="242" t="s">
        <v>96</v>
      </c>
      <c r="O813" s="242" t="s">
        <v>2709</v>
      </c>
      <c r="P813" s="242" t="s">
        <v>2710</v>
      </c>
      <c r="Q813" s="242" t="s">
        <v>1471</v>
      </c>
      <c r="R813" s="242" t="s">
        <v>1552</v>
      </c>
      <c r="S813" s="242" t="s">
        <v>71</v>
      </c>
      <c r="T813" s="244"/>
      <c r="U813" s="244"/>
      <c r="V813" s="244"/>
      <c r="W813" s="244"/>
      <c r="X813" s="244"/>
      <c r="Y813" s="244"/>
      <c r="Z813" s="244"/>
      <c r="AA813" s="244"/>
      <c r="AB813" s="244"/>
      <c r="AC813" s="244"/>
      <c r="AD813" s="244"/>
      <c r="AE813" s="244"/>
      <c r="AF813" s="244"/>
      <c r="AG813" s="244"/>
      <c r="AH813" s="244"/>
      <c r="AI813" s="244"/>
      <c r="AJ813" s="244"/>
      <c r="AK813" s="242" t="s">
        <v>2695</v>
      </c>
      <c r="AL813" s="244"/>
      <c r="AM813" s="244"/>
      <c r="AN813" s="244"/>
      <c r="AO813" s="244"/>
      <c r="AP813" s="244"/>
    </row>
    <row r="814">
      <c r="A814" s="272" t="s">
        <v>1037</v>
      </c>
      <c r="B814" s="273">
        <v>45868.587856875005</v>
      </c>
      <c r="C814" s="272" t="s">
        <v>2711</v>
      </c>
      <c r="D814" s="272" t="s">
        <v>317</v>
      </c>
      <c r="E814" s="272" t="s">
        <v>52</v>
      </c>
      <c r="F814" s="272" t="s">
        <v>2712</v>
      </c>
      <c r="G814" s="272" t="s">
        <v>131</v>
      </c>
      <c r="H814" s="272" t="s">
        <v>625</v>
      </c>
      <c r="I814" s="272" t="s">
        <v>2713</v>
      </c>
      <c r="J814" s="272" t="s">
        <v>82</v>
      </c>
      <c r="K814" s="296" t="s">
        <v>2714</v>
      </c>
      <c r="L814" s="296" t="s">
        <v>2715</v>
      </c>
      <c r="M814" s="272" t="s">
        <v>71</v>
      </c>
      <c r="N814" s="272" t="s">
        <v>96</v>
      </c>
      <c r="O814" s="272" t="s">
        <v>2716</v>
      </c>
      <c r="P814" s="272" t="s">
        <v>2717</v>
      </c>
      <c r="Q814" s="272" t="s">
        <v>1471</v>
      </c>
      <c r="R814" s="272" t="s">
        <v>1552</v>
      </c>
      <c r="S814" s="272" t="s">
        <v>1557</v>
      </c>
      <c r="T814" s="272" t="s">
        <v>2718</v>
      </c>
      <c r="U814" s="274"/>
      <c r="V814" s="274"/>
      <c r="W814" s="274"/>
      <c r="X814" s="274"/>
      <c r="Y814" s="274"/>
      <c r="Z814" s="274"/>
      <c r="AA814" s="274"/>
      <c r="AB814" s="274"/>
      <c r="AC814" s="274"/>
      <c r="AD814" s="274"/>
      <c r="AE814" s="274"/>
      <c r="AF814" s="274"/>
      <c r="AG814" s="274"/>
      <c r="AH814" s="274"/>
      <c r="AI814" s="274"/>
      <c r="AJ814" s="274"/>
      <c r="AK814" s="272" t="s">
        <v>2719</v>
      </c>
      <c r="AL814" s="274"/>
      <c r="AM814" s="274"/>
      <c r="AN814" s="274"/>
      <c r="AO814" s="274"/>
      <c r="AP814" s="274"/>
    </row>
    <row r="815">
      <c r="A815" s="242" t="s">
        <v>36</v>
      </c>
      <c r="B815" s="243">
        <v>45868.737517685186</v>
      </c>
      <c r="C815" s="242" t="s">
        <v>1706</v>
      </c>
      <c r="D815" s="242" t="s">
        <v>51</v>
      </c>
      <c r="E815" s="242" t="s">
        <v>138</v>
      </c>
      <c r="F815" s="242" t="s">
        <v>65</v>
      </c>
      <c r="G815" s="242" t="s">
        <v>54</v>
      </c>
      <c r="H815" s="242" t="s">
        <v>625</v>
      </c>
      <c r="I815" s="242" t="s">
        <v>2720</v>
      </c>
      <c r="J815" s="242" t="s">
        <v>100</v>
      </c>
      <c r="K815" s="244"/>
      <c r="L815" s="242" t="s">
        <v>2721</v>
      </c>
      <c r="M815" s="242" t="s">
        <v>71</v>
      </c>
      <c r="N815" s="242" t="s">
        <v>68</v>
      </c>
      <c r="O815" s="242" t="s">
        <v>1708</v>
      </c>
      <c r="P815" s="242" t="s">
        <v>2722</v>
      </c>
      <c r="Q815" s="242" t="s">
        <v>1471</v>
      </c>
      <c r="R815" s="242" t="s">
        <v>1552</v>
      </c>
      <c r="S815" s="242" t="s">
        <v>71</v>
      </c>
      <c r="T815" s="244"/>
      <c r="U815" s="244"/>
      <c r="V815" s="244"/>
      <c r="W815" s="244"/>
      <c r="X815" s="244"/>
      <c r="Y815" s="244"/>
      <c r="Z815" s="244"/>
      <c r="AA815" s="244"/>
      <c r="AB815" s="244"/>
      <c r="AC815" s="244"/>
      <c r="AD815" s="244"/>
      <c r="AE815" s="244"/>
      <c r="AF815" s="244"/>
      <c r="AG815" s="244"/>
      <c r="AH815" s="244"/>
      <c r="AI815" s="244"/>
      <c r="AJ815" s="244"/>
      <c r="AK815" s="242" t="s">
        <v>2695</v>
      </c>
      <c r="AL815" s="244"/>
      <c r="AM815" s="244"/>
      <c r="AN815" s="244"/>
      <c r="AO815" s="244"/>
      <c r="AP815" s="244"/>
    </row>
    <row r="816">
      <c r="A816" s="242" t="s">
        <v>36</v>
      </c>
      <c r="B816" s="243">
        <v>45869.435839756945</v>
      </c>
      <c r="C816" s="242" t="s">
        <v>174</v>
      </c>
      <c r="D816" s="242" t="s">
        <v>51</v>
      </c>
      <c r="E816" s="242" t="s">
        <v>52</v>
      </c>
      <c r="F816" s="242" t="s">
        <v>65</v>
      </c>
      <c r="G816" s="242" t="s">
        <v>54</v>
      </c>
      <c r="H816" s="242" t="s">
        <v>833</v>
      </c>
      <c r="I816" s="265">
        <v>3000.0</v>
      </c>
      <c r="J816" s="242" t="s">
        <v>100</v>
      </c>
      <c r="K816" s="297" t="s">
        <v>2723</v>
      </c>
      <c r="L816" s="242" t="s">
        <v>2724</v>
      </c>
      <c r="M816" s="242" t="s">
        <v>71</v>
      </c>
      <c r="N816" s="242" t="s">
        <v>96</v>
      </c>
      <c r="O816" s="242" t="s">
        <v>2725</v>
      </c>
      <c r="P816" s="242" t="s">
        <v>2726</v>
      </c>
      <c r="Q816" s="242" t="s">
        <v>1471</v>
      </c>
      <c r="R816" s="242" t="s">
        <v>1552</v>
      </c>
      <c r="S816" s="242" t="s">
        <v>71</v>
      </c>
      <c r="T816" s="244"/>
      <c r="U816" s="244"/>
      <c r="V816" s="244"/>
      <c r="W816" s="244"/>
      <c r="X816" s="244"/>
      <c r="Y816" s="244"/>
      <c r="Z816" s="244"/>
      <c r="AA816" s="244"/>
      <c r="AB816" s="244"/>
      <c r="AC816" s="244"/>
      <c r="AD816" s="244"/>
      <c r="AE816" s="244"/>
      <c r="AF816" s="244"/>
      <c r="AG816" s="244"/>
      <c r="AH816" s="244"/>
      <c r="AI816" s="244"/>
      <c r="AJ816" s="244"/>
      <c r="AK816" s="242" t="s">
        <v>2727</v>
      </c>
      <c r="AL816" s="244"/>
      <c r="AM816" s="244"/>
      <c r="AN816" s="244"/>
      <c r="AO816" s="244"/>
      <c r="AP816" s="244"/>
    </row>
    <row r="817">
      <c r="A817" s="242" t="s">
        <v>36</v>
      </c>
      <c r="B817" s="243">
        <v>45869.442777916665</v>
      </c>
      <c r="C817" s="242" t="s">
        <v>530</v>
      </c>
      <c r="D817" s="242" t="s">
        <v>142</v>
      </c>
      <c r="E817" s="242" t="s">
        <v>52</v>
      </c>
      <c r="F817" s="242" t="s">
        <v>65</v>
      </c>
      <c r="G817" s="242" t="s">
        <v>131</v>
      </c>
      <c r="H817" s="242" t="s">
        <v>607</v>
      </c>
      <c r="I817" s="266">
        <v>145.0</v>
      </c>
      <c r="J817" s="242" t="s">
        <v>43</v>
      </c>
      <c r="K817" s="244"/>
      <c r="L817" s="242" t="s">
        <v>2728</v>
      </c>
      <c r="M817" s="242" t="s">
        <v>71</v>
      </c>
      <c r="N817" s="242" t="s">
        <v>96</v>
      </c>
      <c r="O817" s="242" t="s">
        <v>2729</v>
      </c>
      <c r="P817" s="246" t="s">
        <v>2730</v>
      </c>
      <c r="Q817" s="242" t="s">
        <v>1438</v>
      </c>
      <c r="R817" s="242" t="s">
        <v>1552</v>
      </c>
      <c r="S817" s="242" t="s">
        <v>1621</v>
      </c>
      <c r="T817" s="244"/>
      <c r="U817" s="244"/>
      <c r="V817" s="244"/>
      <c r="W817" s="244"/>
      <c r="X817" s="244"/>
      <c r="Y817" s="244"/>
      <c r="Z817" s="244"/>
      <c r="AA817" s="244"/>
      <c r="AB817" s="244"/>
      <c r="AC817" s="244"/>
      <c r="AD817" s="244"/>
      <c r="AE817" s="244"/>
      <c r="AF817" s="244"/>
      <c r="AG817" s="244"/>
      <c r="AH817" s="244"/>
      <c r="AI817" s="244"/>
      <c r="AJ817" s="244"/>
      <c r="AK817" s="242" t="s">
        <v>2731</v>
      </c>
      <c r="AL817" s="244"/>
      <c r="AM817" s="244"/>
      <c r="AN817" s="244"/>
      <c r="AO817" s="244"/>
      <c r="AP817" s="244"/>
    </row>
    <row r="818" ht="18.0" customHeight="1">
      <c r="A818" s="242" t="s">
        <v>36</v>
      </c>
      <c r="B818" s="243">
        <v>45869.50847311343</v>
      </c>
      <c r="C818" s="242" t="s">
        <v>64</v>
      </c>
      <c r="D818" s="242" t="s">
        <v>800</v>
      </c>
      <c r="E818" s="242" t="s">
        <v>800</v>
      </c>
      <c r="F818" s="242" t="s">
        <v>800</v>
      </c>
      <c r="G818" s="242" t="s">
        <v>800</v>
      </c>
      <c r="H818" s="242" t="s">
        <v>42</v>
      </c>
      <c r="I818" s="242" t="s">
        <v>2732</v>
      </c>
      <c r="J818" s="242" t="s">
        <v>2733</v>
      </c>
      <c r="K818" s="244"/>
      <c r="L818" s="242" t="s">
        <v>2734</v>
      </c>
      <c r="M818" s="242" t="s">
        <v>71</v>
      </c>
      <c r="N818" s="242" t="s">
        <v>68</v>
      </c>
      <c r="O818" s="242" t="s">
        <v>2735</v>
      </c>
      <c r="P818" s="242" t="s">
        <v>1414</v>
      </c>
      <c r="Q818" s="242" t="s">
        <v>1438</v>
      </c>
      <c r="R818" s="242" t="s">
        <v>1598</v>
      </c>
      <c r="S818" s="242" t="s">
        <v>1557</v>
      </c>
      <c r="T818" s="242" t="s">
        <v>2736</v>
      </c>
      <c r="U818" s="244"/>
      <c r="V818" s="244"/>
      <c r="W818" s="244"/>
      <c r="X818" s="244"/>
      <c r="Y818" s="244"/>
      <c r="Z818" s="244"/>
      <c r="AA818" s="244"/>
      <c r="AB818" s="244"/>
      <c r="AC818" s="244"/>
      <c r="AD818" s="244"/>
      <c r="AE818" s="244"/>
      <c r="AF818" s="244"/>
      <c r="AG818" s="244"/>
      <c r="AH818" s="244"/>
      <c r="AI818" s="244"/>
      <c r="AJ818" s="244"/>
      <c r="AK818" s="242" t="s">
        <v>2731</v>
      </c>
      <c r="AL818" s="244"/>
      <c r="AM818" s="244"/>
      <c r="AN818" s="244"/>
      <c r="AO818" s="244"/>
      <c r="AP818" s="244"/>
    </row>
    <row r="819">
      <c r="A819" s="242" t="s">
        <v>36</v>
      </c>
      <c r="B819" s="243">
        <v>45873.41615640046</v>
      </c>
      <c r="C819" s="242" t="s">
        <v>424</v>
      </c>
      <c r="D819" s="242" t="s">
        <v>109</v>
      </c>
      <c r="E819" s="242" t="s">
        <v>138</v>
      </c>
      <c r="F819" s="242" t="s">
        <v>65</v>
      </c>
      <c r="G819" s="242" t="s">
        <v>41</v>
      </c>
      <c r="H819" s="242" t="s">
        <v>625</v>
      </c>
      <c r="I819" s="242" t="s">
        <v>2737</v>
      </c>
      <c r="J819" s="242" t="s">
        <v>121</v>
      </c>
      <c r="K819" s="245" t="s">
        <v>2738</v>
      </c>
      <c r="L819" s="242" t="s">
        <v>2739</v>
      </c>
      <c r="M819" s="242" t="s">
        <v>71</v>
      </c>
      <c r="N819" s="242" t="s">
        <v>68</v>
      </c>
      <c r="O819" s="242" t="s">
        <v>880</v>
      </c>
      <c r="P819" s="242" t="s">
        <v>2740</v>
      </c>
      <c r="Q819" s="242" t="s">
        <v>1471</v>
      </c>
      <c r="R819" s="242" t="s">
        <v>1552</v>
      </c>
      <c r="S819" s="242" t="s">
        <v>71</v>
      </c>
      <c r="T819" s="244"/>
      <c r="U819" s="244"/>
      <c r="V819" s="244"/>
      <c r="W819" s="244"/>
      <c r="X819" s="244"/>
      <c r="Y819" s="244"/>
      <c r="Z819" s="244"/>
      <c r="AA819" s="244"/>
      <c r="AB819" s="244"/>
      <c r="AC819" s="244"/>
      <c r="AD819" s="244"/>
      <c r="AE819" s="244"/>
      <c r="AF819" s="244"/>
      <c r="AG819" s="244"/>
      <c r="AH819" s="244"/>
      <c r="AI819" s="244"/>
      <c r="AJ819" s="244"/>
      <c r="AK819" s="242" t="s">
        <v>2731</v>
      </c>
      <c r="AL819" s="244"/>
      <c r="AM819" s="244"/>
      <c r="AN819" s="244"/>
      <c r="AO819" s="244"/>
      <c r="AP819" s="244"/>
    </row>
    <row r="820">
      <c r="A820" s="242" t="s">
        <v>36</v>
      </c>
      <c r="B820" s="243">
        <v>45874.527090601856</v>
      </c>
      <c r="C820" s="242" t="s">
        <v>195</v>
      </c>
      <c r="D820" s="242" t="s">
        <v>51</v>
      </c>
      <c r="E820" s="242" t="s">
        <v>196</v>
      </c>
      <c r="F820" s="242" t="s">
        <v>80</v>
      </c>
      <c r="G820" s="242" t="s">
        <v>131</v>
      </c>
      <c r="H820" s="242" t="s">
        <v>625</v>
      </c>
      <c r="I820" s="242" t="s">
        <v>2741</v>
      </c>
      <c r="J820" s="242" t="s">
        <v>189</v>
      </c>
      <c r="K820" s="244"/>
      <c r="L820" s="242" t="s">
        <v>2742</v>
      </c>
      <c r="M820" s="242" t="s">
        <v>71</v>
      </c>
      <c r="N820" s="242" t="s">
        <v>96</v>
      </c>
      <c r="O820" s="242" t="s">
        <v>2743</v>
      </c>
      <c r="P820" s="242" t="s">
        <v>2744</v>
      </c>
      <c r="Q820" s="242" t="s">
        <v>1438</v>
      </c>
      <c r="R820" s="242" t="s">
        <v>1552</v>
      </c>
      <c r="S820" s="242" t="s">
        <v>1621</v>
      </c>
      <c r="T820" s="242" t="s">
        <v>2745</v>
      </c>
      <c r="U820" s="244"/>
      <c r="V820" s="244"/>
      <c r="W820" s="244"/>
      <c r="X820" s="242" t="s">
        <v>2746</v>
      </c>
      <c r="Y820" s="244"/>
      <c r="Z820" s="244"/>
      <c r="AA820" s="244"/>
      <c r="AB820" s="244"/>
      <c r="AC820" s="244"/>
      <c r="AD820" s="244"/>
      <c r="AE820" s="244"/>
      <c r="AF820" s="244"/>
      <c r="AG820" s="244"/>
      <c r="AH820" s="244"/>
      <c r="AI820" s="244"/>
      <c r="AJ820" s="244"/>
      <c r="AK820" s="242" t="s">
        <v>2747</v>
      </c>
      <c r="AL820" s="244"/>
      <c r="AM820" s="244"/>
      <c r="AN820" s="244"/>
      <c r="AO820" s="244"/>
      <c r="AP820" s="244"/>
    </row>
    <row r="821">
      <c r="A821" s="242" t="s">
        <v>36</v>
      </c>
      <c r="B821" s="243">
        <v>45875.48507732639</v>
      </c>
      <c r="C821" s="242" t="s">
        <v>500</v>
      </c>
      <c r="D821" s="242" t="s">
        <v>501</v>
      </c>
      <c r="E821" s="242" t="s">
        <v>52</v>
      </c>
      <c r="F821" s="242" t="s">
        <v>40</v>
      </c>
      <c r="G821" s="242" t="s">
        <v>54</v>
      </c>
      <c r="H821" s="242" t="s">
        <v>607</v>
      </c>
      <c r="I821" s="242">
        <v>275.0</v>
      </c>
      <c r="J821" s="242" t="s">
        <v>383</v>
      </c>
      <c r="K821" s="247" t="s">
        <v>2748</v>
      </c>
      <c r="L821" s="242" t="s">
        <v>2749</v>
      </c>
      <c r="M821" s="242" t="s">
        <v>71</v>
      </c>
      <c r="N821" s="242" t="s">
        <v>96</v>
      </c>
      <c r="O821" s="242" t="s">
        <v>1570</v>
      </c>
      <c r="P821" s="244"/>
      <c r="Q821" s="242" t="s">
        <v>1438</v>
      </c>
      <c r="R821" s="242" t="s">
        <v>1552</v>
      </c>
      <c r="S821" s="242" t="s">
        <v>71</v>
      </c>
      <c r="T821" s="242" t="s">
        <v>2750</v>
      </c>
      <c r="U821" s="244"/>
      <c r="V821" s="244"/>
      <c r="W821" s="244"/>
      <c r="X821" s="242" t="s">
        <v>1133</v>
      </c>
      <c r="Y821" s="244"/>
      <c r="Z821" s="244"/>
      <c r="AA821" s="244"/>
      <c r="AB821" s="244"/>
      <c r="AC821" s="244"/>
      <c r="AD821" s="244"/>
      <c r="AE821" s="244"/>
      <c r="AF821" s="244"/>
      <c r="AG821" s="244"/>
      <c r="AH821" s="244"/>
      <c r="AI821" s="244"/>
      <c r="AJ821" s="244"/>
      <c r="AK821" s="242" t="s">
        <v>2751</v>
      </c>
      <c r="AL821" s="244"/>
      <c r="AM821" s="244"/>
      <c r="AN821" s="244"/>
      <c r="AO821" s="244"/>
      <c r="AP821" s="244"/>
    </row>
    <row r="822">
      <c r="A822" s="242" t="s">
        <v>36</v>
      </c>
      <c r="B822" s="243">
        <v>45875.55177428241</v>
      </c>
      <c r="C822" s="242" t="s">
        <v>1284</v>
      </c>
      <c r="D822" s="242" t="s">
        <v>51</v>
      </c>
      <c r="E822" s="242" t="s">
        <v>52</v>
      </c>
      <c r="F822" s="242" t="s">
        <v>40</v>
      </c>
      <c r="G822" s="242" t="s">
        <v>54</v>
      </c>
      <c r="H822" s="242" t="s">
        <v>625</v>
      </c>
      <c r="I822" s="242" t="s">
        <v>2752</v>
      </c>
      <c r="J822" s="242" t="s">
        <v>102</v>
      </c>
      <c r="K822" s="264">
        <v>1050.0</v>
      </c>
      <c r="L822" s="242" t="s">
        <v>2753</v>
      </c>
      <c r="M822" s="242" t="s">
        <v>71</v>
      </c>
      <c r="N822" s="242" t="s">
        <v>96</v>
      </c>
      <c r="O822" s="242" t="s">
        <v>1286</v>
      </c>
      <c r="P822" s="242" t="s">
        <v>2754</v>
      </c>
      <c r="Q822" s="242" t="s">
        <v>1438</v>
      </c>
      <c r="R822" s="242" t="s">
        <v>1552</v>
      </c>
      <c r="S822" s="242" t="s">
        <v>71</v>
      </c>
      <c r="T822" s="242" t="s">
        <v>2755</v>
      </c>
      <c r="U822" s="244"/>
      <c r="V822" s="244"/>
      <c r="W822" s="244"/>
      <c r="X822" s="244"/>
      <c r="Y822" s="244"/>
      <c r="Z822" s="244"/>
      <c r="AA822" s="244"/>
      <c r="AB822" s="244"/>
      <c r="AC822" s="244"/>
      <c r="AD822" s="244"/>
      <c r="AE822" s="244"/>
      <c r="AF822" s="244"/>
      <c r="AG822" s="244"/>
      <c r="AH822" s="244"/>
      <c r="AI822" s="244"/>
      <c r="AJ822" s="244"/>
      <c r="AK822" s="242" t="s">
        <v>2756</v>
      </c>
      <c r="AL822" s="244"/>
      <c r="AM822" s="244"/>
      <c r="AN822" s="244"/>
      <c r="AO822" s="244"/>
      <c r="AP822" s="244"/>
    </row>
    <row r="823">
      <c r="A823" s="242" t="s">
        <v>36</v>
      </c>
      <c r="B823" s="243">
        <v>45875.67178815972</v>
      </c>
      <c r="C823" s="242" t="s">
        <v>1045</v>
      </c>
      <c r="D823" s="242" t="s">
        <v>704</v>
      </c>
      <c r="E823" s="242" t="s">
        <v>52</v>
      </c>
      <c r="F823" s="242" t="s">
        <v>65</v>
      </c>
      <c r="G823" s="242" t="s">
        <v>54</v>
      </c>
      <c r="H823" s="242" t="s">
        <v>607</v>
      </c>
      <c r="I823" s="264">
        <v>165.0</v>
      </c>
      <c r="J823" s="242" t="s">
        <v>2757</v>
      </c>
      <c r="K823" s="245" t="s">
        <v>2758</v>
      </c>
      <c r="L823" s="242" t="s">
        <v>2759</v>
      </c>
      <c r="M823" s="242" t="s">
        <v>71</v>
      </c>
      <c r="N823" s="242" t="s">
        <v>96</v>
      </c>
      <c r="O823" s="242" t="s">
        <v>1048</v>
      </c>
      <c r="P823" s="242" t="s">
        <v>2760</v>
      </c>
      <c r="Q823" s="242" t="s">
        <v>1438</v>
      </c>
      <c r="R823" s="242" t="s">
        <v>1552</v>
      </c>
      <c r="S823" s="242" t="s">
        <v>71</v>
      </c>
      <c r="T823" s="242" t="s">
        <v>2761</v>
      </c>
      <c r="U823" s="244"/>
      <c r="V823" s="244"/>
      <c r="W823" s="244"/>
      <c r="X823" s="244"/>
      <c r="Y823" s="244"/>
      <c r="Z823" s="244"/>
      <c r="AA823" s="244"/>
      <c r="AB823" s="244"/>
      <c r="AC823" s="244"/>
      <c r="AD823" s="244"/>
      <c r="AE823" s="244"/>
      <c r="AF823" s="244"/>
      <c r="AG823" s="244"/>
      <c r="AH823" s="244"/>
      <c r="AI823" s="244"/>
      <c r="AJ823" s="244"/>
      <c r="AK823" s="242" t="s">
        <v>2751</v>
      </c>
      <c r="AL823" s="244"/>
      <c r="AM823" s="244"/>
      <c r="AN823" s="244"/>
      <c r="AO823" s="244"/>
      <c r="AP823" s="244"/>
    </row>
    <row r="824">
      <c r="A824" s="242" t="s">
        <v>36</v>
      </c>
      <c r="B824" s="243">
        <v>45878.31464429398</v>
      </c>
      <c r="C824" s="242" t="s">
        <v>1253</v>
      </c>
      <c r="D824" s="242" t="s">
        <v>51</v>
      </c>
      <c r="E824" s="242" t="s">
        <v>138</v>
      </c>
      <c r="F824" s="242" t="s">
        <v>40</v>
      </c>
      <c r="G824" s="242" t="s">
        <v>60</v>
      </c>
      <c r="H824" s="242" t="s">
        <v>625</v>
      </c>
      <c r="I824" s="242" t="s">
        <v>2762</v>
      </c>
      <c r="J824" s="242" t="s">
        <v>967</v>
      </c>
      <c r="K824" s="245" t="s">
        <v>2763</v>
      </c>
      <c r="L824" s="247" t="s">
        <v>2764</v>
      </c>
      <c r="M824" s="242" t="s">
        <v>71</v>
      </c>
      <c r="N824" s="242" t="s">
        <v>68</v>
      </c>
      <c r="O824" s="242" t="s">
        <v>1255</v>
      </c>
      <c r="P824" s="242" t="s">
        <v>2765</v>
      </c>
      <c r="Q824" s="242" t="s">
        <v>1471</v>
      </c>
      <c r="R824" s="242" t="s">
        <v>1552</v>
      </c>
      <c r="S824" s="242" t="s">
        <v>71</v>
      </c>
      <c r="T824" s="244"/>
      <c r="U824" s="244"/>
      <c r="V824" s="244"/>
      <c r="W824" s="244"/>
      <c r="X824" s="244"/>
      <c r="Y824" s="244"/>
      <c r="Z824" s="244"/>
      <c r="AA824" s="244"/>
      <c r="AB824" s="244"/>
      <c r="AC824" s="244"/>
      <c r="AD824" s="244"/>
      <c r="AE824" s="244"/>
      <c r="AF824" s="244"/>
      <c r="AG824" s="244"/>
      <c r="AH824" s="244"/>
      <c r="AI824" s="244"/>
      <c r="AJ824" s="244"/>
      <c r="AK824" s="242" t="s">
        <v>2766</v>
      </c>
      <c r="AL824" s="244"/>
      <c r="AM824" s="244"/>
      <c r="AN824" s="244"/>
      <c r="AO824" s="244"/>
      <c r="AP824" s="244"/>
    </row>
    <row r="825">
      <c r="A825" s="242" t="s">
        <v>36</v>
      </c>
      <c r="B825" s="243">
        <v>45878.31464429398</v>
      </c>
      <c r="C825" s="242" t="s">
        <v>424</v>
      </c>
      <c r="D825" s="242" t="s">
        <v>109</v>
      </c>
      <c r="E825" s="242" t="s">
        <v>138</v>
      </c>
      <c r="F825" s="242" t="s">
        <v>65</v>
      </c>
      <c r="G825" s="242" t="s">
        <v>41</v>
      </c>
      <c r="H825" s="242" t="s">
        <v>625</v>
      </c>
      <c r="I825" s="242" t="s">
        <v>2762</v>
      </c>
      <c r="J825" s="242" t="s">
        <v>121</v>
      </c>
      <c r="K825" s="245" t="s">
        <v>2763</v>
      </c>
      <c r="L825" s="247" t="s">
        <v>2767</v>
      </c>
      <c r="M825" s="242" t="s">
        <v>71</v>
      </c>
      <c r="N825" s="242" t="s">
        <v>68</v>
      </c>
      <c r="O825" s="242" t="s">
        <v>880</v>
      </c>
      <c r="P825" s="242" t="s">
        <v>2765</v>
      </c>
      <c r="Q825" s="242" t="s">
        <v>1471</v>
      </c>
      <c r="R825" s="242" t="s">
        <v>1552</v>
      </c>
      <c r="S825" s="242" t="s">
        <v>71</v>
      </c>
      <c r="T825" s="244"/>
      <c r="U825" s="244"/>
      <c r="V825" s="244"/>
      <c r="W825" s="244"/>
      <c r="X825" s="244"/>
      <c r="Y825" s="244"/>
      <c r="Z825" s="244"/>
      <c r="AA825" s="244"/>
      <c r="AB825" s="244"/>
      <c r="AC825" s="244"/>
      <c r="AD825" s="244"/>
      <c r="AE825" s="244"/>
      <c r="AF825" s="244"/>
      <c r="AG825" s="244"/>
      <c r="AH825" s="244"/>
      <c r="AI825" s="244"/>
      <c r="AJ825" s="244"/>
      <c r="AK825" s="242" t="s">
        <v>2766</v>
      </c>
      <c r="AL825" s="244"/>
      <c r="AM825" s="244"/>
      <c r="AN825" s="244"/>
      <c r="AO825" s="244"/>
      <c r="AP825" s="244"/>
    </row>
    <row r="826">
      <c r="A826" s="242" t="s">
        <v>36</v>
      </c>
      <c r="B826" s="243">
        <v>45880.708793530095</v>
      </c>
      <c r="C826" s="242" t="s">
        <v>710</v>
      </c>
      <c r="D826" s="242" t="s">
        <v>51</v>
      </c>
      <c r="E826" s="242" t="s">
        <v>52</v>
      </c>
      <c r="F826" s="242" t="s">
        <v>65</v>
      </c>
      <c r="G826" s="242" t="s">
        <v>54</v>
      </c>
      <c r="H826" s="242" t="s">
        <v>625</v>
      </c>
      <c r="I826" s="242" t="s">
        <v>2768</v>
      </c>
      <c r="J826" s="242" t="s">
        <v>86</v>
      </c>
      <c r="K826" s="297" t="s">
        <v>2769</v>
      </c>
      <c r="L826" s="242" t="s">
        <v>2770</v>
      </c>
      <c r="M826" s="242" t="s">
        <v>71</v>
      </c>
      <c r="N826" s="242" t="s">
        <v>96</v>
      </c>
      <c r="O826" s="242" t="s">
        <v>965</v>
      </c>
      <c r="P826" s="242" t="s">
        <v>2771</v>
      </c>
      <c r="Q826" s="242" t="s">
        <v>1471</v>
      </c>
      <c r="R826" s="242" t="s">
        <v>1552</v>
      </c>
      <c r="S826" s="242" t="s">
        <v>71</v>
      </c>
      <c r="T826" s="242" t="s">
        <v>2772</v>
      </c>
      <c r="U826" s="244"/>
      <c r="V826" s="244"/>
      <c r="W826" s="244"/>
      <c r="X826" s="242" t="s">
        <v>1433</v>
      </c>
      <c r="Y826" s="244"/>
      <c r="Z826" s="244"/>
      <c r="AA826" s="244"/>
      <c r="AB826" s="244"/>
      <c r="AC826" s="244"/>
      <c r="AD826" s="244"/>
      <c r="AE826" s="244"/>
      <c r="AF826" s="244"/>
      <c r="AG826" s="244"/>
      <c r="AH826" s="244"/>
      <c r="AI826" s="244"/>
      <c r="AJ826" s="244"/>
      <c r="AK826" s="242" t="s">
        <v>2766</v>
      </c>
      <c r="AL826" s="244"/>
      <c r="AM826" s="244"/>
      <c r="AN826" s="244"/>
      <c r="AO826" s="244"/>
      <c r="AP826" s="244"/>
    </row>
    <row r="827" ht="20.25" customHeight="1">
      <c r="A827" s="242" t="s">
        <v>36</v>
      </c>
      <c r="B827" s="243">
        <v>45883.67222734954</v>
      </c>
      <c r="C827" s="242" t="s">
        <v>188</v>
      </c>
      <c r="D827" s="242" t="s">
        <v>800</v>
      </c>
      <c r="E827" s="242" t="s">
        <v>800</v>
      </c>
      <c r="F827" s="242" t="s">
        <v>800</v>
      </c>
      <c r="G827" s="242" t="s">
        <v>800</v>
      </c>
      <c r="H827" s="242" t="s">
        <v>625</v>
      </c>
      <c r="I827" s="266">
        <v>19950.0</v>
      </c>
      <c r="J827" s="242" t="s">
        <v>2773</v>
      </c>
      <c r="K827" s="244"/>
      <c r="L827" s="242" t="s">
        <v>2774</v>
      </c>
      <c r="M827" s="242" t="s">
        <v>71</v>
      </c>
      <c r="N827" s="242" t="s">
        <v>96</v>
      </c>
      <c r="O827" s="242" t="s">
        <v>2775</v>
      </c>
      <c r="P827" s="242" t="s">
        <v>2776</v>
      </c>
      <c r="Q827" s="242" t="s">
        <v>1438</v>
      </c>
      <c r="R827" s="242" t="s">
        <v>1552</v>
      </c>
      <c r="S827" s="242" t="s">
        <v>1621</v>
      </c>
      <c r="T827" s="242" t="s">
        <v>2777</v>
      </c>
      <c r="U827" s="242" t="s">
        <v>2778</v>
      </c>
      <c r="V827" s="242" t="s">
        <v>736</v>
      </c>
      <c r="W827" s="242" t="s">
        <v>736</v>
      </c>
      <c r="X827" s="242" t="s">
        <v>2779</v>
      </c>
      <c r="Y827" s="244"/>
      <c r="Z827" s="244"/>
      <c r="AA827" s="244"/>
      <c r="AB827" s="244"/>
      <c r="AC827" s="244"/>
      <c r="AD827" s="244"/>
      <c r="AE827" s="244"/>
      <c r="AF827" s="244"/>
      <c r="AG827" s="244"/>
      <c r="AH827" s="244"/>
      <c r="AI827" s="244"/>
      <c r="AJ827" s="244"/>
      <c r="AK827" s="242" t="s">
        <v>2766</v>
      </c>
      <c r="AL827" s="244"/>
      <c r="AM827" s="244"/>
      <c r="AN827" s="244"/>
      <c r="AO827" s="244"/>
      <c r="AP827" s="244"/>
    </row>
    <row r="828">
      <c r="A828" s="242" t="s">
        <v>36</v>
      </c>
      <c r="B828" s="243">
        <v>45884.44124533565</v>
      </c>
      <c r="C828" s="242" t="s">
        <v>2780</v>
      </c>
      <c r="D828" s="242" t="s">
        <v>142</v>
      </c>
      <c r="E828" s="242" t="s">
        <v>138</v>
      </c>
      <c r="F828" s="242" t="s">
        <v>65</v>
      </c>
      <c r="G828" s="242" t="s">
        <v>54</v>
      </c>
      <c r="H828" s="242" t="s">
        <v>607</v>
      </c>
      <c r="I828" s="242" t="s">
        <v>2781</v>
      </c>
      <c r="J828" s="242" t="s">
        <v>451</v>
      </c>
      <c r="K828" s="245" t="s">
        <v>2782</v>
      </c>
      <c r="L828" s="247" t="s">
        <v>2783</v>
      </c>
      <c r="M828" s="242" t="s">
        <v>71</v>
      </c>
      <c r="N828" s="242" t="s">
        <v>96</v>
      </c>
      <c r="O828" s="242" t="s">
        <v>2784</v>
      </c>
      <c r="P828" s="242" t="s">
        <v>2785</v>
      </c>
      <c r="Q828" s="242" t="s">
        <v>1438</v>
      </c>
      <c r="R828" s="242" t="s">
        <v>1552</v>
      </c>
      <c r="S828" s="242" t="s">
        <v>71</v>
      </c>
      <c r="T828" s="244"/>
      <c r="U828" s="244"/>
      <c r="V828" s="244"/>
      <c r="W828" s="244"/>
      <c r="X828" s="242" t="s">
        <v>1557</v>
      </c>
      <c r="Y828" s="244"/>
      <c r="Z828" s="244"/>
      <c r="AA828" s="244"/>
      <c r="AB828" s="244"/>
      <c r="AC828" s="244"/>
      <c r="AD828" s="244"/>
      <c r="AE828" s="244"/>
      <c r="AF828" s="244"/>
      <c r="AG828" s="244"/>
      <c r="AH828" s="244"/>
      <c r="AI828" s="244"/>
      <c r="AJ828" s="244"/>
      <c r="AK828" s="242" t="s">
        <v>2766</v>
      </c>
      <c r="AL828" s="244"/>
      <c r="AM828" s="244"/>
      <c r="AN828" s="244"/>
      <c r="AO828" s="244"/>
      <c r="AP828" s="244"/>
    </row>
    <row r="829">
      <c r="A829" s="242" t="s">
        <v>36</v>
      </c>
      <c r="B829" s="243">
        <v>45884.575927453705</v>
      </c>
      <c r="C829" s="242" t="s">
        <v>760</v>
      </c>
      <c r="D829" s="242" t="s">
        <v>800</v>
      </c>
      <c r="E829" s="242" t="s">
        <v>800</v>
      </c>
      <c r="F829" s="242" t="s">
        <v>800</v>
      </c>
      <c r="G829" s="242" t="s">
        <v>800</v>
      </c>
      <c r="H829" s="242" t="s">
        <v>1117</v>
      </c>
      <c r="I829" s="242" t="s">
        <v>2786</v>
      </c>
      <c r="J829" s="242" t="s">
        <v>1046</v>
      </c>
      <c r="K829" s="244"/>
      <c r="L829" s="244"/>
      <c r="M829" s="242" t="s">
        <v>71</v>
      </c>
      <c r="N829" s="242" t="s">
        <v>96</v>
      </c>
      <c r="O829" s="242" t="s">
        <v>2787</v>
      </c>
      <c r="P829" s="242" t="s">
        <v>2788</v>
      </c>
      <c r="Q829" s="242" t="s">
        <v>1438</v>
      </c>
      <c r="R829" s="242" t="s">
        <v>1552</v>
      </c>
      <c r="S829" s="242" t="s">
        <v>71</v>
      </c>
      <c r="T829" s="244"/>
      <c r="U829" s="244"/>
      <c r="V829" s="244"/>
      <c r="W829" s="244"/>
      <c r="X829" s="242" t="s">
        <v>2789</v>
      </c>
      <c r="Y829" s="244"/>
      <c r="Z829" s="244"/>
      <c r="AA829" s="244"/>
      <c r="AB829" s="244"/>
      <c r="AC829" s="244"/>
      <c r="AD829" s="244"/>
      <c r="AE829" s="244"/>
      <c r="AF829" s="244"/>
      <c r="AG829" s="244"/>
      <c r="AH829" s="244"/>
      <c r="AI829" s="244"/>
      <c r="AJ829" s="244"/>
      <c r="AK829" s="242" t="s">
        <v>2790</v>
      </c>
      <c r="AL829" s="244"/>
      <c r="AM829" s="244"/>
      <c r="AN829" s="244"/>
      <c r="AO829" s="244"/>
      <c r="AP829" s="244"/>
    </row>
    <row r="830">
      <c r="A830" s="242" t="s">
        <v>36</v>
      </c>
      <c r="B830" s="243">
        <v>45885.70374170139</v>
      </c>
      <c r="C830" s="242" t="s">
        <v>123</v>
      </c>
      <c r="D830" s="242" t="s">
        <v>124</v>
      </c>
      <c r="E830" s="242" t="s">
        <v>52</v>
      </c>
      <c r="F830" s="242" t="s">
        <v>40</v>
      </c>
      <c r="G830" s="242" t="s">
        <v>54</v>
      </c>
      <c r="H830" s="242" t="s">
        <v>625</v>
      </c>
      <c r="I830" s="242">
        <v>225.0</v>
      </c>
      <c r="J830" s="242" t="s">
        <v>194</v>
      </c>
      <c r="K830" s="244"/>
      <c r="L830" s="247" t="s">
        <v>2791</v>
      </c>
      <c r="M830" s="242" t="s">
        <v>71</v>
      </c>
      <c r="N830" s="242" t="s">
        <v>68</v>
      </c>
      <c r="O830" s="242" t="s">
        <v>1522</v>
      </c>
      <c r="P830" s="246" t="s">
        <v>2792</v>
      </c>
      <c r="Q830" s="242" t="s">
        <v>1438</v>
      </c>
      <c r="R830" s="242" t="s">
        <v>1552</v>
      </c>
      <c r="S830" s="242" t="s">
        <v>71</v>
      </c>
      <c r="T830" s="242" t="s">
        <v>2793</v>
      </c>
      <c r="U830" s="244"/>
      <c r="V830" s="244"/>
      <c r="W830" s="244"/>
      <c r="X830" s="244"/>
      <c r="Y830" s="244"/>
      <c r="Z830" s="244"/>
      <c r="AA830" s="244"/>
      <c r="AB830" s="244"/>
      <c r="AC830" s="244"/>
      <c r="AD830" s="244"/>
      <c r="AE830" s="244"/>
      <c r="AF830" s="244"/>
      <c r="AG830" s="244"/>
      <c r="AH830" s="244"/>
      <c r="AI830" s="244"/>
      <c r="AJ830" s="244"/>
      <c r="AK830" s="242" t="s">
        <v>2794</v>
      </c>
      <c r="AL830" s="244"/>
      <c r="AM830" s="244"/>
      <c r="AN830" s="244"/>
      <c r="AO830" s="244"/>
      <c r="AP830" s="244"/>
    </row>
    <row r="831">
      <c r="A831" s="242" t="s">
        <v>36</v>
      </c>
      <c r="B831" s="243">
        <v>45887.41286069444</v>
      </c>
      <c r="C831" s="242" t="s">
        <v>231</v>
      </c>
      <c r="D831" s="242" t="s">
        <v>51</v>
      </c>
      <c r="E831" s="242" t="s">
        <v>52</v>
      </c>
      <c r="F831" s="242" t="s">
        <v>40</v>
      </c>
      <c r="G831" s="242" t="s">
        <v>54</v>
      </c>
      <c r="H831" s="242" t="s">
        <v>607</v>
      </c>
      <c r="I831" s="242">
        <v>295.0</v>
      </c>
      <c r="J831" s="242" t="s">
        <v>184</v>
      </c>
      <c r="K831" s="244"/>
      <c r="L831" s="242" t="s">
        <v>1433</v>
      </c>
      <c r="M831" s="242" t="s">
        <v>71</v>
      </c>
      <c r="N831" s="242" t="s">
        <v>96</v>
      </c>
      <c r="O831" s="242" t="s">
        <v>1018</v>
      </c>
      <c r="P831" s="246" t="s">
        <v>2795</v>
      </c>
      <c r="Q831" s="242" t="s">
        <v>1438</v>
      </c>
      <c r="R831" s="242" t="s">
        <v>1552</v>
      </c>
      <c r="S831" s="242" t="s">
        <v>1557</v>
      </c>
      <c r="T831" s="244"/>
      <c r="U831" s="244"/>
      <c r="V831" s="244"/>
      <c r="W831" s="244"/>
      <c r="X831" s="244"/>
      <c r="Y831" s="244"/>
      <c r="Z831" s="244"/>
      <c r="AA831" s="244"/>
      <c r="AB831" s="244"/>
      <c r="AC831" s="244"/>
      <c r="AD831" s="244"/>
      <c r="AE831" s="244"/>
      <c r="AF831" s="244"/>
      <c r="AG831" s="244"/>
      <c r="AH831" s="244"/>
      <c r="AI831" s="244"/>
      <c r="AJ831" s="244"/>
      <c r="AK831" s="242" t="s">
        <v>2794</v>
      </c>
      <c r="AL831" s="244"/>
      <c r="AM831" s="244"/>
      <c r="AN831" s="244"/>
      <c r="AO831" s="244"/>
      <c r="AP831" s="244"/>
    </row>
    <row r="832">
      <c r="A832" s="242" t="s">
        <v>36</v>
      </c>
      <c r="B832" s="243">
        <v>45887.70753230324</v>
      </c>
      <c r="C832" s="242" t="s">
        <v>188</v>
      </c>
      <c r="D832" s="242" t="s">
        <v>142</v>
      </c>
      <c r="E832" s="242" t="s">
        <v>52</v>
      </c>
      <c r="F832" s="242" t="s">
        <v>65</v>
      </c>
      <c r="G832" s="242" t="s">
        <v>41</v>
      </c>
      <c r="H832" s="242" t="s">
        <v>992</v>
      </c>
      <c r="I832" s="242">
        <v>74.99</v>
      </c>
      <c r="J832" s="242" t="s">
        <v>189</v>
      </c>
      <c r="K832" s="247" t="s">
        <v>2796</v>
      </c>
      <c r="L832" s="242" t="s">
        <v>2797</v>
      </c>
      <c r="M832" s="242" t="s">
        <v>71</v>
      </c>
      <c r="N832" s="242" t="s">
        <v>68</v>
      </c>
      <c r="O832" s="242" t="s">
        <v>1009</v>
      </c>
      <c r="P832" s="242" t="s">
        <v>2798</v>
      </c>
      <c r="Q832" s="242" t="s">
        <v>1438</v>
      </c>
      <c r="R832" s="242" t="s">
        <v>1552</v>
      </c>
      <c r="S832" s="242" t="s">
        <v>71</v>
      </c>
      <c r="T832" s="242" t="s">
        <v>2799</v>
      </c>
      <c r="U832" s="244"/>
      <c r="V832" s="244"/>
      <c r="W832" s="244"/>
      <c r="X832" s="242" t="s">
        <v>1433</v>
      </c>
      <c r="Y832" s="244"/>
      <c r="Z832" s="244"/>
      <c r="AA832" s="244"/>
      <c r="AB832" s="244"/>
      <c r="AC832" s="244"/>
      <c r="AD832" s="244"/>
      <c r="AE832" s="244"/>
      <c r="AF832" s="244"/>
      <c r="AG832" s="244"/>
      <c r="AH832" s="244"/>
      <c r="AI832" s="244"/>
      <c r="AJ832" s="244"/>
      <c r="AK832" s="242" t="s">
        <v>2794</v>
      </c>
      <c r="AL832" s="244"/>
      <c r="AM832" s="244"/>
      <c r="AN832" s="244"/>
      <c r="AO832" s="244"/>
      <c r="AP832" s="244"/>
    </row>
    <row r="833">
      <c r="A833" s="242" t="s">
        <v>36</v>
      </c>
      <c r="B833" s="243">
        <v>45888.428660949074</v>
      </c>
      <c r="C833" s="242" t="s">
        <v>436</v>
      </c>
      <c r="D833" s="242" t="s">
        <v>51</v>
      </c>
      <c r="E833" s="242" t="s">
        <v>52</v>
      </c>
      <c r="F833" s="242" t="s">
        <v>65</v>
      </c>
      <c r="G833" s="242" t="s">
        <v>54</v>
      </c>
      <c r="H833" s="242" t="s">
        <v>625</v>
      </c>
      <c r="I833" s="242">
        <v>197.0</v>
      </c>
      <c r="J833" s="242" t="s">
        <v>100</v>
      </c>
      <c r="K833" s="244"/>
      <c r="L833" s="247" t="s">
        <v>2800</v>
      </c>
      <c r="M833" s="242" t="s">
        <v>71</v>
      </c>
      <c r="N833" s="242" t="s">
        <v>96</v>
      </c>
      <c r="O833" s="242" t="s">
        <v>1050</v>
      </c>
      <c r="P833" s="246" t="s">
        <v>2801</v>
      </c>
      <c r="Q833" s="242" t="s">
        <v>1438</v>
      </c>
      <c r="R833" s="242" t="s">
        <v>1552</v>
      </c>
      <c r="S833" s="242" t="s">
        <v>71</v>
      </c>
      <c r="T833" s="244"/>
      <c r="U833" s="244"/>
      <c r="V833" s="244"/>
      <c r="W833" s="244"/>
      <c r="X833" s="244"/>
      <c r="Y833" s="244"/>
      <c r="Z833" s="244"/>
      <c r="AA833" s="244"/>
      <c r="AB833" s="244"/>
      <c r="AC833" s="244"/>
      <c r="AD833" s="244"/>
      <c r="AE833" s="244"/>
      <c r="AF833" s="244"/>
      <c r="AG833" s="244"/>
      <c r="AH833" s="244"/>
      <c r="AI833" s="244"/>
      <c r="AJ833" s="244"/>
      <c r="AK833" s="242" t="s">
        <v>2794</v>
      </c>
      <c r="AL833" s="244"/>
      <c r="AM833" s="244"/>
      <c r="AN833" s="244"/>
      <c r="AO833" s="244"/>
      <c r="AP833" s="244"/>
    </row>
    <row r="834">
      <c r="A834" s="242" t="s">
        <v>36</v>
      </c>
      <c r="B834" s="243">
        <v>45888.42925318287</v>
      </c>
      <c r="C834" s="242" t="s">
        <v>436</v>
      </c>
      <c r="D834" s="242" t="s">
        <v>51</v>
      </c>
      <c r="E834" s="242" t="s">
        <v>52</v>
      </c>
      <c r="F834" s="242" t="s">
        <v>65</v>
      </c>
      <c r="G834" s="242" t="s">
        <v>54</v>
      </c>
      <c r="H834" s="242" t="s">
        <v>625</v>
      </c>
      <c r="I834" s="242">
        <v>59.0</v>
      </c>
      <c r="J834" s="242" t="s">
        <v>100</v>
      </c>
      <c r="K834" s="244"/>
      <c r="L834" s="247" t="s">
        <v>2802</v>
      </c>
      <c r="M834" s="242" t="s">
        <v>71</v>
      </c>
      <c r="N834" s="242" t="s">
        <v>96</v>
      </c>
      <c r="O834" s="242" t="s">
        <v>1050</v>
      </c>
      <c r="P834" s="246" t="s">
        <v>2801</v>
      </c>
      <c r="Q834" s="242" t="s">
        <v>1438</v>
      </c>
      <c r="R834" s="242" t="s">
        <v>1552</v>
      </c>
      <c r="S834" s="242" t="s">
        <v>71</v>
      </c>
      <c r="T834" s="244"/>
      <c r="U834" s="244"/>
      <c r="V834" s="244"/>
      <c r="W834" s="244"/>
      <c r="X834" s="244"/>
      <c r="Y834" s="244"/>
      <c r="Z834" s="244"/>
      <c r="AA834" s="244"/>
      <c r="AB834" s="244"/>
      <c r="AC834" s="244"/>
      <c r="AD834" s="244"/>
      <c r="AE834" s="244"/>
      <c r="AF834" s="244"/>
      <c r="AG834" s="244"/>
      <c r="AH834" s="244"/>
      <c r="AI834" s="244"/>
      <c r="AJ834" s="244"/>
      <c r="AK834" s="242" t="s">
        <v>2794</v>
      </c>
      <c r="AL834" s="244"/>
      <c r="AM834" s="244"/>
      <c r="AN834" s="244"/>
      <c r="AO834" s="244"/>
      <c r="AP834" s="244"/>
    </row>
    <row r="835">
      <c r="A835" s="242" t="s">
        <v>36</v>
      </c>
      <c r="B835" s="243">
        <v>45888.60940497685</v>
      </c>
      <c r="C835" s="242" t="s">
        <v>2803</v>
      </c>
      <c r="D835" s="242" t="s">
        <v>142</v>
      </c>
      <c r="E835" s="242" t="s">
        <v>52</v>
      </c>
      <c r="F835" s="242" t="s">
        <v>65</v>
      </c>
      <c r="G835" s="242" t="s">
        <v>54</v>
      </c>
      <c r="H835" s="242" t="s">
        <v>625</v>
      </c>
      <c r="I835" s="242" t="s">
        <v>2804</v>
      </c>
      <c r="J835" s="242" t="s">
        <v>184</v>
      </c>
      <c r="K835" s="247" t="s">
        <v>2805</v>
      </c>
      <c r="L835" s="242" t="s">
        <v>2806</v>
      </c>
      <c r="M835" s="242" t="s">
        <v>71</v>
      </c>
      <c r="N835" s="242" t="s">
        <v>96</v>
      </c>
      <c r="O835" s="242" t="s">
        <v>2807</v>
      </c>
      <c r="P835" s="246" t="s">
        <v>2808</v>
      </c>
      <c r="Q835" s="242" t="s">
        <v>1438</v>
      </c>
      <c r="R835" s="242" t="s">
        <v>1552</v>
      </c>
      <c r="S835" s="242" t="s">
        <v>1557</v>
      </c>
      <c r="T835" s="242" t="s">
        <v>2809</v>
      </c>
      <c r="U835" s="244"/>
      <c r="V835" s="244"/>
      <c r="W835" s="244"/>
      <c r="X835" s="244"/>
      <c r="Y835" s="244"/>
      <c r="Z835" s="244"/>
      <c r="AA835" s="244"/>
      <c r="AB835" s="244"/>
      <c r="AC835" s="244"/>
      <c r="AD835" s="244"/>
      <c r="AE835" s="244"/>
      <c r="AF835" s="244"/>
      <c r="AG835" s="244"/>
      <c r="AH835" s="244"/>
      <c r="AI835" s="244"/>
      <c r="AJ835" s="244"/>
      <c r="AK835" s="242" t="s">
        <v>2810</v>
      </c>
      <c r="AL835" s="244"/>
      <c r="AM835" s="244"/>
      <c r="AN835" s="244"/>
      <c r="AO835" s="244"/>
      <c r="AP835" s="244"/>
    </row>
    <row r="836">
      <c r="A836" s="242" t="s">
        <v>36</v>
      </c>
      <c r="B836" s="243">
        <v>45890.131725520834</v>
      </c>
      <c r="C836" s="242" t="s">
        <v>2811</v>
      </c>
      <c r="D836" s="242" t="s">
        <v>51</v>
      </c>
      <c r="E836" s="242" t="s">
        <v>52</v>
      </c>
      <c r="F836" s="242" t="s">
        <v>40</v>
      </c>
      <c r="G836" s="242" t="s">
        <v>41</v>
      </c>
      <c r="H836" s="242" t="s">
        <v>679</v>
      </c>
      <c r="I836" s="242" t="s">
        <v>2812</v>
      </c>
      <c r="J836" s="242" t="s">
        <v>100</v>
      </c>
      <c r="K836" s="244"/>
      <c r="L836" s="242" t="s">
        <v>1133</v>
      </c>
      <c r="M836" s="242" t="s">
        <v>71</v>
      </c>
      <c r="N836" s="242" t="s">
        <v>96</v>
      </c>
      <c r="O836" s="242" t="s">
        <v>2813</v>
      </c>
      <c r="P836" s="242" t="s">
        <v>2814</v>
      </c>
      <c r="Q836" s="242" t="s">
        <v>1438</v>
      </c>
      <c r="R836" s="242" t="s">
        <v>1552</v>
      </c>
      <c r="S836" s="242" t="s">
        <v>1621</v>
      </c>
      <c r="T836" s="244"/>
      <c r="U836" s="242" t="s">
        <v>2815</v>
      </c>
      <c r="V836" s="242" t="s">
        <v>2213</v>
      </c>
      <c r="W836" s="242">
        <v>2.0</v>
      </c>
      <c r="X836" s="244"/>
      <c r="Y836" s="244"/>
      <c r="Z836" s="244"/>
      <c r="AA836" s="244"/>
      <c r="AB836" s="244"/>
      <c r="AC836" s="244"/>
      <c r="AD836" s="244"/>
      <c r="AE836" s="244"/>
      <c r="AF836" s="244"/>
      <c r="AG836" s="244"/>
      <c r="AH836" s="244"/>
      <c r="AI836" s="244"/>
      <c r="AJ836" s="244"/>
      <c r="AK836" s="242" t="s">
        <v>2810</v>
      </c>
      <c r="AL836" s="244"/>
      <c r="AM836" s="244"/>
      <c r="AN836" s="244"/>
      <c r="AO836" s="244"/>
      <c r="AP836" s="244"/>
    </row>
    <row r="837">
      <c r="A837" s="242" t="s">
        <v>36</v>
      </c>
      <c r="B837" s="243">
        <v>45891.64186135417</v>
      </c>
      <c r="C837" s="242" t="s">
        <v>188</v>
      </c>
      <c r="D837" s="242" t="s">
        <v>142</v>
      </c>
      <c r="E837" s="242" t="s">
        <v>52</v>
      </c>
      <c r="F837" s="242" t="s">
        <v>65</v>
      </c>
      <c r="G837" s="242" t="s">
        <v>41</v>
      </c>
      <c r="H837" s="242" t="s">
        <v>607</v>
      </c>
      <c r="I837" s="242">
        <v>286.0</v>
      </c>
      <c r="J837" s="242" t="s">
        <v>189</v>
      </c>
      <c r="K837" s="247" t="s">
        <v>2816</v>
      </c>
      <c r="L837" s="242" t="s">
        <v>2158</v>
      </c>
      <c r="M837" s="242" t="s">
        <v>71</v>
      </c>
      <c r="N837" s="242" t="s">
        <v>68</v>
      </c>
      <c r="O837" s="242" t="s">
        <v>1009</v>
      </c>
      <c r="P837" s="242" t="s">
        <v>2817</v>
      </c>
      <c r="Q837" s="242" t="s">
        <v>1438</v>
      </c>
      <c r="R837" s="242" t="s">
        <v>1552</v>
      </c>
      <c r="S837" s="242" t="s">
        <v>1557</v>
      </c>
      <c r="T837" s="242" t="s">
        <v>2158</v>
      </c>
      <c r="U837" s="244"/>
      <c r="V837" s="244"/>
      <c r="W837" s="244"/>
      <c r="X837" s="242" t="s">
        <v>1433</v>
      </c>
      <c r="Y837" s="244"/>
      <c r="Z837" s="244"/>
      <c r="AA837" s="244"/>
      <c r="AB837" s="244"/>
      <c r="AC837" s="244"/>
      <c r="AD837" s="244"/>
      <c r="AE837" s="244"/>
      <c r="AF837" s="244"/>
      <c r="AG837" s="244"/>
      <c r="AH837" s="244"/>
      <c r="AI837" s="244"/>
      <c r="AJ837" s="244"/>
      <c r="AK837" s="242" t="s">
        <v>2810</v>
      </c>
      <c r="AL837" s="244"/>
      <c r="AM837" s="244"/>
      <c r="AN837" s="244"/>
      <c r="AO837" s="244"/>
      <c r="AP837" s="244"/>
    </row>
    <row r="838">
      <c r="A838" s="242" t="s">
        <v>36</v>
      </c>
      <c r="B838" s="243">
        <v>45895.37080457176</v>
      </c>
      <c r="C838" s="242" t="s">
        <v>2818</v>
      </c>
      <c r="D838" s="242" t="s">
        <v>105</v>
      </c>
      <c r="E838" s="242" t="s">
        <v>52</v>
      </c>
      <c r="F838" s="242" t="s">
        <v>65</v>
      </c>
      <c r="G838" s="242" t="s">
        <v>54</v>
      </c>
      <c r="H838" s="242" t="s">
        <v>607</v>
      </c>
      <c r="I838" s="242">
        <v>348.99</v>
      </c>
      <c r="J838" s="242" t="s">
        <v>1033</v>
      </c>
      <c r="K838" s="244"/>
      <c r="L838" s="242" t="s">
        <v>2819</v>
      </c>
      <c r="M838" s="242" t="s">
        <v>71</v>
      </c>
      <c r="N838" s="242" t="s">
        <v>96</v>
      </c>
      <c r="O838" s="242" t="s">
        <v>2820</v>
      </c>
      <c r="P838" s="242" t="s">
        <v>2821</v>
      </c>
      <c r="Q838" s="242" t="s">
        <v>1438</v>
      </c>
      <c r="R838" s="242" t="s">
        <v>1552</v>
      </c>
      <c r="S838" s="242" t="s">
        <v>71</v>
      </c>
      <c r="T838" s="244"/>
      <c r="U838" s="244"/>
      <c r="V838" s="244"/>
      <c r="W838" s="244"/>
      <c r="X838" s="242" t="s">
        <v>1433</v>
      </c>
      <c r="Y838" s="244"/>
      <c r="Z838" s="244"/>
      <c r="AA838" s="244"/>
      <c r="AB838" s="244"/>
      <c r="AC838" s="244"/>
      <c r="AD838" s="244"/>
      <c r="AE838" s="244"/>
      <c r="AF838" s="244"/>
      <c r="AG838" s="244"/>
      <c r="AH838" s="244"/>
      <c r="AI838" s="244"/>
      <c r="AJ838" s="244"/>
      <c r="AK838" s="242" t="s">
        <v>2822</v>
      </c>
      <c r="AL838" s="244"/>
      <c r="AM838" s="244"/>
      <c r="AN838" s="244"/>
      <c r="AO838" s="244"/>
      <c r="AP838" s="244"/>
    </row>
    <row r="839">
      <c r="A839" s="242" t="s">
        <v>36</v>
      </c>
      <c r="B839" s="243">
        <v>45895.42758693287</v>
      </c>
      <c r="C839" s="242" t="s">
        <v>2388</v>
      </c>
      <c r="D839" s="242" t="s">
        <v>109</v>
      </c>
      <c r="E839" s="242" t="s">
        <v>138</v>
      </c>
      <c r="F839" s="242" t="s">
        <v>65</v>
      </c>
      <c r="G839" s="242" t="s">
        <v>131</v>
      </c>
      <c r="H839" s="242" t="s">
        <v>625</v>
      </c>
      <c r="I839" s="242" t="s">
        <v>2823</v>
      </c>
      <c r="J839" s="242" t="s">
        <v>514</v>
      </c>
      <c r="K839" s="245" t="s">
        <v>2824</v>
      </c>
      <c r="L839" s="242" t="s">
        <v>2825</v>
      </c>
      <c r="M839" s="242" t="s">
        <v>71</v>
      </c>
      <c r="N839" s="242" t="s">
        <v>96</v>
      </c>
      <c r="O839" s="242" t="s">
        <v>2390</v>
      </c>
      <c r="P839" s="242" t="s">
        <v>2826</v>
      </c>
      <c r="Q839" s="242" t="s">
        <v>1471</v>
      </c>
      <c r="R839" s="242" t="s">
        <v>1552</v>
      </c>
      <c r="S839" s="242" t="s">
        <v>71</v>
      </c>
      <c r="T839" s="244"/>
      <c r="U839" s="244"/>
      <c r="V839" s="242" t="s">
        <v>2827</v>
      </c>
      <c r="W839" s="242">
        <v>1.0</v>
      </c>
      <c r="X839" s="242">
        <v>1.0</v>
      </c>
      <c r="Y839" s="244"/>
      <c r="Z839" s="244"/>
      <c r="AA839" s="244"/>
      <c r="AB839" s="244"/>
      <c r="AC839" s="244"/>
      <c r="AD839" s="244"/>
      <c r="AE839" s="244"/>
      <c r="AF839" s="244"/>
      <c r="AG839" s="244"/>
      <c r="AH839" s="244"/>
      <c r="AI839" s="244"/>
      <c r="AJ839" s="244"/>
      <c r="AK839" s="242" t="s">
        <v>2822</v>
      </c>
      <c r="AL839" s="244"/>
      <c r="AM839" s="244"/>
      <c r="AN839" s="244"/>
      <c r="AO839" s="244"/>
      <c r="AP839" s="244"/>
    </row>
    <row r="840">
      <c r="A840" s="242" t="s">
        <v>36</v>
      </c>
      <c r="B840" s="243">
        <v>45895.518846377316</v>
      </c>
      <c r="C840" s="242" t="s">
        <v>673</v>
      </c>
      <c r="D840" s="242" t="s">
        <v>142</v>
      </c>
      <c r="E840" s="242" t="s">
        <v>138</v>
      </c>
      <c r="F840" s="242" t="s">
        <v>65</v>
      </c>
      <c r="G840" s="242" t="s">
        <v>131</v>
      </c>
      <c r="H840" s="242" t="s">
        <v>607</v>
      </c>
      <c r="I840" s="242">
        <v>165.0</v>
      </c>
      <c r="J840" s="242" t="s">
        <v>48</v>
      </c>
      <c r="K840" s="247" t="s">
        <v>2828</v>
      </c>
      <c r="L840" s="242" t="s">
        <v>2829</v>
      </c>
      <c r="M840" s="242" t="s">
        <v>71</v>
      </c>
      <c r="N840" s="242" t="s">
        <v>96</v>
      </c>
      <c r="O840" s="242" t="s">
        <v>2830</v>
      </c>
      <c r="P840" s="246" t="s">
        <v>2831</v>
      </c>
      <c r="Q840" s="242" t="s">
        <v>1438</v>
      </c>
      <c r="R840" s="242" t="s">
        <v>1552</v>
      </c>
      <c r="S840" s="242" t="s">
        <v>71</v>
      </c>
      <c r="T840" s="242" t="s">
        <v>2832</v>
      </c>
      <c r="U840" s="242" t="s">
        <v>736</v>
      </c>
      <c r="V840" s="242" t="s">
        <v>736</v>
      </c>
      <c r="W840" s="242" t="s">
        <v>736</v>
      </c>
      <c r="X840" s="242" t="s">
        <v>736</v>
      </c>
      <c r="Y840" s="244"/>
      <c r="Z840" s="244"/>
      <c r="AA840" s="244"/>
      <c r="AB840" s="244"/>
      <c r="AC840" s="244"/>
      <c r="AD840" s="244"/>
      <c r="AE840" s="244"/>
      <c r="AF840" s="244"/>
      <c r="AG840" s="244"/>
      <c r="AH840" s="244"/>
      <c r="AI840" s="244"/>
      <c r="AJ840" s="244"/>
      <c r="AK840" s="242" t="s">
        <v>2822</v>
      </c>
      <c r="AL840" s="244"/>
      <c r="AM840" s="244"/>
      <c r="AN840" s="244"/>
      <c r="AO840" s="244"/>
      <c r="AP840" s="244"/>
    </row>
    <row r="841">
      <c r="A841" s="242" t="s">
        <v>36</v>
      </c>
      <c r="B841" s="243">
        <v>45895.57946796296</v>
      </c>
      <c r="C841" s="242" t="s">
        <v>728</v>
      </c>
      <c r="D841" s="242" t="s">
        <v>51</v>
      </c>
      <c r="E841" s="242" t="s">
        <v>52</v>
      </c>
      <c r="F841" s="242" t="s">
        <v>210</v>
      </c>
      <c r="G841" s="242" t="s">
        <v>41</v>
      </c>
      <c r="H841" s="242" t="s">
        <v>833</v>
      </c>
      <c r="I841" s="242">
        <v>150.0</v>
      </c>
      <c r="J841" s="242" t="s">
        <v>82</v>
      </c>
      <c r="K841" s="244"/>
      <c r="L841" s="245" t="s">
        <v>2833</v>
      </c>
      <c r="M841" s="242" t="s">
        <v>71</v>
      </c>
      <c r="N841" s="242" t="s">
        <v>96</v>
      </c>
      <c r="O841" s="242" t="s">
        <v>2258</v>
      </c>
      <c r="P841" s="242" t="s">
        <v>2834</v>
      </c>
      <c r="Q841" s="242" t="s">
        <v>1438</v>
      </c>
      <c r="R841" s="242" t="s">
        <v>1552</v>
      </c>
      <c r="S841" s="242" t="s">
        <v>1557</v>
      </c>
      <c r="T841" s="242" t="s">
        <v>2835</v>
      </c>
      <c r="U841" s="244"/>
      <c r="V841" s="244"/>
      <c r="W841" s="244"/>
      <c r="X841" s="244"/>
      <c r="Y841" s="244"/>
      <c r="Z841" s="244"/>
      <c r="AA841" s="244"/>
      <c r="AB841" s="244"/>
      <c r="AC841" s="244"/>
      <c r="AD841" s="244"/>
      <c r="AE841" s="244"/>
      <c r="AF841" s="244"/>
      <c r="AG841" s="244"/>
      <c r="AH841" s="244"/>
      <c r="AI841" s="244"/>
      <c r="AJ841" s="244"/>
      <c r="AK841" s="242" t="s">
        <v>2822</v>
      </c>
      <c r="AL841" s="244"/>
      <c r="AM841" s="244"/>
      <c r="AN841" s="244"/>
      <c r="AO841" s="244"/>
      <c r="AP841" s="244"/>
    </row>
    <row r="842">
      <c r="A842" s="242" t="s">
        <v>36</v>
      </c>
      <c r="B842" s="243">
        <v>45895.6664924537</v>
      </c>
      <c r="C842" s="242" t="s">
        <v>333</v>
      </c>
      <c r="D842" s="242" t="s">
        <v>38</v>
      </c>
      <c r="E842" s="242" t="s">
        <v>40</v>
      </c>
      <c r="F842" s="242" t="s">
        <v>40</v>
      </c>
      <c r="G842" s="242" t="s">
        <v>41</v>
      </c>
      <c r="H842" s="242" t="s">
        <v>833</v>
      </c>
      <c r="I842" s="266">
        <v>1200.0</v>
      </c>
      <c r="J842" s="242" t="s">
        <v>102</v>
      </c>
      <c r="K842" s="244"/>
      <c r="L842" s="247" t="s">
        <v>2836</v>
      </c>
      <c r="M842" s="242" t="s">
        <v>71</v>
      </c>
      <c r="N842" s="242" t="s">
        <v>96</v>
      </c>
      <c r="O842" s="242" t="s">
        <v>1289</v>
      </c>
      <c r="P842" s="242" t="s">
        <v>2837</v>
      </c>
      <c r="Q842" s="242" t="s">
        <v>1438</v>
      </c>
      <c r="R842" s="242" t="s">
        <v>1552</v>
      </c>
      <c r="S842" s="242" t="s">
        <v>1557</v>
      </c>
      <c r="T842" s="242" t="s">
        <v>2838</v>
      </c>
      <c r="U842" s="244"/>
      <c r="V842" s="244"/>
      <c r="W842" s="244"/>
      <c r="X842" s="244"/>
      <c r="Y842" s="244"/>
      <c r="Z842" s="244"/>
      <c r="AA842" s="244"/>
      <c r="AB842" s="244"/>
      <c r="AC842" s="244"/>
      <c r="AD842" s="244"/>
      <c r="AE842" s="244"/>
      <c r="AF842" s="244"/>
      <c r="AG842" s="244"/>
      <c r="AH842" s="244"/>
      <c r="AI842" s="244"/>
      <c r="AJ842" s="244"/>
      <c r="AK842" s="242" t="s">
        <v>2822</v>
      </c>
      <c r="AL842" s="244"/>
      <c r="AM842" s="244"/>
      <c r="AN842" s="244"/>
      <c r="AO842" s="244"/>
      <c r="AP842" s="244"/>
    </row>
    <row r="843" ht="18.75" customHeight="1">
      <c r="A843" s="242" t="s">
        <v>36</v>
      </c>
      <c r="B843" s="243">
        <v>45896.45398464121</v>
      </c>
      <c r="C843" s="242" t="s">
        <v>368</v>
      </c>
      <c r="D843" s="242" t="s">
        <v>142</v>
      </c>
      <c r="E843" s="242" t="s">
        <v>52</v>
      </c>
      <c r="F843" s="242" t="s">
        <v>40</v>
      </c>
      <c r="G843" s="242" t="s">
        <v>54</v>
      </c>
      <c r="H843" s="242" t="s">
        <v>625</v>
      </c>
      <c r="I843" s="242">
        <v>1130.0</v>
      </c>
      <c r="J843" s="242" t="s">
        <v>102</v>
      </c>
      <c r="K843" s="244"/>
      <c r="L843" s="247" t="s">
        <v>2839</v>
      </c>
      <c r="M843" s="242" t="s">
        <v>71</v>
      </c>
      <c r="N843" s="242" t="s">
        <v>96</v>
      </c>
      <c r="O843" s="242" t="s">
        <v>1501</v>
      </c>
      <c r="P843" s="246" t="s">
        <v>2840</v>
      </c>
      <c r="Q843" s="242" t="s">
        <v>1438</v>
      </c>
      <c r="R843" s="242" t="s">
        <v>1552</v>
      </c>
      <c r="S843" s="242" t="s">
        <v>71</v>
      </c>
      <c r="T843" s="244"/>
      <c r="U843" s="244"/>
      <c r="V843" s="244"/>
      <c r="W843" s="244"/>
      <c r="X843" s="242">
        <v>1.0</v>
      </c>
      <c r="Y843" s="244"/>
      <c r="Z843" s="244"/>
      <c r="AA843" s="244"/>
      <c r="AB843" s="244"/>
      <c r="AC843" s="244"/>
      <c r="AD843" s="244"/>
      <c r="AE843" s="244"/>
      <c r="AF843" s="244"/>
      <c r="AG843" s="244"/>
      <c r="AH843" s="244"/>
      <c r="AI843" s="244"/>
      <c r="AJ843" s="244"/>
      <c r="AK843" s="242" t="s">
        <v>2822</v>
      </c>
      <c r="AL843" s="244"/>
      <c r="AM843" s="244"/>
      <c r="AN843" s="244"/>
      <c r="AO843" s="244"/>
      <c r="AP843" s="244"/>
    </row>
    <row r="844" ht="18.0" customHeight="1">
      <c r="A844" s="242" t="s">
        <v>36</v>
      </c>
      <c r="B844" s="243">
        <v>45896.48137246528</v>
      </c>
      <c r="C844" s="242" t="s">
        <v>368</v>
      </c>
      <c r="D844" s="242" t="s">
        <v>142</v>
      </c>
      <c r="E844" s="242" t="s">
        <v>52</v>
      </c>
      <c r="F844" s="242" t="s">
        <v>40</v>
      </c>
      <c r="G844" s="242" t="s">
        <v>54</v>
      </c>
      <c r="H844" s="242" t="s">
        <v>625</v>
      </c>
      <c r="I844" s="242" t="s">
        <v>2841</v>
      </c>
      <c r="J844" s="242" t="s">
        <v>102</v>
      </c>
      <c r="K844" s="244"/>
      <c r="L844" s="247" t="s">
        <v>2842</v>
      </c>
      <c r="M844" s="242" t="s">
        <v>71</v>
      </c>
      <c r="N844" s="242" t="s">
        <v>96</v>
      </c>
      <c r="O844" s="242" t="s">
        <v>1501</v>
      </c>
      <c r="P844" s="242" t="s">
        <v>2843</v>
      </c>
      <c r="Q844" s="242" t="s">
        <v>1438</v>
      </c>
      <c r="R844" s="242" t="s">
        <v>1552</v>
      </c>
      <c r="S844" s="242" t="s">
        <v>1621</v>
      </c>
      <c r="T844" s="242" t="s">
        <v>2844</v>
      </c>
      <c r="U844" s="244"/>
      <c r="V844" s="244"/>
      <c r="W844" s="244"/>
      <c r="X844" s="244"/>
      <c r="Y844" s="244"/>
      <c r="Z844" s="244"/>
      <c r="AA844" s="244"/>
      <c r="AB844" s="244"/>
      <c r="AC844" s="244"/>
      <c r="AD844" s="244"/>
      <c r="AE844" s="244"/>
      <c r="AF844" s="244"/>
      <c r="AG844" s="244"/>
      <c r="AH844" s="244"/>
      <c r="AI844" s="244"/>
      <c r="AJ844" s="244"/>
      <c r="AK844" s="242" t="s">
        <v>2822</v>
      </c>
      <c r="AL844" s="244"/>
      <c r="AM844" s="244"/>
      <c r="AN844" s="244"/>
      <c r="AO844" s="244"/>
      <c r="AP844" s="244"/>
    </row>
    <row r="845">
      <c r="A845" s="242" t="s">
        <v>36</v>
      </c>
      <c r="B845" s="243">
        <v>45896.617868807865</v>
      </c>
      <c r="C845" s="242" t="s">
        <v>2845</v>
      </c>
      <c r="D845" s="242" t="s">
        <v>2846</v>
      </c>
      <c r="E845" s="242" t="s">
        <v>52</v>
      </c>
      <c r="F845" s="242" t="s">
        <v>210</v>
      </c>
      <c r="G845" s="242" t="s">
        <v>54</v>
      </c>
      <c r="H845" s="242" t="s">
        <v>607</v>
      </c>
      <c r="I845" s="242">
        <v>165.0</v>
      </c>
      <c r="J845" s="242" t="s">
        <v>1033</v>
      </c>
      <c r="K845" s="247" t="s">
        <v>2847</v>
      </c>
      <c r="L845" s="247" t="s">
        <v>2848</v>
      </c>
      <c r="M845" s="242" t="s">
        <v>71</v>
      </c>
      <c r="N845" s="242" t="s">
        <v>96</v>
      </c>
      <c r="O845" s="242" t="s">
        <v>2849</v>
      </c>
      <c r="P845" s="246" t="s">
        <v>2850</v>
      </c>
      <c r="Q845" s="242" t="s">
        <v>1438</v>
      </c>
      <c r="R845" s="242" t="s">
        <v>1552</v>
      </c>
      <c r="S845" s="242" t="s">
        <v>1557</v>
      </c>
      <c r="T845" s="242" t="s">
        <v>736</v>
      </c>
      <c r="U845" s="244"/>
      <c r="V845" s="244"/>
      <c r="W845" s="244"/>
      <c r="X845" s="242" t="s">
        <v>736</v>
      </c>
      <c r="Y845" s="244"/>
      <c r="Z845" s="244"/>
      <c r="AA845" s="244"/>
      <c r="AB845" s="244"/>
      <c r="AC845" s="244"/>
      <c r="AD845" s="244"/>
      <c r="AE845" s="244"/>
      <c r="AF845" s="244"/>
      <c r="AG845" s="244"/>
      <c r="AH845" s="244"/>
      <c r="AI845" s="244"/>
      <c r="AJ845" s="244"/>
      <c r="AK845" s="242" t="s">
        <v>2822</v>
      </c>
      <c r="AL845" s="244"/>
      <c r="AM845" s="244"/>
      <c r="AN845" s="244"/>
      <c r="AO845" s="244"/>
      <c r="AP845" s="244"/>
    </row>
    <row r="846">
      <c r="A846" s="242" t="s">
        <v>36</v>
      </c>
      <c r="B846" s="243">
        <v>45897.408262233796</v>
      </c>
      <c r="C846" s="242" t="s">
        <v>2851</v>
      </c>
      <c r="D846" s="242" t="s">
        <v>142</v>
      </c>
      <c r="E846" s="242" t="s">
        <v>138</v>
      </c>
      <c r="F846" s="242" t="s">
        <v>65</v>
      </c>
      <c r="G846" s="242" t="s">
        <v>54</v>
      </c>
      <c r="H846" s="242" t="s">
        <v>607</v>
      </c>
      <c r="I846" s="264">
        <v>275.0</v>
      </c>
      <c r="J846" s="242" t="s">
        <v>102</v>
      </c>
      <c r="K846" s="244"/>
      <c r="L846" s="242" t="s">
        <v>2852</v>
      </c>
      <c r="M846" s="242" t="s">
        <v>71</v>
      </c>
      <c r="N846" s="242" t="s">
        <v>96</v>
      </c>
      <c r="O846" s="242" t="s">
        <v>2853</v>
      </c>
      <c r="P846" s="244"/>
      <c r="Q846" s="242" t="s">
        <v>1438</v>
      </c>
      <c r="R846" s="242" t="s">
        <v>1552</v>
      </c>
      <c r="S846" s="242" t="s">
        <v>1557</v>
      </c>
      <c r="T846" s="242" t="s">
        <v>2854</v>
      </c>
      <c r="U846" s="244"/>
      <c r="V846" s="244"/>
      <c r="W846" s="244"/>
      <c r="X846" s="244"/>
      <c r="Y846" s="244"/>
      <c r="Z846" s="244"/>
      <c r="AA846" s="244"/>
      <c r="AB846" s="244"/>
      <c r="AC846" s="244"/>
      <c r="AD846" s="244"/>
      <c r="AE846" s="244"/>
      <c r="AF846" s="244"/>
      <c r="AG846" s="244"/>
      <c r="AH846" s="244"/>
      <c r="AI846" s="244"/>
      <c r="AJ846" s="244"/>
      <c r="AK846" s="242" t="s">
        <v>2822</v>
      </c>
      <c r="AL846" s="244"/>
      <c r="AM846" s="244"/>
      <c r="AN846" s="244"/>
      <c r="AO846" s="244"/>
      <c r="AP846" s="244"/>
    </row>
    <row r="847">
      <c r="A847" s="298" t="s">
        <v>190</v>
      </c>
      <c r="B847" s="299">
        <v>45897.514422002314</v>
      </c>
      <c r="C847" s="298" t="s">
        <v>2855</v>
      </c>
      <c r="D847" s="298" t="s">
        <v>51</v>
      </c>
      <c r="E847" s="298" t="s">
        <v>52</v>
      </c>
      <c r="F847" s="298" t="s">
        <v>80</v>
      </c>
      <c r="G847" s="298" t="s">
        <v>131</v>
      </c>
      <c r="H847" s="298" t="s">
        <v>625</v>
      </c>
      <c r="I847" s="298" t="s">
        <v>2856</v>
      </c>
      <c r="J847" s="298" t="s">
        <v>102</v>
      </c>
      <c r="K847" s="300"/>
      <c r="L847" s="298" t="s">
        <v>2857</v>
      </c>
      <c r="M847" s="298" t="s">
        <v>71</v>
      </c>
      <c r="N847" s="298" t="s">
        <v>96</v>
      </c>
      <c r="O847" s="298" t="s">
        <v>2858</v>
      </c>
      <c r="P847" s="298" t="s">
        <v>2859</v>
      </c>
      <c r="Q847" s="298" t="s">
        <v>1471</v>
      </c>
      <c r="R847" s="298" t="s">
        <v>1552</v>
      </c>
      <c r="S847" s="298" t="s">
        <v>71</v>
      </c>
      <c r="T847" s="300"/>
      <c r="U847" s="300"/>
      <c r="V847" s="300"/>
      <c r="W847" s="300"/>
      <c r="X847" s="300"/>
      <c r="Y847" s="300"/>
      <c r="Z847" s="300"/>
      <c r="AA847" s="300"/>
      <c r="AB847" s="300"/>
      <c r="AC847" s="300"/>
      <c r="AD847" s="300"/>
      <c r="AE847" s="300"/>
      <c r="AF847" s="300"/>
      <c r="AG847" s="300"/>
      <c r="AH847" s="300"/>
      <c r="AI847" s="300"/>
      <c r="AJ847" s="300"/>
      <c r="AK847" s="300"/>
      <c r="AL847" s="300"/>
      <c r="AM847" s="300"/>
      <c r="AN847" s="300"/>
      <c r="AO847" s="300"/>
      <c r="AP847" s="300"/>
    </row>
    <row r="848" ht="16.5" customHeight="1">
      <c r="A848" s="298" t="s">
        <v>190</v>
      </c>
      <c r="B848" s="299">
        <v>45897.538854722225</v>
      </c>
      <c r="C848" s="298" t="s">
        <v>240</v>
      </c>
      <c r="D848" s="298" t="s">
        <v>142</v>
      </c>
      <c r="E848" s="298" t="s">
        <v>241</v>
      </c>
      <c r="F848" s="298" t="s">
        <v>139</v>
      </c>
      <c r="G848" s="298" t="s">
        <v>54</v>
      </c>
      <c r="H848" s="298" t="s">
        <v>625</v>
      </c>
      <c r="I848" s="298">
        <v>1130.0</v>
      </c>
      <c r="J848" s="298" t="s">
        <v>102</v>
      </c>
      <c r="K848" s="300"/>
      <c r="L848" s="301" t="s">
        <v>2860</v>
      </c>
      <c r="M848" s="298" t="s">
        <v>71</v>
      </c>
      <c r="N848" s="298" t="s">
        <v>96</v>
      </c>
      <c r="O848" s="298" t="s">
        <v>1151</v>
      </c>
      <c r="P848" s="298" t="s">
        <v>2861</v>
      </c>
      <c r="Q848" s="298" t="s">
        <v>1438</v>
      </c>
      <c r="R848" s="298" t="s">
        <v>1552</v>
      </c>
      <c r="S848" s="298" t="s">
        <v>71</v>
      </c>
      <c r="T848" s="298" t="s">
        <v>2862</v>
      </c>
      <c r="U848" s="300"/>
      <c r="V848" s="300"/>
      <c r="W848" s="300"/>
      <c r="X848" s="298">
        <v>1.0</v>
      </c>
      <c r="Y848" s="300"/>
      <c r="Z848" s="300"/>
      <c r="AA848" s="300"/>
      <c r="AB848" s="300"/>
      <c r="AC848" s="300"/>
      <c r="AD848" s="300"/>
      <c r="AE848" s="300"/>
      <c r="AF848" s="300"/>
      <c r="AG848" s="300"/>
      <c r="AH848" s="300"/>
      <c r="AI848" s="300"/>
      <c r="AJ848" s="300"/>
      <c r="AK848" s="300"/>
      <c r="AL848" s="300"/>
      <c r="AM848" s="300"/>
      <c r="AN848" s="300"/>
      <c r="AO848" s="300"/>
      <c r="AP848" s="300"/>
    </row>
    <row r="849">
      <c r="A849" s="298" t="s">
        <v>190</v>
      </c>
      <c r="B849" s="299">
        <v>45898.395171435186</v>
      </c>
      <c r="C849" s="298" t="s">
        <v>104</v>
      </c>
      <c r="D849" s="298" t="s">
        <v>105</v>
      </c>
      <c r="E849" s="298" t="s">
        <v>52</v>
      </c>
      <c r="F849" s="298" t="s">
        <v>65</v>
      </c>
      <c r="G849" s="298" t="s">
        <v>54</v>
      </c>
      <c r="H849" s="298" t="s">
        <v>625</v>
      </c>
      <c r="I849" s="298" t="s">
        <v>2863</v>
      </c>
      <c r="J849" s="298" t="s">
        <v>102</v>
      </c>
      <c r="K849" s="300"/>
      <c r="L849" s="301" t="s">
        <v>2864</v>
      </c>
      <c r="M849" s="298" t="s">
        <v>71</v>
      </c>
      <c r="N849" s="298" t="s">
        <v>96</v>
      </c>
      <c r="O849" s="298" t="s">
        <v>929</v>
      </c>
      <c r="P849" s="298" t="s">
        <v>2865</v>
      </c>
      <c r="Q849" s="298" t="s">
        <v>1471</v>
      </c>
      <c r="R849" s="298" t="s">
        <v>1552</v>
      </c>
      <c r="S849" s="298" t="s">
        <v>71</v>
      </c>
      <c r="T849" s="300"/>
      <c r="U849" s="300"/>
      <c r="V849" s="300"/>
      <c r="W849" s="300"/>
      <c r="X849" s="300"/>
      <c r="Y849" s="300"/>
      <c r="Z849" s="300"/>
      <c r="AA849" s="300"/>
      <c r="AB849" s="300"/>
      <c r="AC849" s="300"/>
      <c r="AD849" s="300"/>
      <c r="AE849" s="300"/>
      <c r="AF849" s="300"/>
      <c r="AG849" s="300"/>
      <c r="AH849" s="300"/>
      <c r="AI849" s="300"/>
      <c r="AJ849" s="300"/>
      <c r="AK849" s="300"/>
      <c r="AL849" s="300"/>
      <c r="AM849" s="300"/>
      <c r="AN849" s="300"/>
      <c r="AO849" s="300"/>
      <c r="AP849" s="300"/>
    </row>
    <row r="850">
      <c r="A850" s="298" t="s">
        <v>190</v>
      </c>
      <c r="B850" s="299">
        <v>45898.42615641204</v>
      </c>
      <c r="C850" s="298" t="s">
        <v>366</v>
      </c>
      <c r="D850" s="298" t="s">
        <v>142</v>
      </c>
      <c r="E850" s="298" t="s">
        <v>52</v>
      </c>
      <c r="F850" s="298" t="s">
        <v>65</v>
      </c>
      <c r="G850" s="298" t="s">
        <v>54</v>
      </c>
      <c r="H850" s="298" t="s">
        <v>625</v>
      </c>
      <c r="I850" s="298" t="s">
        <v>2866</v>
      </c>
      <c r="J850" s="298" t="s">
        <v>102</v>
      </c>
      <c r="K850" s="302" t="s">
        <v>2867</v>
      </c>
      <c r="L850" s="298" t="s">
        <v>2868</v>
      </c>
      <c r="M850" s="298" t="s">
        <v>71</v>
      </c>
      <c r="N850" s="298" t="s">
        <v>96</v>
      </c>
      <c r="O850" s="298" t="s">
        <v>2869</v>
      </c>
      <c r="P850" s="298" t="s">
        <v>2870</v>
      </c>
      <c r="Q850" s="298" t="s">
        <v>1471</v>
      </c>
      <c r="R850" s="298" t="s">
        <v>1552</v>
      </c>
      <c r="S850" s="298" t="s">
        <v>71</v>
      </c>
      <c r="T850" s="298" t="s">
        <v>2871</v>
      </c>
      <c r="U850" s="300"/>
      <c r="V850" s="298" t="s">
        <v>2872</v>
      </c>
      <c r="W850" s="300"/>
      <c r="X850" s="298" t="s">
        <v>2873</v>
      </c>
      <c r="Y850" s="300"/>
      <c r="Z850" s="300"/>
      <c r="AA850" s="300"/>
      <c r="AB850" s="300"/>
      <c r="AC850" s="300"/>
      <c r="AD850" s="300"/>
      <c r="AE850" s="300"/>
      <c r="AF850" s="300"/>
      <c r="AG850" s="300"/>
      <c r="AH850" s="300"/>
      <c r="AI850" s="300"/>
      <c r="AJ850" s="300"/>
      <c r="AK850" s="300"/>
      <c r="AL850" s="300"/>
      <c r="AM850" s="300"/>
      <c r="AN850" s="300"/>
      <c r="AO850" s="300"/>
      <c r="AP850" s="300"/>
    </row>
    <row r="851" ht="99.0" customHeight="1">
      <c r="A851" s="149"/>
      <c r="B851" s="30"/>
      <c r="C851" s="303"/>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3"/>
      <c r="AJ851" s="30"/>
      <c r="AK851" s="30"/>
      <c r="AL851" s="30"/>
      <c r="AM851" s="149"/>
      <c r="AN851" s="30"/>
      <c r="AO851" s="149"/>
      <c r="AP851" s="149"/>
    </row>
    <row r="852" ht="99.0" customHeight="1">
      <c r="A852" s="149"/>
      <c r="B852" s="30"/>
      <c r="C852" s="303"/>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3"/>
      <c r="AJ852" s="30"/>
      <c r="AK852" s="30"/>
      <c r="AL852" s="30"/>
      <c r="AM852" s="149"/>
      <c r="AN852" s="30"/>
      <c r="AO852" s="149"/>
      <c r="AP852" s="149"/>
    </row>
    <row r="853" ht="99.0" customHeight="1">
      <c r="A853" s="149"/>
      <c r="B853" s="30"/>
      <c r="C853" s="303"/>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3"/>
      <c r="AJ853" s="30"/>
      <c r="AK853" s="30"/>
      <c r="AL853" s="30"/>
      <c r="AM853" s="149"/>
      <c r="AN853" s="30"/>
      <c r="AO853" s="149"/>
      <c r="AP853" s="149"/>
    </row>
    <row r="854" ht="99.0" customHeight="1">
      <c r="A854" s="149"/>
      <c r="B854" s="30"/>
      <c r="C854" s="303"/>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3"/>
      <c r="AJ854" s="30"/>
      <c r="AK854" s="30"/>
      <c r="AL854" s="30"/>
      <c r="AM854" s="149"/>
      <c r="AN854" s="30"/>
      <c r="AO854" s="149"/>
      <c r="AP854" s="149"/>
    </row>
    <row r="855" ht="99.0" customHeight="1">
      <c r="A855" s="149"/>
      <c r="B855" s="30"/>
      <c r="C855" s="303"/>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3"/>
      <c r="AJ855" s="30"/>
      <c r="AK855" s="30"/>
      <c r="AL855" s="30"/>
      <c r="AM855" s="149"/>
      <c r="AN855" s="30"/>
      <c r="AO855" s="149"/>
      <c r="AP855" s="149"/>
    </row>
    <row r="856" ht="99.0" customHeight="1">
      <c r="A856" s="149"/>
      <c r="B856" s="30"/>
      <c r="C856" s="303"/>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3"/>
      <c r="AJ856" s="30"/>
      <c r="AK856" s="30"/>
      <c r="AL856" s="30"/>
      <c r="AM856" s="149"/>
      <c r="AN856" s="30"/>
      <c r="AO856" s="149"/>
      <c r="AP856" s="149"/>
    </row>
    <row r="857" ht="99.0" customHeight="1">
      <c r="A857" s="149"/>
      <c r="B857" s="30"/>
      <c r="C857" s="303"/>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3"/>
      <c r="AJ857" s="30"/>
      <c r="AK857" s="30"/>
      <c r="AL857" s="30"/>
      <c r="AM857" s="149"/>
      <c r="AN857" s="30"/>
      <c r="AO857" s="149"/>
      <c r="AP857" s="149"/>
    </row>
    <row r="858" ht="99.0" customHeight="1">
      <c r="A858" s="149"/>
      <c r="B858" s="30"/>
      <c r="C858" s="303"/>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3"/>
      <c r="AJ858" s="30"/>
      <c r="AK858" s="30"/>
      <c r="AL858" s="30"/>
      <c r="AM858" s="149"/>
      <c r="AN858" s="30"/>
      <c r="AO858" s="149"/>
      <c r="AP858" s="149"/>
    </row>
    <row r="859" ht="99.0" customHeight="1">
      <c r="A859" s="149"/>
      <c r="B859" s="30"/>
      <c r="C859" s="303"/>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3"/>
      <c r="AJ859" s="30"/>
      <c r="AK859" s="30"/>
      <c r="AL859" s="30"/>
      <c r="AM859" s="149"/>
      <c r="AN859" s="30"/>
      <c r="AO859" s="149"/>
      <c r="AP859" s="149"/>
    </row>
    <row r="860" ht="99.0" customHeight="1">
      <c r="A860" s="149"/>
      <c r="B860" s="30"/>
      <c r="C860" s="303"/>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3"/>
      <c r="AJ860" s="30"/>
      <c r="AK860" s="30"/>
      <c r="AL860" s="30"/>
      <c r="AM860" s="149"/>
      <c r="AN860" s="30"/>
      <c r="AO860" s="149"/>
      <c r="AP860" s="149"/>
    </row>
    <row r="861" ht="99.0" customHeight="1">
      <c r="A861" s="149"/>
      <c r="B861" s="30"/>
      <c r="C861" s="303"/>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3"/>
      <c r="AJ861" s="30"/>
      <c r="AK861" s="30"/>
      <c r="AL861" s="30"/>
      <c r="AM861" s="149"/>
      <c r="AN861" s="30"/>
      <c r="AO861" s="149"/>
      <c r="AP861" s="149"/>
    </row>
    <row r="862" ht="99.0" customHeight="1">
      <c r="A862" s="149"/>
      <c r="B862" s="30"/>
      <c r="C862" s="303"/>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3"/>
      <c r="AJ862" s="30"/>
      <c r="AK862" s="30"/>
      <c r="AL862" s="30"/>
      <c r="AM862" s="149"/>
      <c r="AN862" s="30"/>
      <c r="AO862" s="149"/>
      <c r="AP862" s="149"/>
    </row>
    <row r="863" ht="99.0" customHeight="1">
      <c r="A863" s="149"/>
      <c r="B863" s="30"/>
      <c r="C863" s="303"/>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3"/>
      <c r="AJ863" s="30"/>
      <c r="AK863" s="30"/>
      <c r="AL863" s="30"/>
      <c r="AM863" s="149"/>
      <c r="AN863" s="30"/>
      <c r="AO863" s="149"/>
      <c r="AP863" s="149"/>
    </row>
    <row r="864" ht="99.0" customHeight="1">
      <c r="A864" s="149"/>
      <c r="B864" s="30"/>
      <c r="C864" s="303"/>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3"/>
      <c r="AJ864" s="30"/>
      <c r="AK864" s="30"/>
      <c r="AL864" s="30"/>
      <c r="AM864" s="149"/>
      <c r="AN864" s="30"/>
      <c r="AO864" s="149"/>
      <c r="AP864" s="149"/>
    </row>
    <row r="865" ht="99.0" customHeight="1">
      <c r="A865" s="149"/>
      <c r="B865" s="30"/>
      <c r="C865" s="303"/>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3"/>
      <c r="AJ865" s="30"/>
      <c r="AK865" s="30"/>
      <c r="AL865" s="30"/>
      <c r="AM865" s="149"/>
      <c r="AN865" s="30"/>
      <c r="AO865" s="149"/>
      <c r="AP865" s="149"/>
    </row>
    <row r="866" ht="99.0" customHeight="1">
      <c r="A866" s="149"/>
      <c r="B866" s="30"/>
      <c r="C866" s="303"/>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3"/>
      <c r="AJ866" s="30"/>
      <c r="AK866" s="30"/>
      <c r="AL866" s="30"/>
      <c r="AM866" s="149"/>
      <c r="AN866" s="30"/>
      <c r="AO866" s="149"/>
      <c r="AP866" s="149"/>
    </row>
    <row r="867" ht="99.0" customHeight="1">
      <c r="A867" s="149"/>
      <c r="B867" s="30"/>
      <c r="C867" s="303"/>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3"/>
      <c r="AJ867" s="30"/>
      <c r="AK867" s="30"/>
      <c r="AL867" s="30"/>
      <c r="AM867" s="149"/>
      <c r="AN867" s="30"/>
      <c r="AO867" s="149"/>
      <c r="AP867" s="149"/>
    </row>
    <row r="868" ht="99.0" customHeight="1">
      <c r="A868" s="149"/>
      <c r="B868" s="30"/>
      <c r="C868" s="303"/>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3"/>
      <c r="AJ868" s="30"/>
      <c r="AK868" s="30"/>
      <c r="AL868" s="30"/>
      <c r="AM868" s="149"/>
      <c r="AN868" s="30"/>
      <c r="AO868" s="149"/>
      <c r="AP868" s="149"/>
    </row>
    <row r="869" ht="99.0" customHeight="1">
      <c r="A869" s="149"/>
      <c r="B869" s="30"/>
      <c r="C869" s="303"/>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3"/>
      <c r="AJ869" s="30"/>
      <c r="AK869" s="30"/>
      <c r="AL869" s="30"/>
      <c r="AM869" s="149"/>
      <c r="AN869" s="30"/>
      <c r="AO869" s="149"/>
      <c r="AP869" s="149"/>
    </row>
    <row r="870" ht="99.0" customHeight="1">
      <c r="A870" s="149"/>
      <c r="B870" s="30"/>
      <c r="C870" s="303"/>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3"/>
      <c r="AJ870" s="30"/>
      <c r="AK870" s="30"/>
      <c r="AL870" s="30"/>
      <c r="AM870" s="149"/>
      <c r="AN870" s="30"/>
      <c r="AO870" s="149"/>
      <c r="AP870" s="149"/>
    </row>
    <row r="871" ht="99.0" customHeight="1">
      <c r="A871" s="149"/>
      <c r="B871" s="30"/>
      <c r="C871" s="303"/>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3"/>
      <c r="AJ871" s="30"/>
      <c r="AK871" s="30"/>
      <c r="AL871" s="30"/>
      <c r="AM871" s="149"/>
      <c r="AN871" s="30"/>
      <c r="AO871" s="149"/>
      <c r="AP871" s="149"/>
    </row>
    <row r="872" ht="99.0" customHeight="1">
      <c r="A872" s="149"/>
      <c r="B872" s="30"/>
      <c r="C872" s="303"/>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3"/>
      <c r="AJ872" s="30"/>
      <c r="AK872" s="30"/>
      <c r="AL872" s="30"/>
      <c r="AM872" s="149"/>
      <c r="AN872" s="30"/>
      <c r="AO872" s="149"/>
      <c r="AP872" s="149"/>
    </row>
    <row r="873" ht="99.0" customHeight="1">
      <c r="A873" s="149"/>
      <c r="B873" s="30"/>
      <c r="C873" s="303"/>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3"/>
      <c r="AJ873" s="30"/>
      <c r="AK873" s="30"/>
      <c r="AL873" s="30"/>
      <c r="AM873" s="149"/>
      <c r="AN873" s="30"/>
      <c r="AO873" s="149"/>
      <c r="AP873" s="149"/>
    </row>
    <row r="874" ht="99.0" customHeight="1">
      <c r="A874" s="149"/>
      <c r="B874" s="30"/>
      <c r="C874" s="303"/>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3"/>
      <c r="AJ874" s="30"/>
      <c r="AK874" s="30"/>
      <c r="AL874" s="30"/>
      <c r="AM874" s="149"/>
      <c r="AN874" s="30"/>
      <c r="AO874" s="149"/>
      <c r="AP874" s="149"/>
    </row>
    <row r="875" ht="99.0" customHeight="1">
      <c r="A875" s="149"/>
      <c r="B875" s="30"/>
      <c r="C875" s="303"/>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3"/>
      <c r="AJ875" s="30"/>
      <c r="AK875" s="30"/>
      <c r="AL875" s="30"/>
      <c r="AM875" s="149"/>
      <c r="AN875" s="30"/>
      <c r="AO875" s="149"/>
      <c r="AP875" s="149"/>
    </row>
    <row r="876" ht="99.0" customHeight="1">
      <c r="A876" s="149"/>
      <c r="B876" s="30"/>
      <c r="C876" s="303"/>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3"/>
      <c r="AJ876" s="30"/>
      <c r="AK876" s="30"/>
      <c r="AL876" s="30"/>
      <c r="AM876" s="149"/>
      <c r="AN876" s="30"/>
      <c r="AO876" s="149"/>
      <c r="AP876" s="149"/>
    </row>
    <row r="877" ht="99.0" customHeight="1">
      <c r="A877" s="149"/>
      <c r="B877" s="30"/>
      <c r="C877" s="303"/>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3"/>
      <c r="AJ877" s="30"/>
      <c r="AK877" s="30"/>
      <c r="AL877" s="30"/>
      <c r="AM877" s="149"/>
      <c r="AN877" s="30"/>
      <c r="AO877" s="149"/>
      <c r="AP877" s="149"/>
    </row>
    <row r="878" ht="99.0" customHeight="1">
      <c r="A878" s="149"/>
      <c r="B878" s="30"/>
      <c r="C878" s="303"/>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3"/>
      <c r="AJ878" s="30"/>
      <c r="AK878" s="30"/>
      <c r="AL878" s="30"/>
      <c r="AM878" s="149"/>
      <c r="AN878" s="30"/>
      <c r="AO878" s="149"/>
      <c r="AP878" s="149"/>
    </row>
    <row r="879" ht="99.0" customHeight="1">
      <c r="A879" s="149"/>
      <c r="B879" s="30"/>
      <c r="C879" s="303"/>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3"/>
      <c r="AJ879" s="30"/>
      <c r="AK879" s="30"/>
      <c r="AL879" s="30"/>
      <c r="AM879" s="149"/>
      <c r="AN879" s="30"/>
      <c r="AO879" s="149"/>
      <c r="AP879" s="149"/>
    </row>
    <row r="880" ht="99.0" customHeight="1">
      <c r="A880" s="149"/>
      <c r="B880" s="30"/>
      <c r="C880" s="303"/>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3"/>
      <c r="AJ880" s="30"/>
      <c r="AK880" s="30"/>
      <c r="AL880" s="30"/>
      <c r="AM880" s="149"/>
      <c r="AN880" s="30"/>
      <c r="AO880" s="149"/>
      <c r="AP880" s="149"/>
    </row>
    <row r="881" ht="99.0" customHeight="1">
      <c r="A881" s="149"/>
      <c r="B881" s="30"/>
      <c r="C881" s="303"/>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3"/>
      <c r="AJ881" s="30"/>
      <c r="AK881" s="30"/>
      <c r="AL881" s="30"/>
      <c r="AM881" s="149"/>
      <c r="AN881" s="30"/>
      <c r="AO881" s="149"/>
      <c r="AP881" s="149"/>
    </row>
    <row r="882" ht="99.0" customHeight="1">
      <c r="A882" s="149"/>
      <c r="B882" s="30"/>
      <c r="C882" s="303"/>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3"/>
      <c r="AJ882" s="30"/>
      <c r="AK882" s="30"/>
      <c r="AL882" s="30"/>
      <c r="AM882" s="149"/>
      <c r="AN882" s="30"/>
      <c r="AO882" s="149"/>
      <c r="AP882" s="149"/>
    </row>
    <row r="883" ht="99.0" customHeight="1">
      <c r="A883" s="149"/>
      <c r="B883" s="30"/>
      <c r="C883" s="303"/>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3"/>
      <c r="AJ883" s="30"/>
      <c r="AK883" s="30"/>
      <c r="AL883" s="30"/>
      <c r="AM883" s="149"/>
      <c r="AN883" s="30"/>
      <c r="AO883" s="149"/>
      <c r="AP883" s="149"/>
    </row>
    <row r="884" ht="99.0" customHeight="1">
      <c r="A884" s="149"/>
      <c r="B884" s="30"/>
      <c r="C884" s="303"/>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3"/>
      <c r="AJ884" s="30"/>
      <c r="AK884" s="30"/>
      <c r="AL884" s="30"/>
      <c r="AM884" s="149"/>
      <c r="AN884" s="30"/>
      <c r="AO884" s="149"/>
      <c r="AP884" s="149"/>
    </row>
    <row r="885" ht="99.0" customHeight="1">
      <c r="A885" s="149"/>
      <c r="B885" s="30"/>
      <c r="C885" s="303"/>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3"/>
      <c r="AJ885" s="30"/>
      <c r="AK885" s="30"/>
      <c r="AL885" s="30"/>
      <c r="AM885" s="149"/>
      <c r="AN885" s="30"/>
      <c r="AO885" s="149"/>
      <c r="AP885" s="149"/>
    </row>
    <row r="886" ht="99.0" customHeight="1">
      <c r="A886" s="149"/>
      <c r="B886" s="30"/>
      <c r="C886" s="303"/>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3"/>
      <c r="AJ886" s="30"/>
      <c r="AK886" s="30"/>
      <c r="AL886" s="30"/>
      <c r="AM886" s="149"/>
      <c r="AN886" s="30"/>
      <c r="AO886" s="149"/>
      <c r="AP886" s="149"/>
    </row>
    <row r="887" ht="99.0" customHeight="1">
      <c r="A887" s="149"/>
      <c r="B887" s="30"/>
      <c r="C887" s="303"/>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3"/>
      <c r="AJ887" s="30"/>
      <c r="AK887" s="30"/>
      <c r="AL887" s="30"/>
      <c r="AM887" s="149"/>
      <c r="AN887" s="30"/>
      <c r="AO887" s="149"/>
      <c r="AP887" s="149"/>
    </row>
    <row r="888" ht="99.0" customHeight="1">
      <c r="A888" s="149"/>
      <c r="B888" s="30"/>
      <c r="C888" s="303"/>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3"/>
      <c r="AJ888" s="30"/>
      <c r="AK888" s="30"/>
      <c r="AL888" s="30"/>
      <c r="AM888" s="149"/>
      <c r="AN888" s="30"/>
      <c r="AO888" s="149"/>
      <c r="AP888" s="149"/>
    </row>
    <row r="889" ht="99.0" customHeight="1">
      <c r="A889" s="149"/>
      <c r="B889" s="30"/>
      <c r="C889" s="303"/>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3"/>
      <c r="AJ889" s="30"/>
      <c r="AK889" s="30"/>
      <c r="AL889" s="30"/>
      <c r="AM889" s="149"/>
      <c r="AN889" s="30"/>
      <c r="AO889" s="149"/>
      <c r="AP889" s="149"/>
    </row>
    <row r="890" ht="99.0" customHeight="1">
      <c r="A890" s="149"/>
      <c r="B890" s="30"/>
      <c r="C890" s="303"/>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3"/>
      <c r="AJ890" s="30"/>
      <c r="AK890" s="30"/>
      <c r="AL890" s="30"/>
      <c r="AM890" s="149"/>
      <c r="AN890" s="30"/>
      <c r="AO890" s="149"/>
      <c r="AP890" s="149"/>
    </row>
    <row r="891" ht="99.0" customHeight="1">
      <c r="A891" s="149"/>
      <c r="B891" s="30"/>
      <c r="C891" s="303"/>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3"/>
      <c r="AJ891" s="30"/>
      <c r="AK891" s="30"/>
      <c r="AL891" s="30"/>
      <c r="AM891" s="149"/>
      <c r="AN891" s="30"/>
      <c r="AO891" s="149"/>
      <c r="AP891" s="149"/>
    </row>
    <row r="892" ht="99.0" customHeight="1">
      <c r="A892" s="149"/>
      <c r="B892" s="30"/>
      <c r="C892" s="303"/>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3"/>
      <c r="AJ892" s="30"/>
      <c r="AK892" s="30"/>
      <c r="AL892" s="30"/>
      <c r="AM892" s="149"/>
      <c r="AN892" s="30"/>
      <c r="AO892" s="149"/>
      <c r="AP892" s="149"/>
    </row>
    <row r="893" ht="99.0" customHeight="1">
      <c r="A893" s="149"/>
      <c r="B893" s="30"/>
      <c r="C893" s="303"/>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3"/>
      <c r="AJ893" s="30"/>
      <c r="AK893" s="30"/>
      <c r="AL893" s="30"/>
      <c r="AM893" s="149"/>
      <c r="AN893" s="30"/>
      <c r="AO893" s="149"/>
      <c r="AP893" s="149"/>
    </row>
    <row r="894" ht="99.0" customHeight="1">
      <c r="A894" s="149"/>
      <c r="B894" s="30"/>
      <c r="C894" s="303"/>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3"/>
      <c r="AJ894" s="30"/>
      <c r="AK894" s="30"/>
      <c r="AL894" s="30"/>
      <c r="AM894" s="149"/>
      <c r="AN894" s="30"/>
      <c r="AO894" s="149"/>
      <c r="AP894" s="149"/>
    </row>
    <row r="895" ht="99.0" customHeight="1">
      <c r="A895" s="149"/>
      <c r="B895" s="30"/>
      <c r="C895" s="303"/>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3"/>
      <c r="AJ895" s="30"/>
      <c r="AK895" s="30"/>
      <c r="AL895" s="30"/>
      <c r="AM895" s="149"/>
      <c r="AN895" s="30"/>
      <c r="AO895" s="149"/>
      <c r="AP895" s="149"/>
    </row>
    <row r="896" ht="99.0" customHeight="1">
      <c r="A896" s="149"/>
      <c r="B896" s="30"/>
      <c r="C896" s="303"/>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3"/>
      <c r="AJ896" s="30"/>
      <c r="AK896" s="30"/>
      <c r="AL896" s="30"/>
      <c r="AM896" s="149"/>
      <c r="AN896" s="30"/>
      <c r="AO896" s="149"/>
      <c r="AP896" s="149"/>
    </row>
    <row r="897" ht="99.0" customHeight="1">
      <c r="A897" s="149"/>
      <c r="B897" s="30"/>
      <c r="C897" s="303"/>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3"/>
      <c r="AJ897" s="30"/>
      <c r="AK897" s="30"/>
      <c r="AL897" s="30"/>
      <c r="AM897" s="149"/>
      <c r="AN897" s="30"/>
      <c r="AO897" s="149"/>
      <c r="AP897" s="149"/>
    </row>
    <row r="898" ht="99.0" customHeight="1">
      <c r="A898" s="149"/>
      <c r="B898" s="30"/>
      <c r="C898" s="303"/>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3"/>
      <c r="AJ898" s="30"/>
      <c r="AK898" s="30"/>
      <c r="AL898" s="30"/>
      <c r="AM898" s="149"/>
      <c r="AN898" s="30"/>
      <c r="AO898" s="149"/>
      <c r="AP898" s="149"/>
    </row>
    <row r="899" ht="99.0" customHeight="1">
      <c r="A899" s="149"/>
      <c r="B899" s="30"/>
      <c r="C899" s="303"/>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3"/>
      <c r="AJ899" s="30"/>
      <c r="AK899" s="30"/>
      <c r="AL899" s="30"/>
      <c r="AM899" s="149"/>
      <c r="AN899" s="30"/>
      <c r="AO899" s="149"/>
      <c r="AP899" s="149"/>
    </row>
    <row r="900" ht="99.0" customHeight="1">
      <c r="A900" s="149"/>
      <c r="B900" s="30"/>
      <c r="C900" s="303"/>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3"/>
      <c r="AJ900" s="30"/>
      <c r="AK900" s="30"/>
      <c r="AL900" s="30"/>
      <c r="AM900" s="149"/>
      <c r="AN900" s="30"/>
      <c r="AO900" s="149"/>
      <c r="AP900" s="149"/>
    </row>
    <row r="901" ht="99.0" customHeight="1">
      <c r="A901" s="149"/>
      <c r="B901" s="30"/>
      <c r="C901" s="303"/>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3"/>
      <c r="AJ901" s="30"/>
      <c r="AK901" s="30"/>
      <c r="AL901" s="30"/>
      <c r="AM901" s="149"/>
      <c r="AN901" s="30"/>
      <c r="AO901" s="149"/>
      <c r="AP901" s="149"/>
    </row>
    <row r="902" ht="99.0" customHeight="1">
      <c r="A902" s="149"/>
      <c r="B902" s="30"/>
      <c r="C902" s="303"/>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3"/>
      <c r="AJ902" s="30"/>
      <c r="AK902" s="30"/>
      <c r="AL902" s="30"/>
      <c r="AM902" s="149"/>
      <c r="AN902" s="30"/>
      <c r="AO902" s="149"/>
      <c r="AP902" s="149"/>
    </row>
    <row r="903" ht="99.0" customHeight="1">
      <c r="A903" s="149"/>
      <c r="B903" s="30"/>
      <c r="C903" s="303"/>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3"/>
      <c r="AJ903" s="30"/>
      <c r="AK903" s="30"/>
      <c r="AL903" s="30"/>
      <c r="AM903" s="149"/>
      <c r="AN903" s="30"/>
      <c r="AO903" s="149"/>
      <c r="AP903" s="149"/>
    </row>
    <row r="904" ht="99.0" customHeight="1">
      <c r="A904" s="149"/>
      <c r="B904" s="30"/>
      <c r="C904" s="303"/>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3"/>
      <c r="AJ904" s="30"/>
      <c r="AK904" s="30"/>
      <c r="AL904" s="30"/>
      <c r="AM904" s="149"/>
      <c r="AN904" s="30"/>
      <c r="AO904" s="149"/>
      <c r="AP904" s="149"/>
    </row>
    <row r="905" ht="99.0" customHeight="1">
      <c r="A905" s="149"/>
      <c r="B905" s="30"/>
      <c r="C905" s="303"/>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149"/>
      <c r="AN905" s="30"/>
      <c r="AO905" s="149"/>
      <c r="AP905" s="149"/>
    </row>
    <row r="906" ht="99.0" customHeight="1">
      <c r="A906" s="149"/>
      <c r="B906" s="30"/>
      <c r="C906" s="303"/>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149"/>
      <c r="AN906" s="30"/>
      <c r="AO906" s="149"/>
      <c r="AP906" s="149"/>
    </row>
    <row r="907" ht="99.0" customHeight="1">
      <c r="A907" s="149"/>
      <c r="B907" s="30"/>
      <c r="C907" s="303"/>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149"/>
      <c r="AN907" s="30"/>
      <c r="AO907" s="149"/>
      <c r="AP907" s="149"/>
    </row>
    <row r="908" ht="99.0" customHeight="1">
      <c r="A908" s="149"/>
      <c r="B908" s="30"/>
      <c r="C908" s="303"/>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149"/>
      <c r="AN908" s="30"/>
      <c r="AO908" s="149"/>
      <c r="AP908" s="149"/>
    </row>
    <row r="909" ht="99.0" customHeight="1">
      <c r="A909" s="149"/>
      <c r="B909" s="30"/>
      <c r="C909" s="303"/>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149"/>
      <c r="AN909" s="30"/>
      <c r="AO909" s="149"/>
      <c r="AP909" s="149"/>
    </row>
    <row r="910" ht="99.0" customHeight="1">
      <c r="A910" s="149"/>
      <c r="B910" s="30"/>
      <c r="C910" s="303"/>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149"/>
      <c r="AN910" s="30"/>
      <c r="AO910" s="149"/>
      <c r="AP910" s="149"/>
    </row>
    <row r="911" ht="99.0" customHeight="1">
      <c r="A911" s="149"/>
      <c r="B911" s="30"/>
      <c r="C911" s="303"/>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149"/>
      <c r="AN911" s="30"/>
      <c r="AO911" s="149"/>
      <c r="AP911" s="149"/>
    </row>
    <row r="912" ht="99.0" customHeight="1">
      <c r="A912" s="149"/>
      <c r="B912" s="30"/>
      <c r="C912" s="303"/>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149"/>
      <c r="AN912" s="30"/>
      <c r="AO912" s="149"/>
      <c r="AP912" s="149"/>
    </row>
    <row r="913" ht="99.0" customHeight="1">
      <c r="A913" s="149"/>
      <c r="B913" s="30"/>
      <c r="C913" s="303"/>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149"/>
      <c r="AN913" s="30"/>
      <c r="AO913" s="149"/>
      <c r="AP913" s="149"/>
    </row>
    <row r="914" ht="99.0" customHeight="1">
      <c r="A914" s="149"/>
      <c r="B914" s="30"/>
      <c r="C914" s="303"/>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149"/>
      <c r="AN914" s="30"/>
      <c r="AO914" s="149"/>
      <c r="AP914" s="149"/>
    </row>
    <row r="915" ht="99.0" customHeight="1">
      <c r="A915" s="149"/>
      <c r="B915" s="30"/>
      <c r="C915" s="303"/>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149"/>
      <c r="AN915" s="30"/>
      <c r="AO915" s="149"/>
      <c r="AP915" s="149"/>
    </row>
    <row r="916" ht="99.0" customHeight="1">
      <c r="A916" s="149"/>
      <c r="B916" s="30"/>
      <c r="C916" s="303"/>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149"/>
      <c r="AN916" s="30"/>
      <c r="AO916" s="149"/>
      <c r="AP916" s="149"/>
    </row>
    <row r="917" ht="99.0" customHeight="1">
      <c r="A917" s="149"/>
      <c r="B917" s="30"/>
      <c r="C917" s="303"/>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149"/>
      <c r="AN917" s="30"/>
      <c r="AO917" s="149"/>
      <c r="AP917" s="149"/>
    </row>
    <row r="918" ht="99.0" customHeight="1">
      <c r="A918" s="149"/>
      <c r="B918" s="30"/>
      <c r="C918" s="303"/>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149"/>
      <c r="AN918" s="30"/>
      <c r="AO918" s="149"/>
      <c r="AP918" s="149"/>
    </row>
    <row r="919" ht="99.0" customHeight="1">
      <c r="A919" s="149"/>
      <c r="B919" s="30"/>
      <c r="C919" s="303"/>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149"/>
      <c r="AN919" s="30"/>
      <c r="AO919" s="149"/>
      <c r="AP919" s="149"/>
    </row>
    <row r="920" ht="99.0" customHeight="1">
      <c r="A920" s="149"/>
      <c r="B920" s="30"/>
      <c r="C920" s="303"/>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149"/>
      <c r="AN920" s="30"/>
      <c r="AO920" s="149"/>
      <c r="AP920" s="149"/>
    </row>
    <row r="921" ht="99.0" customHeight="1">
      <c r="A921" s="149"/>
      <c r="B921" s="30"/>
      <c r="C921" s="303"/>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149"/>
      <c r="AN921" s="30"/>
      <c r="AO921" s="149"/>
      <c r="AP921" s="149"/>
    </row>
    <row r="922" ht="99.0" customHeight="1">
      <c r="A922" s="149"/>
      <c r="B922" s="30"/>
      <c r="C922" s="303"/>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149"/>
      <c r="AN922" s="30"/>
      <c r="AO922" s="149"/>
      <c r="AP922" s="149"/>
    </row>
    <row r="923" ht="99.0" customHeight="1">
      <c r="A923" s="149"/>
      <c r="B923" s="30"/>
      <c r="C923" s="303"/>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149"/>
      <c r="AN923" s="30"/>
      <c r="AO923" s="149"/>
      <c r="AP923" s="149"/>
    </row>
    <row r="924" ht="99.0" customHeight="1">
      <c r="A924" s="149"/>
      <c r="B924" s="30"/>
      <c r="C924" s="303"/>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149"/>
      <c r="AN924" s="30"/>
      <c r="AO924" s="149"/>
      <c r="AP924" s="149"/>
    </row>
    <row r="925" ht="99.0" customHeight="1">
      <c r="A925" s="149"/>
      <c r="B925" s="30"/>
      <c r="C925" s="303"/>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149"/>
      <c r="AN925" s="30"/>
      <c r="AO925" s="149"/>
      <c r="AP925" s="149"/>
    </row>
    <row r="926" ht="99.0" customHeight="1">
      <c r="A926" s="149"/>
      <c r="B926" s="30"/>
      <c r="C926" s="303"/>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149"/>
      <c r="AN926" s="30"/>
      <c r="AO926" s="149"/>
      <c r="AP926" s="149"/>
    </row>
    <row r="927" ht="99.0" customHeight="1">
      <c r="A927" s="149"/>
      <c r="B927" s="30"/>
      <c r="C927" s="303"/>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149"/>
      <c r="AN927" s="30"/>
      <c r="AO927" s="149"/>
      <c r="AP927" s="149"/>
    </row>
    <row r="928" ht="99.0" customHeight="1">
      <c r="A928" s="149"/>
      <c r="B928" s="30"/>
      <c r="C928" s="303"/>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149"/>
      <c r="AN928" s="30"/>
      <c r="AO928" s="149"/>
      <c r="AP928" s="149"/>
    </row>
    <row r="929" ht="99.0" customHeight="1">
      <c r="A929" s="149"/>
      <c r="B929" s="30"/>
      <c r="C929" s="303"/>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149"/>
      <c r="AN929" s="30"/>
      <c r="AO929" s="149"/>
      <c r="AP929" s="149"/>
    </row>
    <row r="930" ht="99.0" customHeight="1">
      <c r="A930" s="149"/>
      <c r="B930" s="30"/>
      <c r="C930" s="303"/>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149"/>
      <c r="AN930" s="30"/>
      <c r="AO930" s="149"/>
      <c r="AP930" s="149"/>
    </row>
    <row r="931" ht="99.0" customHeight="1">
      <c r="A931" s="149"/>
      <c r="B931" s="30"/>
      <c r="C931" s="303"/>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149"/>
      <c r="AN931" s="30"/>
      <c r="AO931" s="149"/>
      <c r="AP931" s="149"/>
    </row>
    <row r="932" ht="99.0" customHeight="1">
      <c r="A932" s="149"/>
      <c r="B932" s="30"/>
      <c r="C932" s="303"/>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149"/>
      <c r="AN932" s="30"/>
      <c r="AO932" s="149"/>
      <c r="AP932" s="149"/>
    </row>
    <row r="933" ht="99.0" customHeight="1">
      <c r="A933" s="149"/>
      <c r="B933" s="30"/>
      <c r="C933" s="303"/>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149"/>
      <c r="AN933" s="30"/>
      <c r="AO933" s="149"/>
      <c r="AP933" s="149"/>
    </row>
    <row r="934" ht="99.0" customHeight="1">
      <c r="A934" s="149"/>
      <c r="B934" s="30"/>
      <c r="C934" s="303"/>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149"/>
      <c r="AN934" s="30"/>
      <c r="AO934" s="149"/>
      <c r="AP934" s="149"/>
    </row>
    <row r="935" ht="99.0" customHeight="1">
      <c r="A935" s="149"/>
      <c r="B935" s="30"/>
      <c r="C935" s="303"/>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149"/>
      <c r="AN935" s="30"/>
      <c r="AO935" s="149"/>
      <c r="AP935" s="149"/>
    </row>
    <row r="936" ht="99.0" customHeight="1">
      <c r="A936" s="149"/>
      <c r="B936" s="30"/>
      <c r="C936" s="303"/>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149"/>
      <c r="AN936" s="30"/>
      <c r="AO936" s="149"/>
      <c r="AP936" s="149"/>
    </row>
    <row r="937" ht="99.0" customHeight="1">
      <c r="A937" s="149"/>
      <c r="B937" s="30"/>
      <c r="C937" s="303"/>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149"/>
      <c r="AN937" s="30"/>
      <c r="AO937" s="149"/>
      <c r="AP937" s="149"/>
    </row>
    <row r="938" ht="99.0" customHeight="1">
      <c r="A938" s="149"/>
      <c r="B938" s="30"/>
      <c r="C938" s="303"/>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149"/>
      <c r="AN938" s="30"/>
      <c r="AO938" s="149"/>
      <c r="AP938" s="149"/>
    </row>
    <row r="939" ht="99.0" customHeight="1">
      <c r="A939" s="149"/>
      <c r="B939" s="30"/>
      <c r="C939" s="303"/>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149"/>
      <c r="AN939" s="30"/>
      <c r="AO939" s="149"/>
      <c r="AP939" s="149"/>
    </row>
    <row r="940" ht="99.0" customHeight="1">
      <c r="A940" s="149"/>
      <c r="B940" s="30"/>
      <c r="C940" s="303"/>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149"/>
      <c r="AN940" s="30"/>
      <c r="AO940" s="149"/>
      <c r="AP940" s="149"/>
    </row>
    <row r="941" ht="99.0" customHeight="1">
      <c r="A941" s="149"/>
      <c r="B941" s="30"/>
      <c r="C941" s="303"/>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149"/>
      <c r="AN941" s="30"/>
      <c r="AO941" s="149"/>
      <c r="AP941" s="149"/>
    </row>
    <row r="942" ht="99.0" customHeight="1">
      <c r="A942" s="149"/>
      <c r="B942" s="30"/>
      <c r="C942" s="303"/>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149"/>
      <c r="AN942" s="30"/>
      <c r="AO942" s="149"/>
      <c r="AP942" s="149"/>
    </row>
    <row r="943" ht="99.0" customHeight="1">
      <c r="A943" s="149"/>
      <c r="B943" s="30"/>
      <c r="C943" s="303"/>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149"/>
      <c r="AN943" s="30"/>
      <c r="AO943" s="149"/>
      <c r="AP943" s="149"/>
    </row>
    <row r="944" ht="99.0" customHeight="1">
      <c r="A944" s="149"/>
      <c r="B944" s="30"/>
      <c r="C944" s="303"/>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149"/>
      <c r="AN944" s="30"/>
      <c r="AO944" s="149"/>
      <c r="AP944" s="149"/>
    </row>
    <row r="945" ht="99.0" customHeight="1">
      <c r="A945" s="149"/>
      <c r="B945" s="30"/>
      <c r="C945" s="303"/>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149"/>
      <c r="AN945" s="30"/>
      <c r="AO945" s="149"/>
      <c r="AP945" s="149"/>
    </row>
    <row r="946" ht="99.0" customHeight="1">
      <c r="A946" s="149"/>
      <c r="B946" s="30"/>
      <c r="C946" s="303"/>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149"/>
      <c r="AN946" s="30"/>
      <c r="AO946" s="149"/>
      <c r="AP946" s="149"/>
    </row>
    <row r="947" ht="99.0" customHeight="1">
      <c r="A947" s="149"/>
      <c r="B947" s="30"/>
      <c r="C947" s="303"/>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149"/>
      <c r="AN947" s="30"/>
      <c r="AO947" s="149"/>
      <c r="AP947" s="149"/>
    </row>
    <row r="948" ht="18.75" customHeight="1">
      <c r="A948" s="149"/>
      <c r="B948" s="149"/>
      <c r="C948" s="304"/>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c r="AA948" s="149"/>
      <c r="AB948" s="149"/>
      <c r="AC948" s="149"/>
      <c r="AD948" s="149"/>
      <c r="AE948" s="149"/>
      <c r="AF948" s="149"/>
      <c r="AG948" s="149"/>
      <c r="AH948" s="149"/>
      <c r="AI948" s="149"/>
      <c r="AJ948" s="149"/>
      <c r="AK948" s="149"/>
      <c r="AL948" s="149"/>
      <c r="AM948" s="149"/>
      <c r="AN948" s="149"/>
      <c r="AO948" s="149"/>
      <c r="AP948" s="149"/>
    </row>
    <row r="949" ht="18.75" customHeight="1">
      <c r="A949" s="149"/>
      <c r="B949" s="149"/>
      <c r="C949" s="304"/>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c r="AA949" s="149"/>
      <c r="AB949" s="149"/>
      <c r="AC949" s="149"/>
      <c r="AD949" s="149"/>
      <c r="AE949" s="149"/>
      <c r="AF949" s="149"/>
      <c r="AG949" s="149"/>
      <c r="AH949" s="149"/>
      <c r="AI949" s="149"/>
      <c r="AJ949" s="149"/>
      <c r="AK949" s="149"/>
      <c r="AL949" s="149"/>
      <c r="AM949" s="149"/>
      <c r="AN949" s="149"/>
      <c r="AO949" s="149"/>
      <c r="AP949" s="149"/>
    </row>
    <row r="950" ht="18.75" customHeight="1">
      <c r="A950" s="149"/>
      <c r="B950" s="149"/>
      <c r="C950" s="304"/>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c r="AA950" s="149"/>
      <c r="AB950" s="149"/>
      <c r="AC950" s="149"/>
      <c r="AD950" s="149"/>
      <c r="AE950" s="149"/>
      <c r="AF950" s="149"/>
      <c r="AG950" s="149"/>
      <c r="AH950" s="149"/>
      <c r="AI950" s="149"/>
      <c r="AJ950" s="149"/>
      <c r="AK950" s="149"/>
      <c r="AL950" s="149"/>
      <c r="AM950" s="149"/>
      <c r="AN950" s="149"/>
      <c r="AO950" s="149"/>
      <c r="AP950" s="149"/>
    </row>
    <row r="951" ht="18.75" customHeight="1">
      <c r="A951" s="149"/>
      <c r="B951" s="149"/>
      <c r="C951" s="304"/>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c r="AA951" s="149"/>
      <c r="AB951" s="149"/>
      <c r="AC951" s="149"/>
      <c r="AD951" s="149"/>
      <c r="AE951" s="149"/>
      <c r="AF951" s="149"/>
      <c r="AG951" s="149"/>
      <c r="AH951" s="149"/>
      <c r="AI951" s="149"/>
      <c r="AJ951" s="149"/>
      <c r="AK951" s="149"/>
      <c r="AL951" s="149"/>
      <c r="AM951" s="149"/>
      <c r="AN951" s="149"/>
      <c r="AO951" s="149"/>
      <c r="AP951" s="149"/>
    </row>
    <row r="952" ht="18.75" customHeight="1">
      <c r="A952" s="149"/>
      <c r="B952" s="149"/>
      <c r="C952" s="304"/>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c r="AA952" s="149"/>
      <c r="AB952" s="149"/>
      <c r="AC952" s="149"/>
      <c r="AD952" s="149"/>
      <c r="AE952" s="149"/>
      <c r="AF952" s="149"/>
      <c r="AG952" s="149"/>
      <c r="AH952" s="149"/>
      <c r="AI952" s="149"/>
      <c r="AJ952" s="149"/>
      <c r="AK952" s="149"/>
      <c r="AL952" s="149"/>
      <c r="AM952" s="149"/>
      <c r="AN952" s="149"/>
      <c r="AO952" s="149"/>
      <c r="AP952" s="149"/>
    </row>
    <row r="953" ht="18.75" customHeight="1">
      <c r="A953" s="149"/>
      <c r="B953" s="149"/>
      <c r="C953" s="304"/>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c r="AA953" s="149"/>
      <c r="AB953" s="149"/>
      <c r="AC953" s="149"/>
      <c r="AD953" s="149"/>
      <c r="AE953" s="149"/>
      <c r="AF953" s="149"/>
      <c r="AG953" s="149"/>
      <c r="AH953" s="149"/>
      <c r="AI953" s="149"/>
      <c r="AJ953" s="149"/>
      <c r="AK953" s="149"/>
      <c r="AL953" s="149"/>
      <c r="AM953" s="149"/>
      <c r="AN953" s="149"/>
      <c r="AO953" s="149"/>
      <c r="AP953" s="149"/>
    </row>
    <row r="954" ht="18.75" customHeight="1">
      <c r="A954" s="149"/>
      <c r="B954" s="149"/>
      <c r="C954" s="304"/>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c r="AA954" s="149"/>
      <c r="AB954" s="149"/>
      <c r="AC954" s="149"/>
      <c r="AD954" s="149"/>
      <c r="AE954" s="149"/>
      <c r="AF954" s="149"/>
      <c r="AG954" s="149"/>
      <c r="AH954" s="149"/>
      <c r="AI954" s="149"/>
      <c r="AJ954" s="149"/>
      <c r="AK954" s="149"/>
      <c r="AL954" s="149"/>
      <c r="AM954" s="149"/>
      <c r="AN954" s="149"/>
      <c r="AO954" s="149"/>
      <c r="AP954" s="149"/>
    </row>
    <row r="955" ht="18.75" customHeight="1">
      <c r="A955" s="149"/>
      <c r="B955" s="149"/>
      <c r="C955" s="304"/>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c r="AA955" s="149"/>
      <c r="AB955" s="149"/>
      <c r="AC955" s="149"/>
      <c r="AD955" s="149"/>
      <c r="AE955" s="149"/>
      <c r="AF955" s="149"/>
      <c r="AG955" s="149"/>
      <c r="AH955" s="149"/>
      <c r="AI955" s="149"/>
      <c r="AJ955" s="149"/>
      <c r="AK955" s="149"/>
      <c r="AL955" s="149"/>
      <c r="AM955" s="149"/>
      <c r="AN955" s="149"/>
      <c r="AO955" s="149"/>
      <c r="AP955" s="149"/>
    </row>
    <row r="956" ht="18.75" customHeight="1">
      <c r="A956" s="149"/>
      <c r="B956" s="149"/>
      <c r="C956" s="304"/>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c r="AA956" s="149"/>
      <c r="AB956" s="149"/>
      <c r="AC956" s="149"/>
      <c r="AD956" s="149"/>
      <c r="AE956" s="149"/>
      <c r="AF956" s="149"/>
      <c r="AG956" s="149"/>
      <c r="AH956" s="149"/>
      <c r="AI956" s="149"/>
      <c r="AJ956" s="149"/>
      <c r="AK956" s="149"/>
      <c r="AL956" s="149"/>
      <c r="AM956" s="149"/>
      <c r="AN956" s="149"/>
      <c r="AO956" s="149"/>
      <c r="AP956" s="149"/>
    </row>
    <row r="957" ht="18.75" customHeight="1">
      <c r="A957" s="149"/>
      <c r="B957" s="149"/>
      <c r="C957" s="304"/>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c r="AA957" s="149"/>
      <c r="AB957" s="149"/>
      <c r="AC957" s="149"/>
      <c r="AD957" s="149"/>
      <c r="AE957" s="149"/>
      <c r="AF957" s="149"/>
      <c r="AG957" s="149"/>
      <c r="AH957" s="149"/>
      <c r="AI957" s="149"/>
      <c r="AJ957" s="149"/>
      <c r="AK957" s="149"/>
      <c r="AL957" s="149"/>
      <c r="AM957" s="149"/>
      <c r="AN957" s="149"/>
      <c r="AO957" s="149"/>
      <c r="AP957" s="149"/>
    </row>
    <row r="958" ht="18.75" customHeight="1">
      <c r="A958" s="149"/>
      <c r="B958" s="149"/>
      <c r="C958" s="304"/>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c r="AA958" s="149"/>
      <c r="AB958" s="149"/>
      <c r="AC958" s="149"/>
      <c r="AD958" s="149"/>
      <c r="AE958" s="149"/>
      <c r="AF958" s="149"/>
      <c r="AG958" s="149"/>
      <c r="AH958" s="149"/>
      <c r="AI958" s="149"/>
      <c r="AJ958" s="149"/>
      <c r="AK958" s="149"/>
      <c r="AL958" s="149"/>
      <c r="AM958" s="149"/>
      <c r="AN958" s="149"/>
      <c r="AO958" s="149"/>
      <c r="AP958" s="149"/>
    </row>
    <row r="959" ht="18.75" customHeight="1">
      <c r="A959" s="149"/>
      <c r="B959" s="149"/>
      <c r="C959" s="304"/>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c r="AA959" s="149"/>
      <c r="AB959" s="149"/>
      <c r="AC959" s="149"/>
      <c r="AD959" s="149"/>
      <c r="AE959" s="149"/>
      <c r="AF959" s="149"/>
      <c r="AG959" s="149"/>
      <c r="AH959" s="149"/>
      <c r="AI959" s="149"/>
      <c r="AJ959" s="149"/>
      <c r="AK959" s="149"/>
      <c r="AL959" s="149"/>
      <c r="AM959" s="149"/>
      <c r="AN959" s="149"/>
      <c r="AO959" s="149"/>
      <c r="AP959" s="149"/>
    </row>
    <row r="960" ht="18.75" customHeight="1">
      <c r="A960" s="149"/>
      <c r="B960" s="149"/>
      <c r="C960" s="304"/>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c r="AA960" s="149"/>
      <c r="AB960" s="149"/>
      <c r="AC960" s="149"/>
      <c r="AD960" s="149"/>
      <c r="AE960" s="149"/>
      <c r="AF960" s="149"/>
      <c r="AG960" s="149"/>
      <c r="AH960" s="149"/>
      <c r="AI960" s="149"/>
      <c r="AJ960" s="149"/>
      <c r="AK960" s="149"/>
      <c r="AL960" s="149"/>
      <c r="AM960" s="149"/>
      <c r="AN960" s="149"/>
      <c r="AO960" s="149"/>
      <c r="AP960" s="149"/>
    </row>
    <row r="961" ht="18.75" customHeight="1">
      <c r="A961" s="149"/>
      <c r="B961" s="149"/>
      <c r="C961" s="304"/>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c r="AA961" s="149"/>
      <c r="AB961" s="149"/>
      <c r="AC961" s="149"/>
      <c r="AD961" s="149"/>
      <c r="AE961" s="149"/>
      <c r="AF961" s="149"/>
      <c r="AG961" s="149"/>
      <c r="AH961" s="149"/>
      <c r="AI961" s="149"/>
      <c r="AJ961" s="149"/>
      <c r="AK961" s="149"/>
      <c r="AL961" s="149"/>
      <c r="AM961" s="149"/>
      <c r="AN961" s="149"/>
      <c r="AO961" s="149"/>
      <c r="AP961" s="149"/>
    </row>
    <row r="962" ht="18.75" customHeight="1">
      <c r="A962" s="149"/>
      <c r="B962" s="149"/>
      <c r="C962" s="304"/>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c r="AA962" s="149"/>
      <c r="AB962" s="149"/>
      <c r="AC962" s="149"/>
      <c r="AD962" s="149"/>
      <c r="AE962" s="149"/>
      <c r="AF962" s="149"/>
      <c r="AG962" s="149"/>
      <c r="AH962" s="149"/>
      <c r="AI962" s="149"/>
      <c r="AJ962" s="149"/>
      <c r="AK962" s="149"/>
      <c r="AL962" s="149"/>
      <c r="AM962" s="149"/>
      <c r="AN962" s="149"/>
      <c r="AO962" s="149"/>
      <c r="AP962" s="149"/>
    </row>
    <row r="963" ht="18.75" customHeight="1">
      <c r="A963" s="149"/>
      <c r="B963" s="149"/>
      <c r="C963" s="304"/>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c r="AA963" s="149"/>
      <c r="AB963" s="149"/>
      <c r="AC963" s="149"/>
      <c r="AD963" s="149"/>
      <c r="AE963" s="149"/>
      <c r="AF963" s="149"/>
      <c r="AG963" s="149"/>
      <c r="AH963" s="149"/>
      <c r="AI963" s="149"/>
      <c r="AJ963" s="149"/>
      <c r="AK963" s="149"/>
      <c r="AL963" s="149"/>
      <c r="AM963" s="149"/>
      <c r="AN963" s="149"/>
      <c r="AO963" s="149"/>
      <c r="AP963" s="149"/>
    </row>
    <row r="964" ht="18.75" customHeight="1">
      <c r="A964" s="149"/>
      <c r="B964" s="149"/>
      <c r="C964" s="304"/>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c r="AA964" s="149"/>
      <c r="AB964" s="149"/>
      <c r="AC964" s="149"/>
      <c r="AD964" s="149"/>
      <c r="AE964" s="149"/>
      <c r="AF964" s="149"/>
      <c r="AG964" s="149"/>
      <c r="AH964" s="149"/>
      <c r="AI964" s="149"/>
      <c r="AJ964" s="149"/>
      <c r="AK964" s="149"/>
      <c r="AL964" s="149"/>
      <c r="AM964" s="149"/>
      <c r="AN964" s="149"/>
      <c r="AO964" s="149"/>
      <c r="AP964" s="149"/>
    </row>
    <row r="965" ht="18.75" customHeight="1">
      <c r="A965" s="149"/>
      <c r="B965" s="149"/>
      <c r="C965" s="304"/>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c r="AA965" s="149"/>
      <c r="AB965" s="149"/>
      <c r="AC965" s="149"/>
      <c r="AD965" s="149"/>
      <c r="AE965" s="149"/>
      <c r="AF965" s="149"/>
      <c r="AG965" s="149"/>
      <c r="AH965" s="149"/>
      <c r="AI965" s="149"/>
      <c r="AJ965" s="149"/>
      <c r="AK965" s="149"/>
      <c r="AL965" s="149"/>
      <c r="AM965" s="149"/>
      <c r="AN965" s="149"/>
      <c r="AO965" s="149"/>
      <c r="AP965" s="149"/>
    </row>
    <row r="966" ht="18.75" customHeight="1">
      <c r="A966" s="149"/>
      <c r="B966" s="149"/>
      <c r="C966" s="304"/>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c r="AA966" s="149"/>
      <c r="AB966" s="149"/>
      <c r="AC966" s="149"/>
      <c r="AD966" s="149"/>
      <c r="AE966" s="149"/>
      <c r="AF966" s="149"/>
      <c r="AG966" s="149"/>
      <c r="AH966" s="149"/>
      <c r="AI966" s="149"/>
      <c r="AJ966" s="149"/>
      <c r="AK966" s="149"/>
      <c r="AL966" s="149"/>
      <c r="AM966" s="149"/>
      <c r="AN966" s="149"/>
      <c r="AO966" s="149"/>
      <c r="AP966" s="149"/>
    </row>
    <row r="967" ht="18.75" customHeight="1">
      <c r="A967" s="149"/>
      <c r="B967" s="149"/>
      <c r="C967" s="304"/>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c r="AA967" s="149"/>
      <c r="AB967" s="149"/>
      <c r="AC967" s="149"/>
      <c r="AD967" s="149"/>
      <c r="AE967" s="149"/>
      <c r="AF967" s="149"/>
      <c r="AG967" s="149"/>
      <c r="AH967" s="149"/>
      <c r="AI967" s="149"/>
      <c r="AJ967" s="149"/>
      <c r="AK967" s="149"/>
      <c r="AL967" s="149"/>
      <c r="AM967" s="149"/>
      <c r="AN967" s="149"/>
      <c r="AO967" s="149"/>
      <c r="AP967" s="149"/>
    </row>
    <row r="968" ht="18.75" customHeight="1">
      <c r="A968" s="149"/>
      <c r="B968" s="149"/>
      <c r="C968" s="304"/>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c r="AA968" s="149"/>
      <c r="AB968" s="149"/>
      <c r="AC968" s="149"/>
      <c r="AD968" s="149"/>
      <c r="AE968" s="149"/>
      <c r="AF968" s="149"/>
      <c r="AG968" s="149"/>
      <c r="AH968" s="149"/>
      <c r="AI968" s="149"/>
      <c r="AJ968" s="149"/>
      <c r="AK968" s="149"/>
      <c r="AL968" s="149"/>
      <c r="AM968" s="149"/>
      <c r="AN968" s="149"/>
      <c r="AO968" s="149"/>
      <c r="AP968" s="149"/>
    </row>
    <row r="969" ht="18.75" customHeight="1">
      <c r="A969" s="149"/>
      <c r="B969" s="149"/>
      <c r="C969" s="304"/>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c r="AA969" s="149"/>
      <c r="AB969" s="149"/>
      <c r="AC969" s="149"/>
      <c r="AD969" s="149"/>
      <c r="AE969" s="149"/>
      <c r="AF969" s="149"/>
      <c r="AG969" s="149"/>
      <c r="AH969" s="149"/>
      <c r="AI969" s="149"/>
      <c r="AJ969" s="149"/>
      <c r="AK969" s="149"/>
      <c r="AL969" s="149"/>
      <c r="AM969" s="149"/>
      <c r="AN969" s="149"/>
      <c r="AO969" s="149"/>
      <c r="AP969" s="149"/>
    </row>
    <row r="970" ht="18.75" customHeight="1">
      <c r="A970" s="149"/>
      <c r="B970" s="149"/>
      <c r="C970" s="304"/>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c r="AA970" s="149"/>
      <c r="AB970" s="149"/>
      <c r="AC970" s="149"/>
      <c r="AD970" s="149"/>
      <c r="AE970" s="149"/>
      <c r="AF970" s="149"/>
      <c r="AG970" s="149"/>
      <c r="AH970" s="149"/>
      <c r="AI970" s="149"/>
      <c r="AJ970" s="149"/>
      <c r="AK970" s="149"/>
      <c r="AL970" s="149"/>
      <c r="AM970" s="149"/>
      <c r="AN970" s="149"/>
      <c r="AO970" s="149"/>
      <c r="AP970" s="149"/>
    </row>
    <row r="971" ht="18.75" customHeight="1">
      <c r="A971" s="149"/>
      <c r="B971" s="149"/>
      <c r="C971" s="304"/>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c r="AA971" s="149"/>
      <c r="AB971" s="149"/>
      <c r="AC971" s="149"/>
      <c r="AD971" s="149"/>
      <c r="AE971" s="149"/>
      <c r="AF971" s="149"/>
      <c r="AG971" s="149"/>
      <c r="AH971" s="149"/>
      <c r="AI971" s="149"/>
      <c r="AJ971" s="149"/>
      <c r="AK971" s="149"/>
      <c r="AL971" s="149"/>
      <c r="AM971" s="149"/>
      <c r="AN971" s="149"/>
      <c r="AO971" s="149"/>
      <c r="AP971" s="149"/>
    </row>
    <row r="972" ht="18.75" customHeight="1">
      <c r="A972" s="149"/>
      <c r="B972" s="149"/>
      <c r="C972" s="304"/>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c r="AA972" s="149"/>
      <c r="AB972" s="149"/>
      <c r="AC972" s="149"/>
      <c r="AD972" s="149"/>
      <c r="AE972" s="149"/>
      <c r="AF972" s="149"/>
      <c r="AG972" s="149"/>
      <c r="AH972" s="149"/>
      <c r="AI972" s="149"/>
      <c r="AJ972" s="149"/>
      <c r="AK972" s="149"/>
      <c r="AL972" s="149"/>
      <c r="AM972" s="149"/>
      <c r="AN972" s="149"/>
      <c r="AO972" s="149"/>
      <c r="AP972" s="149"/>
    </row>
    <row r="973" ht="18.75" customHeight="1">
      <c r="A973" s="149"/>
      <c r="B973" s="149"/>
      <c r="C973" s="304"/>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c r="AA973" s="149"/>
      <c r="AB973" s="149"/>
      <c r="AC973" s="149"/>
      <c r="AD973" s="149"/>
      <c r="AE973" s="149"/>
      <c r="AF973" s="149"/>
      <c r="AG973" s="149"/>
      <c r="AH973" s="149"/>
      <c r="AI973" s="149"/>
      <c r="AJ973" s="149"/>
      <c r="AK973" s="149"/>
      <c r="AL973" s="149"/>
      <c r="AM973" s="149"/>
      <c r="AN973" s="149"/>
      <c r="AO973" s="149"/>
      <c r="AP973" s="149"/>
    </row>
    <row r="974" ht="18.75" customHeight="1">
      <c r="A974" s="149"/>
      <c r="B974" s="149"/>
      <c r="C974" s="304"/>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c r="AA974" s="149"/>
      <c r="AB974" s="149"/>
      <c r="AC974" s="149"/>
      <c r="AD974" s="149"/>
      <c r="AE974" s="149"/>
      <c r="AF974" s="149"/>
      <c r="AG974" s="149"/>
      <c r="AH974" s="149"/>
      <c r="AI974" s="149"/>
      <c r="AJ974" s="149"/>
      <c r="AK974" s="149"/>
      <c r="AL974" s="149"/>
      <c r="AM974" s="149"/>
      <c r="AN974" s="149"/>
      <c r="AO974" s="149"/>
      <c r="AP974" s="149"/>
    </row>
    <row r="975" ht="18.75" customHeight="1">
      <c r="A975" s="149"/>
      <c r="B975" s="149"/>
      <c r="C975" s="304"/>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c r="AA975" s="149"/>
      <c r="AB975" s="149"/>
      <c r="AC975" s="149"/>
      <c r="AD975" s="149"/>
      <c r="AE975" s="149"/>
      <c r="AF975" s="149"/>
      <c r="AG975" s="149"/>
      <c r="AH975" s="149"/>
      <c r="AI975" s="149"/>
      <c r="AJ975" s="149"/>
      <c r="AK975" s="149"/>
      <c r="AL975" s="149"/>
      <c r="AM975" s="149"/>
      <c r="AN975" s="149"/>
      <c r="AO975" s="149"/>
      <c r="AP975" s="149"/>
    </row>
    <row r="976" ht="18.75" customHeight="1">
      <c r="A976" s="149"/>
      <c r="B976" s="149"/>
      <c r="C976" s="304"/>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c r="AA976" s="149"/>
      <c r="AB976" s="149"/>
      <c r="AC976" s="149"/>
      <c r="AD976" s="149"/>
      <c r="AE976" s="149"/>
      <c r="AF976" s="149"/>
      <c r="AG976" s="149"/>
      <c r="AH976" s="149"/>
      <c r="AI976" s="149"/>
      <c r="AJ976" s="149"/>
      <c r="AK976" s="149"/>
      <c r="AL976" s="149"/>
      <c r="AM976" s="149"/>
      <c r="AN976" s="149"/>
      <c r="AO976" s="149"/>
      <c r="AP976" s="149"/>
    </row>
    <row r="977" ht="18.75" customHeight="1">
      <c r="A977" s="149"/>
      <c r="B977" s="149"/>
      <c r="C977" s="304"/>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c r="AA977" s="149"/>
      <c r="AB977" s="149"/>
      <c r="AC977" s="149"/>
      <c r="AD977" s="149"/>
      <c r="AE977" s="149"/>
      <c r="AF977" s="149"/>
      <c r="AG977" s="149"/>
      <c r="AH977" s="149"/>
      <c r="AI977" s="149"/>
      <c r="AJ977" s="149"/>
      <c r="AK977" s="149"/>
      <c r="AL977" s="149"/>
      <c r="AM977" s="149"/>
      <c r="AN977" s="149"/>
      <c r="AO977" s="149"/>
      <c r="AP977" s="149"/>
    </row>
    <row r="978" ht="18.75" customHeight="1">
      <c r="A978" s="149"/>
      <c r="B978" s="149"/>
      <c r="C978" s="304"/>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c r="AA978" s="149"/>
      <c r="AB978" s="149"/>
      <c r="AC978" s="149"/>
      <c r="AD978" s="149"/>
      <c r="AE978" s="149"/>
      <c r="AF978" s="149"/>
      <c r="AG978" s="149"/>
      <c r="AH978" s="149"/>
      <c r="AI978" s="149"/>
      <c r="AJ978" s="149"/>
      <c r="AK978" s="149"/>
      <c r="AL978" s="149"/>
      <c r="AM978" s="149"/>
      <c r="AN978" s="149"/>
      <c r="AO978" s="149"/>
      <c r="AP978" s="149"/>
    </row>
    <row r="979" ht="18.75" customHeight="1">
      <c r="A979" s="149"/>
      <c r="B979" s="149"/>
      <c r="C979" s="304"/>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c r="AA979" s="149"/>
      <c r="AB979" s="149"/>
      <c r="AC979" s="149"/>
      <c r="AD979" s="149"/>
      <c r="AE979" s="149"/>
      <c r="AF979" s="149"/>
      <c r="AG979" s="149"/>
      <c r="AH979" s="149"/>
      <c r="AI979" s="149"/>
      <c r="AJ979" s="149"/>
      <c r="AK979" s="149"/>
      <c r="AL979" s="149"/>
      <c r="AM979" s="149"/>
      <c r="AN979" s="149"/>
      <c r="AO979" s="149"/>
      <c r="AP979" s="149"/>
    </row>
    <row r="980" ht="18.75" customHeight="1">
      <c r="A980" s="149"/>
      <c r="B980" s="149"/>
      <c r="C980" s="304"/>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c r="AA980" s="149"/>
      <c r="AB980" s="149"/>
      <c r="AC980" s="149"/>
      <c r="AD980" s="149"/>
      <c r="AE980" s="149"/>
      <c r="AF980" s="149"/>
      <c r="AG980" s="149"/>
      <c r="AH980" s="149"/>
      <c r="AI980" s="149"/>
      <c r="AJ980" s="149"/>
      <c r="AK980" s="149"/>
      <c r="AL980" s="149"/>
      <c r="AM980" s="149"/>
      <c r="AN980" s="149"/>
      <c r="AO980" s="149"/>
      <c r="AP980" s="149"/>
    </row>
    <row r="981" ht="18.75" customHeight="1">
      <c r="A981" s="149"/>
      <c r="B981" s="149"/>
      <c r="C981" s="304"/>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c r="AA981" s="149"/>
      <c r="AB981" s="149"/>
      <c r="AC981" s="149"/>
      <c r="AD981" s="149"/>
      <c r="AE981" s="149"/>
      <c r="AF981" s="149"/>
      <c r="AG981" s="149"/>
      <c r="AH981" s="149"/>
      <c r="AI981" s="149"/>
      <c r="AJ981" s="149"/>
      <c r="AK981" s="149"/>
      <c r="AL981" s="149"/>
      <c r="AM981" s="149"/>
      <c r="AN981" s="149"/>
      <c r="AO981" s="149"/>
      <c r="AP981" s="149"/>
    </row>
    <row r="982" ht="18.75" customHeight="1">
      <c r="A982" s="149"/>
      <c r="B982" s="149"/>
      <c r="C982" s="304"/>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c r="AA982" s="149"/>
      <c r="AB982" s="149"/>
      <c r="AC982" s="149"/>
      <c r="AD982" s="149"/>
      <c r="AE982" s="149"/>
      <c r="AF982" s="149"/>
      <c r="AG982" s="149"/>
      <c r="AH982" s="149"/>
      <c r="AI982" s="149"/>
      <c r="AJ982" s="149"/>
      <c r="AK982" s="149"/>
      <c r="AL982" s="149"/>
      <c r="AM982" s="149"/>
      <c r="AN982" s="149"/>
      <c r="AO982" s="149"/>
      <c r="AP982" s="149"/>
    </row>
    <row r="983" ht="18.75" customHeight="1">
      <c r="A983" s="149"/>
      <c r="B983" s="149"/>
      <c r="C983" s="304"/>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c r="AA983" s="149"/>
      <c r="AB983" s="149"/>
      <c r="AC983" s="149"/>
      <c r="AD983" s="149"/>
      <c r="AE983" s="149"/>
      <c r="AF983" s="149"/>
      <c r="AG983" s="149"/>
      <c r="AH983" s="149"/>
      <c r="AI983" s="149"/>
      <c r="AJ983" s="149"/>
      <c r="AK983" s="149"/>
      <c r="AL983" s="149"/>
      <c r="AM983" s="149"/>
      <c r="AN983" s="149"/>
      <c r="AO983" s="149"/>
      <c r="AP983" s="149"/>
    </row>
    <row r="984" ht="18.75" customHeight="1">
      <c r="A984" s="149"/>
      <c r="B984" s="149"/>
      <c r="C984" s="304"/>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c r="AA984" s="149"/>
      <c r="AB984" s="149"/>
      <c r="AC984" s="149"/>
      <c r="AD984" s="149"/>
      <c r="AE984" s="149"/>
      <c r="AF984" s="149"/>
      <c r="AG984" s="149"/>
      <c r="AH984" s="149"/>
      <c r="AI984" s="149"/>
      <c r="AJ984" s="149"/>
      <c r="AK984" s="149"/>
      <c r="AL984" s="149"/>
      <c r="AM984" s="149"/>
      <c r="AN984" s="149"/>
      <c r="AO984" s="149"/>
      <c r="AP984" s="149"/>
    </row>
    <row r="985" ht="18.75" customHeight="1">
      <c r="A985" s="149"/>
      <c r="B985" s="149"/>
      <c r="C985" s="304"/>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c r="AA985" s="149"/>
      <c r="AB985" s="149"/>
      <c r="AC985" s="149"/>
      <c r="AD985" s="149"/>
      <c r="AE985" s="149"/>
      <c r="AF985" s="149"/>
      <c r="AG985" s="149"/>
      <c r="AH985" s="149"/>
      <c r="AI985" s="149"/>
      <c r="AJ985" s="149"/>
      <c r="AK985" s="149"/>
      <c r="AL985" s="149"/>
      <c r="AM985" s="149"/>
      <c r="AN985" s="149"/>
      <c r="AO985" s="149"/>
      <c r="AP985" s="149"/>
    </row>
    <row r="986" ht="18.75" customHeight="1">
      <c r="A986" s="149"/>
      <c r="B986" s="149"/>
      <c r="C986" s="304"/>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c r="AA986" s="149"/>
      <c r="AB986" s="149"/>
      <c r="AC986" s="149"/>
      <c r="AD986" s="149"/>
      <c r="AE986" s="149"/>
      <c r="AF986" s="149"/>
      <c r="AG986" s="149"/>
      <c r="AH986" s="149"/>
      <c r="AI986" s="149"/>
      <c r="AJ986" s="149"/>
      <c r="AK986" s="149"/>
      <c r="AL986" s="149"/>
      <c r="AM986" s="149"/>
      <c r="AN986" s="149"/>
      <c r="AO986" s="149"/>
      <c r="AP986" s="149"/>
    </row>
    <row r="987" ht="18.75" customHeight="1">
      <c r="A987" s="149"/>
      <c r="B987" s="149"/>
      <c r="C987" s="304"/>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c r="AA987" s="149"/>
      <c r="AB987" s="149"/>
      <c r="AC987" s="149"/>
      <c r="AD987" s="149"/>
      <c r="AE987" s="149"/>
      <c r="AF987" s="149"/>
      <c r="AG987" s="149"/>
      <c r="AH987" s="149"/>
      <c r="AI987" s="149"/>
      <c r="AJ987" s="149"/>
      <c r="AK987" s="149"/>
      <c r="AL987" s="149"/>
      <c r="AM987" s="149"/>
      <c r="AN987" s="149"/>
      <c r="AO987" s="149"/>
      <c r="AP987" s="149"/>
    </row>
    <row r="988" ht="18.75" customHeight="1">
      <c r="A988" s="149"/>
      <c r="B988" s="149"/>
      <c r="C988" s="304"/>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c r="AA988" s="149"/>
      <c r="AB988" s="149"/>
      <c r="AC988" s="149"/>
      <c r="AD988" s="149"/>
      <c r="AE988" s="149"/>
      <c r="AF988" s="149"/>
      <c r="AG988" s="149"/>
      <c r="AH988" s="149"/>
      <c r="AI988" s="149"/>
      <c r="AJ988" s="149"/>
      <c r="AK988" s="149"/>
      <c r="AL988" s="149"/>
      <c r="AM988" s="149"/>
      <c r="AN988" s="149"/>
      <c r="AO988" s="149"/>
      <c r="AP988" s="149"/>
    </row>
    <row r="989" ht="18.75" customHeight="1">
      <c r="A989" s="149"/>
      <c r="B989" s="149"/>
      <c r="C989" s="304"/>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c r="AA989" s="149"/>
      <c r="AB989" s="149"/>
      <c r="AC989" s="149"/>
      <c r="AD989" s="149"/>
      <c r="AE989" s="149"/>
      <c r="AF989" s="149"/>
      <c r="AG989" s="149"/>
      <c r="AH989" s="149"/>
      <c r="AI989" s="149"/>
      <c r="AJ989" s="149"/>
      <c r="AK989" s="149"/>
      <c r="AL989" s="149"/>
      <c r="AM989" s="149"/>
      <c r="AN989" s="149"/>
      <c r="AO989" s="149"/>
      <c r="AP989" s="149"/>
    </row>
    <row r="990" ht="18.75" customHeight="1">
      <c r="A990" s="149"/>
      <c r="B990" s="149"/>
      <c r="C990" s="304"/>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c r="AA990" s="149"/>
      <c r="AB990" s="149"/>
      <c r="AC990" s="149"/>
      <c r="AD990" s="149"/>
      <c r="AE990" s="149"/>
      <c r="AF990" s="149"/>
      <c r="AG990" s="149"/>
      <c r="AH990" s="149"/>
      <c r="AI990" s="149"/>
      <c r="AJ990" s="149"/>
      <c r="AK990" s="149"/>
      <c r="AL990" s="149"/>
      <c r="AM990" s="149"/>
      <c r="AN990" s="149"/>
      <c r="AO990" s="149"/>
      <c r="AP990" s="149"/>
    </row>
    <row r="991" ht="18.75" customHeight="1">
      <c r="A991" s="149"/>
      <c r="B991" s="149"/>
      <c r="C991" s="304"/>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c r="AA991" s="149"/>
      <c r="AB991" s="149"/>
      <c r="AC991" s="149"/>
      <c r="AD991" s="149"/>
      <c r="AE991" s="149"/>
      <c r="AF991" s="149"/>
      <c r="AG991" s="149"/>
      <c r="AH991" s="149"/>
      <c r="AI991" s="149"/>
      <c r="AJ991" s="149"/>
      <c r="AK991" s="149"/>
      <c r="AL991" s="149"/>
      <c r="AM991" s="149"/>
      <c r="AN991" s="149"/>
      <c r="AO991" s="149"/>
      <c r="AP991" s="149"/>
    </row>
    <row r="992" ht="18.75" customHeight="1">
      <c r="A992" s="149"/>
      <c r="B992" s="149"/>
      <c r="C992" s="304"/>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c r="AA992" s="149"/>
      <c r="AB992" s="149"/>
      <c r="AC992" s="149"/>
      <c r="AD992" s="149"/>
      <c r="AE992" s="149"/>
      <c r="AF992" s="149"/>
      <c r="AG992" s="149"/>
      <c r="AH992" s="149"/>
      <c r="AI992" s="149"/>
      <c r="AJ992" s="149"/>
      <c r="AK992" s="149"/>
      <c r="AL992" s="149"/>
      <c r="AM992" s="149"/>
      <c r="AN992" s="149"/>
      <c r="AO992" s="149"/>
      <c r="AP992" s="149"/>
    </row>
    <row r="993" ht="18.75" customHeight="1">
      <c r="A993" s="149"/>
      <c r="B993" s="149"/>
      <c r="C993" s="304"/>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c r="AA993" s="149"/>
      <c r="AB993" s="149"/>
      <c r="AC993" s="149"/>
      <c r="AD993" s="149"/>
      <c r="AE993" s="149"/>
      <c r="AF993" s="149"/>
      <c r="AG993" s="149"/>
      <c r="AH993" s="149"/>
      <c r="AI993" s="149"/>
      <c r="AJ993" s="149"/>
      <c r="AK993" s="149"/>
      <c r="AL993" s="149"/>
      <c r="AM993" s="149"/>
      <c r="AN993" s="149"/>
      <c r="AO993" s="149"/>
      <c r="AP993" s="149"/>
    </row>
    <row r="994" ht="18.75" customHeight="1">
      <c r="A994" s="149"/>
      <c r="B994" s="149"/>
      <c r="C994" s="304"/>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c r="AA994" s="149"/>
      <c r="AB994" s="149"/>
      <c r="AC994" s="149"/>
      <c r="AD994" s="149"/>
      <c r="AE994" s="149"/>
      <c r="AF994" s="149"/>
      <c r="AG994" s="149"/>
      <c r="AH994" s="149"/>
      <c r="AI994" s="149"/>
      <c r="AJ994" s="149"/>
      <c r="AK994" s="149"/>
      <c r="AL994" s="149"/>
      <c r="AM994" s="149"/>
      <c r="AN994" s="149"/>
      <c r="AO994" s="149"/>
      <c r="AP994" s="149"/>
    </row>
    <row r="995" ht="18.75" customHeight="1">
      <c r="A995" s="149"/>
      <c r="B995" s="149"/>
      <c r="C995" s="304"/>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c r="AA995" s="149"/>
      <c r="AB995" s="149"/>
      <c r="AC995" s="149"/>
      <c r="AD995" s="149"/>
      <c r="AE995" s="149"/>
      <c r="AF995" s="149"/>
      <c r="AG995" s="149"/>
      <c r="AH995" s="149"/>
      <c r="AI995" s="149"/>
      <c r="AJ995" s="149"/>
      <c r="AK995" s="149"/>
      <c r="AL995" s="149"/>
      <c r="AM995" s="149"/>
      <c r="AN995" s="149"/>
      <c r="AO995" s="149"/>
      <c r="AP995" s="149"/>
    </row>
    <row r="996" ht="18.75" customHeight="1">
      <c r="A996" s="149"/>
      <c r="B996" s="149"/>
      <c r="C996" s="304"/>
      <c r="D996" s="149"/>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c r="AA996" s="149"/>
      <c r="AB996" s="149"/>
      <c r="AC996" s="149"/>
      <c r="AD996" s="149"/>
      <c r="AE996" s="149"/>
      <c r="AF996" s="149"/>
      <c r="AG996" s="149"/>
      <c r="AH996" s="149"/>
      <c r="AI996" s="149"/>
      <c r="AJ996" s="149"/>
      <c r="AK996" s="149"/>
      <c r="AL996" s="149"/>
      <c r="AM996" s="149"/>
      <c r="AN996" s="149"/>
      <c r="AO996" s="149"/>
      <c r="AP996" s="149"/>
    </row>
    <row r="997" ht="18.75" customHeight="1">
      <c r="A997" s="149"/>
      <c r="B997" s="149"/>
      <c r="C997" s="304"/>
      <c r="D997" s="149"/>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c r="AA997" s="149"/>
      <c r="AB997" s="149"/>
      <c r="AC997" s="149"/>
      <c r="AD997" s="149"/>
      <c r="AE997" s="149"/>
      <c r="AF997" s="149"/>
      <c r="AG997" s="149"/>
      <c r="AH997" s="149"/>
      <c r="AI997" s="149"/>
      <c r="AJ997" s="149"/>
      <c r="AK997" s="149"/>
      <c r="AL997" s="149"/>
      <c r="AM997" s="149"/>
      <c r="AN997" s="149"/>
      <c r="AO997" s="149"/>
      <c r="AP997" s="149"/>
    </row>
    <row r="998" ht="18.75" customHeight="1">
      <c r="A998" s="149"/>
      <c r="B998" s="149"/>
      <c r="C998" s="304"/>
      <c r="D998" s="149"/>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c r="AA998" s="149"/>
      <c r="AB998" s="149"/>
      <c r="AC998" s="149"/>
      <c r="AD998" s="149"/>
      <c r="AE998" s="149"/>
      <c r="AF998" s="149"/>
      <c r="AG998" s="149"/>
      <c r="AH998" s="149"/>
      <c r="AI998" s="149"/>
      <c r="AJ998" s="149"/>
      <c r="AK998" s="149"/>
      <c r="AL998" s="149"/>
      <c r="AM998" s="149"/>
      <c r="AN998" s="149"/>
      <c r="AO998" s="149"/>
      <c r="AP998" s="149"/>
    </row>
    <row r="999" ht="18.75" customHeight="1">
      <c r="A999" s="149"/>
      <c r="B999" s="149"/>
      <c r="C999" s="304"/>
      <c r="D999" s="149"/>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c r="AA999" s="149"/>
      <c r="AB999" s="149"/>
      <c r="AC999" s="149"/>
      <c r="AD999" s="149"/>
      <c r="AE999" s="149"/>
      <c r="AF999" s="149"/>
      <c r="AG999" s="149"/>
      <c r="AH999" s="149"/>
      <c r="AI999" s="149"/>
      <c r="AJ999" s="149"/>
      <c r="AK999" s="149"/>
      <c r="AL999" s="149"/>
      <c r="AM999" s="149"/>
      <c r="AN999" s="149"/>
      <c r="AO999" s="149"/>
      <c r="AP999" s="149"/>
    </row>
    <row r="1000" ht="18.75" customHeight="1">
      <c r="A1000" s="149"/>
      <c r="B1000" s="149"/>
      <c r="C1000" s="304"/>
      <c r="D1000" s="149"/>
      <c r="E1000" s="149"/>
      <c r="F1000" s="149"/>
      <c r="G1000" s="149"/>
      <c r="H1000" s="149"/>
      <c r="I1000" s="149"/>
      <c r="J1000" s="149"/>
      <c r="K1000" s="149"/>
      <c r="L1000" s="149"/>
      <c r="M1000" s="149"/>
      <c r="N1000" s="149"/>
      <c r="O1000" s="149"/>
      <c r="P1000" s="149"/>
      <c r="Q1000" s="149"/>
      <c r="R1000" s="149"/>
      <c r="S1000" s="149"/>
      <c r="T1000" s="149"/>
      <c r="U1000" s="149"/>
      <c r="V1000" s="149"/>
      <c r="W1000" s="149"/>
      <c r="X1000" s="149"/>
      <c r="Y1000" s="149"/>
      <c r="Z1000" s="149"/>
      <c r="AA1000" s="149"/>
      <c r="AB1000" s="149"/>
      <c r="AC1000" s="149"/>
      <c r="AD1000" s="149"/>
      <c r="AE1000" s="149"/>
      <c r="AF1000" s="149"/>
      <c r="AG1000" s="149"/>
      <c r="AH1000" s="149"/>
      <c r="AI1000" s="149"/>
      <c r="AJ1000" s="149"/>
      <c r="AK1000" s="149"/>
      <c r="AL1000" s="149"/>
      <c r="AM1000" s="149"/>
      <c r="AN1000" s="149"/>
      <c r="AO1000" s="149"/>
      <c r="AP1000" s="149"/>
    </row>
    <row r="1001" ht="18.75" customHeight="1">
      <c r="A1001" s="149"/>
      <c r="B1001" s="149"/>
      <c r="C1001" s="304"/>
      <c r="D1001" s="149"/>
      <c r="E1001" s="149"/>
      <c r="F1001" s="149"/>
      <c r="G1001" s="149"/>
      <c r="H1001" s="149"/>
      <c r="I1001" s="149"/>
      <c r="J1001" s="149"/>
      <c r="K1001" s="149"/>
      <c r="L1001" s="149"/>
      <c r="M1001" s="149"/>
      <c r="N1001" s="149"/>
      <c r="O1001" s="149"/>
      <c r="P1001" s="149"/>
      <c r="Q1001" s="149"/>
      <c r="R1001" s="149"/>
      <c r="S1001" s="149"/>
      <c r="T1001" s="149"/>
      <c r="U1001" s="149"/>
      <c r="V1001" s="149"/>
      <c r="W1001" s="149"/>
      <c r="X1001" s="149"/>
      <c r="Y1001" s="149"/>
      <c r="Z1001" s="149"/>
      <c r="AA1001" s="149"/>
      <c r="AB1001" s="149"/>
      <c r="AC1001" s="149"/>
      <c r="AD1001" s="149"/>
      <c r="AE1001" s="149"/>
      <c r="AF1001" s="149"/>
      <c r="AG1001" s="149"/>
      <c r="AH1001" s="149"/>
      <c r="AI1001" s="149"/>
      <c r="AJ1001" s="149"/>
      <c r="AK1001" s="149"/>
      <c r="AL1001" s="149"/>
      <c r="AM1001" s="149"/>
      <c r="AN1001" s="149"/>
      <c r="AO1001" s="149"/>
      <c r="AP1001" s="149"/>
    </row>
    <row r="1002" ht="18.75" customHeight="1">
      <c r="A1002" s="149"/>
      <c r="B1002" s="149"/>
      <c r="C1002" s="304"/>
      <c r="D1002" s="149"/>
      <c r="E1002" s="149"/>
      <c r="F1002" s="149"/>
      <c r="G1002" s="149"/>
      <c r="H1002" s="149"/>
      <c r="I1002" s="149"/>
      <c r="J1002" s="149"/>
      <c r="K1002" s="149"/>
      <c r="L1002" s="149"/>
      <c r="M1002" s="149"/>
      <c r="N1002" s="149"/>
      <c r="O1002" s="149"/>
      <c r="P1002" s="149"/>
      <c r="Q1002" s="149"/>
      <c r="R1002" s="149"/>
      <c r="S1002" s="149"/>
      <c r="T1002" s="149"/>
      <c r="U1002" s="149"/>
      <c r="V1002" s="149"/>
      <c r="W1002" s="149"/>
      <c r="X1002" s="149"/>
      <c r="Y1002" s="149"/>
      <c r="Z1002" s="149"/>
      <c r="AA1002" s="149"/>
      <c r="AB1002" s="149"/>
      <c r="AC1002" s="149"/>
      <c r="AD1002" s="149"/>
      <c r="AE1002" s="149"/>
      <c r="AF1002" s="149"/>
      <c r="AG1002" s="149"/>
      <c r="AH1002" s="149"/>
      <c r="AI1002" s="149"/>
      <c r="AJ1002" s="149"/>
      <c r="AK1002" s="149"/>
      <c r="AL1002" s="149"/>
      <c r="AM1002" s="149"/>
      <c r="AN1002" s="149"/>
      <c r="AO1002" s="149"/>
      <c r="AP1002" s="149"/>
    </row>
    <row r="1003" ht="18.75" customHeight="1">
      <c r="A1003" s="149"/>
      <c r="B1003" s="149"/>
      <c r="C1003" s="304"/>
      <c r="D1003" s="149"/>
      <c r="E1003" s="149"/>
      <c r="F1003" s="149"/>
      <c r="G1003" s="149"/>
      <c r="H1003" s="149"/>
      <c r="I1003" s="149"/>
      <c r="J1003" s="149"/>
      <c r="K1003" s="149"/>
      <c r="L1003" s="149"/>
      <c r="M1003" s="149"/>
      <c r="N1003" s="149"/>
      <c r="O1003" s="149"/>
      <c r="P1003" s="149"/>
      <c r="Q1003" s="149"/>
      <c r="R1003" s="149"/>
      <c r="S1003" s="149"/>
      <c r="T1003" s="149"/>
      <c r="U1003" s="149"/>
      <c r="V1003" s="149"/>
      <c r="W1003" s="149"/>
      <c r="X1003" s="149"/>
      <c r="Y1003" s="149"/>
      <c r="Z1003" s="149"/>
      <c r="AA1003" s="149"/>
      <c r="AB1003" s="149"/>
      <c r="AC1003" s="149"/>
      <c r="AD1003" s="149"/>
      <c r="AE1003" s="149"/>
      <c r="AF1003" s="149"/>
      <c r="AG1003" s="149"/>
      <c r="AH1003" s="149"/>
      <c r="AI1003" s="149"/>
      <c r="AJ1003" s="149"/>
      <c r="AK1003" s="149"/>
      <c r="AL1003" s="149"/>
      <c r="AM1003" s="149"/>
      <c r="AN1003" s="149"/>
      <c r="AO1003" s="149"/>
      <c r="AP1003" s="149"/>
    </row>
    <row r="1004" ht="18.75" customHeight="1">
      <c r="A1004" s="149"/>
      <c r="B1004" s="149"/>
      <c r="C1004" s="304"/>
      <c r="D1004" s="149"/>
      <c r="E1004" s="149"/>
      <c r="F1004" s="149"/>
      <c r="G1004" s="149"/>
      <c r="H1004" s="149"/>
      <c r="I1004" s="149"/>
      <c r="J1004" s="149"/>
      <c r="K1004" s="149"/>
      <c r="L1004" s="149"/>
      <c r="M1004" s="149"/>
      <c r="N1004" s="149"/>
      <c r="O1004" s="149"/>
      <c r="P1004" s="149"/>
      <c r="Q1004" s="149"/>
      <c r="R1004" s="149"/>
      <c r="S1004" s="149"/>
      <c r="T1004" s="149"/>
      <c r="U1004" s="149"/>
      <c r="V1004" s="149"/>
      <c r="W1004" s="149"/>
      <c r="X1004" s="149"/>
      <c r="Y1004" s="149"/>
      <c r="Z1004" s="149"/>
      <c r="AA1004" s="149"/>
      <c r="AB1004" s="149"/>
      <c r="AC1004" s="149"/>
      <c r="AD1004" s="149"/>
      <c r="AE1004" s="149"/>
      <c r="AF1004" s="149"/>
      <c r="AG1004" s="149"/>
      <c r="AH1004" s="149"/>
      <c r="AI1004" s="149"/>
      <c r="AJ1004" s="149"/>
      <c r="AK1004" s="149"/>
      <c r="AL1004" s="149"/>
      <c r="AM1004" s="149"/>
      <c r="AN1004" s="149"/>
      <c r="AO1004" s="149"/>
      <c r="AP1004" s="149"/>
    </row>
    <row r="1005" ht="18.75" customHeight="1">
      <c r="A1005" s="149"/>
      <c r="B1005" s="149"/>
      <c r="C1005" s="304"/>
      <c r="D1005" s="149"/>
      <c r="E1005" s="149"/>
      <c r="F1005" s="149"/>
      <c r="G1005" s="149"/>
      <c r="H1005" s="149"/>
      <c r="I1005" s="149"/>
      <c r="J1005" s="149"/>
      <c r="K1005" s="149"/>
      <c r="L1005" s="149"/>
      <c r="M1005" s="149"/>
      <c r="N1005" s="149"/>
      <c r="O1005" s="149"/>
      <c r="P1005" s="149"/>
      <c r="Q1005" s="149"/>
      <c r="R1005" s="149"/>
      <c r="S1005" s="149"/>
      <c r="T1005" s="149"/>
      <c r="U1005" s="149"/>
      <c r="V1005" s="149"/>
      <c r="W1005" s="149"/>
      <c r="X1005" s="149"/>
      <c r="Y1005" s="149"/>
      <c r="Z1005" s="149"/>
      <c r="AA1005" s="149"/>
      <c r="AB1005" s="149"/>
      <c r="AC1005" s="149"/>
      <c r="AD1005" s="149"/>
      <c r="AE1005" s="149"/>
      <c r="AF1005" s="149"/>
      <c r="AG1005" s="149"/>
      <c r="AH1005" s="149"/>
      <c r="AI1005" s="149"/>
      <c r="AJ1005" s="149"/>
      <c r="AK1005" s="149"/>
      <c r="AL1005" s="149"/>
      <c r="AM1005" s="149"/>
      <c r="AN1005" s="149"/>
      <c r="AO1005" s="149"/>
      <c r="AP1005" s="149"/>
    </row>
    <row r="1006" ht="18.75" customHeight="1">
      <c r="A1006" s="149"/>
      <c r="B1006" s="149"/>
      <c r="C1006" s="304"/>
      <c r="D1006" s="149"/>
      <c r="E1006" s="149"/>
      <c r="F1006" s="149"/>
      <c r="G1006" s="149"/>
      <c r="H1006" s="149"/>
      <c r="I1006" s="149"/>
      <c r="J1006" s="149"/>
      <c r="K1006" s="149"/>
      <c r="L1006" s="149"/>
      <c r="M1006" s="149"/>
      <c r="N1006" s="149"/>
      <c r="O1006" s="149"/>
      <c r="P1006" s="149"/>
      <c r="Q1006" s="149"/>
      <c r="R1006" s="149"/>
      <c r="S1006" s="149"/>
      <c r="T1006" s="149"/>
      <c r="U1006" s="149"/>
      <c r="V1006" s="149"/>
      <c r="W1006" s="149"/>
      <c r="X1006" s="149"/>
      <c r="Y1006" s="149"/>
      <c r="Z1006" s="149"/>
      <c r="AA1006" s="149"/>
      <c r="AB1006" s="149"/>
      <c r="AC1006" s="149"/>
      <c r="AD1006" s="149"/>
      <c r="AE1006" s="149"/>
      <c r="AF1006" s="149"/>
      <c r="AG1006" s="149"/>
      <c r="AH1006" s="149"/>
      <c r="AI1006" s="149"/>
      <c r="AJ1006" s="149"/>
      <c r="AK1006" s="149"/>
      <c r="AL1006" s="149"/>
      <c r="AM1006" s="149"/>
      <c r="AN1006" s="149"/>
      <c r="AO1006" s="149"/>
      <c r="AP1006" s="149"/>
    </row>
    <row r="1007" ht="18.75" customHeight="1">
      <c r="A1007" s="149"/>
      <c r="B1007" s="149"/>
      <c r="C1007" s="304"/>
      <c r="D1007" s="149"/>
      <c r="E1007" s="149"/>
      <c r="F1007" s="149"/>
      <c r="G1007" s="149"/>
      <c r="H1007" s="149"/>
      <c r="I1007" s="149"/>
      <c r="J1007" s="149"/>
      <c r="K1007" s="149"/>
      <c r="L1007" s="149"/>
      <c r="M1007" s="149"/>
      <c r="N1007" s="149"/>
      <c r="O1007" s="149"/>
      <c r="P1007" s="149"/>
      <c r="Q1007" s="149"/>
      <c r="R1007" s="149"/>
      <c r="S1007" s="149"/>
      <c r="T1007" s="149"/>
      <c r="U1007" s="149"/>
      <c r="V1007" s="149"/>
      <c r="W1007" s="149"/>
      <c r="X1007" s="149"/>
      <c r="Y1007" s="149"/>
      <c r="Z1007" s="149"/>
      <c r="AA1007" s="149"/>
      <c r="AB1007" s="149"/>
      <c r="AC1007" s="149"/>
      <c r="AD1007" s="149"/>
      <c r="AE1007" s="149"/>
      <c r="AF1007" s="149"/>
      <c r="AG1007" s="149"/>
      <c r="AH1007" s="149"/>
      <c r="AI1007" s="149"/>
      <c r="AJ1007" s="149"/>
      <c r="AK1007" s="149"/>
      <c r="AL1007" s="149"/>
      <c r="AM1007" s="149"/>
      <c r="AN1007" s="149"/>
      <c r="AO1007" s="149"/>
      <c r="AP1007" s="149"/>
    </row>
    <row r="1008" ht="18.75" customHeight="1">
      <c r="A1008" s="149"/>
      <c r="B1008" s="149"/>
      <c r="C1008" s="304"/>
      <c r="D1008" s="149"/>
      <c r="E1008" s="149"/>
      <c r="F1008" s="149"/>
      <c r="G1008" s="149"/>
      <c r="H1008" s="149"/>
      <c r="I1008" s="149"/>
      <c r="J1008" s="149"/>
      <c r="K1008" s="149"/>
      <c r="L1008" s="149"/>
      <c r="M1008" s="149"/>
      <c r="N1008" s="149"/>
      <c r="O1008" s="149"/>
      <c r="P1008" s="149"/>
      <c r="Q1008" s="149"/>
      <c r="R1008" s="149"/>
      <c r="S1008" s="149"/>
      <c r="T1008" s="149"/>
      <c r="U1008" s="149"/>
      <c r="V1008" s="149"/>
      <c r="W1008" s="149"/>
      <c r="X1008" s="149"/>
      <c r="Y1008" s="149"/>
      <c r="Z1008" s="149"/>
      <c r="AA1008" s="149"/>
      <c r="AB1008" s="149"/>
      <c r="AC1008" s="149"/>
      <c r="AD1008" s="149"/>
      <c r="AE1008" s="149"/>
      <c r="AF1008" s="149"/>
      <c r="AG1008" s="149"/>
      <c r="AH1008" s="149"/>
      <c r="AI1008" s="149"/>
      <c r="AJ1008" s="149"/>
      <c r="AK1008" s="149"/>
      <c r="AL1008" s="149"/>
      <c r="AM1008" s="149"/>
      <c r="AN1008" s="149"/>
      <c r="AO1008" s="149"/>
      <c r="AP1008" s="149"/>
    </row>
    <row r="1009" ht="18.75" customHeight="1">
      <c r="A1009" s="149"/>
      <c r="B1009" s="149"/>
      <c r="C1009" s="304"/>
      <c r="D1009" s="149"/>
      <c r="E1009" s="149"/>
      <c r="F1009" s="149"/>
      <c r="G1009" s="149"/>
      <c r="H1009" s="149"/>
      <c r="I1009" s="149"/>
      <c r="J1009" s="149"/>
      <c r="K1009" s="149"/>
      <c r="L1009" s="149"/>
      <c r="M1009" s="149"/>
      <c r="N1009" s="149"/>
      <c r="O1009" s="149"/>
      <c r="P1009" s="149"/>
      <c r="Q1009" s="149"/>
      <c r="R1009" s="149"/>
      <c r="S1009" s="149"/>
      <c r="T1009" s="149"/>
      <c r="U1009" s="149"/>
      <c r="V1009" s="149"/>
      <c r="W1009" s="149"/>
      <c r="X1009" s="149"/>
      <c r="Y1009" s="149"/>
      <c r="Z1009" s="149"/>
      <c r="AA1009" s="149"/>
      <c r="AB1009" s="149"/>
      <c r="AC1009" s="149"/>
      <c r="AD1009" s="149"/>
      <c r="AE1009" s="149"/>
      <c r="AF1009" s="149"/>
      <c r="AG1009" s="149"/>
      <c r="AH1009" s="149"/>
      <c r="AI1009" s="149"/>
      <c r="AJ1009" s="149"/>
      <c r="AK1009" s="149"/>
      <c r="AL1009" s="149"/>
      <c r="AM1009" s="149"/>
      <c r="AN1009" s="149"/>
      <c r="AO1009" s="149"/>
      <c r="AP1009" s="149"/>
    </row>
    <row r="1010" ht="18.75" customHeight="1">
      <c r="A1010" s="149"/>
      <c r="B1010" s="149"/>
      <c r="C1010" s="304"/>
      <c r="D1010" s="149"/>
      <c r="E1010" s="149"/>
      <c r="F1010" s="149"/>
      <c r="G1010" s="149"/>
      <c r="H1010" s="149"/>
      <c r="I1010" s="149"/>
      <c r="J1010" s="149"/>
      <c r="K1010" s="149"/>
      <c r="L1010" s="149"/>
      <c r="M1010" s="149"/>
      <c r="N1010" s="149"/>
      <c r="O1010" s="149"/>
      <c r="P1010" s="149"/>
      <c r="Q1010" s="149"/>
      <c r="R1010" s="149"/>
      <c r="S1010" s="149"/>
      <c r="T1010" s="149"/>
      <c r="U1010" s="149"/>
      <c r="V1010" s="149"/>
      <c r="W1010" s="149"/>
      <c r="X1010" s="149"/>
      <c r="Y1010" s="149"/>
      <c r="Z1010" s="149"/>
      <c r="AA1010" s="149"/>
      <c r="AB1010" s="149"/>
      <c r="AC1010" s="149"/>
      <c r="AD1010" s="149"/>
      <c r="AE1010" s="149"/>
      <c r="AF1010" s="149"/>
      <c r="AG1010" s="149"/>
      <c r="AH1010" s="149"/>
      <c r="AI1010" s="149"/>
      <c r="AJ1010" s="149"/>
      <c r="AK1010" s="149"/>
      <c r="AL1010" s="149"/>
      <c r="AM1010" s="149"/>
      <c r="AN1010" s="149"/>
      <c r="AO1010" s="149"/>
      <c r="AP1010" s="149"/>
    </row>
    <row r="1011" ht="18.75" customHeight="1">
      <c r="A1011" s="149"/>
      <c r="B1011" s="149"/>
      <c r="C1011" s="304"/>
      <c r="D1011" s="149"/>
      <c r="E1011" s="149"/>
      <c r="F1011" s="149"/>
      <c r="G1011" s="149"/>
      <c r="H1011" s="149"/>
      <c r="I1011" s="149"/>
      <c r="J1011" s="149"/>
      <c r="K1011" s="149"/>
      <c r="L1011" s="149"/>
      <c r="M1011" s="149"/>
      <c r="N1011" s="149"/>
      <c r="O1011" s="149"/>
      <c r="P1011" s="149"/>
      <c r="Q1011" s="149"/>
      <c r="R1011" s="149"/>
      <c r="S1011" s="149"/>
      <c r="T1011" s="149"/>
      <c r="U1011" s="149"/>
      <c r="V1011" s="149"/>
      <c r="W1011" s="149"/>
      <c r="X1011" s="149"/>
      <c r="Y1011" s="149"/>
      <c r="Z1011" s="149"/>
      <c r="AA1011" s="149"/>
      <c r="AB1011" s="149"/>
      <c r="AC1011" s="149"/>
      <c r="AD1011" s="149"/>
      <c r="AE1011" s="149"/>
      <c r="AF1011" s="149"/>
      <c r="AG1011" s="149"/>
      <c r="AH1011" s="149"/>
      <c r="AI1011" s="149"/>
      <c r="AJ1011" s="149"/>
      <c r="AK1011" s="149"/>
      <c r="AL1011" s="149"/>
      <c r="AM1011" s="149"/>
      <c r="AN1011" s="149"/>
      <c r="AO1011" s="149"/>
      <c r="AP1011" s="149"/>
    </row>
    <row r="1012" ht="18.75" customHeight="1">
      <c r="A1012" s="149"/>
      <c r="B1012" s="149"/>
      <c r="C1012" s="304"/>
      <c r="D1012" s="149"/>
      <c r="E1012" s="149"/>
      <c r="F1012" s="149"/>
      <c r="G1012" s="149"/>
      <c r="H1012" s="149"/>
      <c r="I1012" s="149"/>
      <c r="J1012" s="149"/>
      <c r="K1012" s="149"/>
      <c r="L1012" s="149"/>
      <c r="M1012" s="149"/>
      <c r="N1012" s="149"/>
      <c r="O1012" s="149"/>
      <c r="P1012" s="149"/>
      <c r="Q1012" s="149"/>
      <c r="R1012" s="149"/>
      <c r="S1012" s="149"/>
      <c r="T1012" s="149"/>
      <c r="U1012" s="149"/>
      <c r="V1012" s="149"/>
      <c r="W1012" s="149"/>
      <c r="X1012" s="149"/>
      <c r="Y1012" s="149"/>
      <c r="Z1012" s="149"/>
      <c r="AA1012" s="149"/>
      <c r="AB1012" s="149"/>
      <c r="AC1012" s="149"/>
      <c r="AD1012" s="149"/>
      <c r="AE1012" s="149"/>
      <c r="AF1012" s="149"/>
      <c r="AG1012" s="149"/>
      <c r="AH1012" s="149"/>
      <c r="AI1012" s="149"/>
      <c r="AJ1012" s="149"/>
      <c r="AK1012" s="149"/>
      <c r="AL1012" s="149"/>
      <c r="AM1012" s="149"/>
      <c r="AN1012" s="149"/>
      <c r="AO1012" s="149"/>
      <c r="AP1012" s="149"/>
    </row>
    <row r="1013" ht="18.75" customHeight="1">
      <c r="A1013" s="149"/>
      <c r="B1013" s="149"/>
      <c r="C1013" s="304"/>
      <c r="D1013" s="149"/>
      <c r="E1013" s="149"/>
      <c r="F1013" s="149"/>
      <c r="G1013" s="149"/>
      <c r="H1013" s="149"/>
      <c r="I1013" s="149"/>
      <c r="J1013" s="149"/>
      <c r="K1013" s="149"/>
      <c r="L1013" s="149"/>
      <c r="M1013" s="149"/>
      <c r="N1013" s="149"/>
      <c r="O1013" s="149"/>
      <c r="P1013" s="149"/>
      <c r="Q1013" s="149"/>
      <c r="R1013" s="149"/>
      <c r="S1013" s="149"/>
      <c r="T1013" s="149"/>
      <c r="U1013" s="149"/>
      <c r="V1013" s="149"/>
      <c r="W1013" s="149"/>
      <c r="X1013" s="149"/>
      <c r="Y1013" s="149"/>
      <c r="Z1013" s="149"/>
      <c r="AA1013" s="149"/>
      <c r="AB1013" s="149"/>
      <c r="AC1013" s="149"/>
      <c r="AD1013" s="149"/>
      <c r="AE1013" s="149"/>
      <c r="AF1013" s="149"/>
      <c r="AG1013" s="149"/>
      <c r="AH1013" s="149"/>
      <c r="AI1013" s="149"/>
      <c r="AJ1013" s="149"/>
      <c r="AK1013" s="149"/>
      <c r="AL1013" s="149"/>
      <c r="AM1013" s="149"/>
      <c r="AN1013" s="149"/>
      <c r="AO1013" s="149"/>
      <c r="AP1013" s="149"/>
    </row>
    <row r="1014" ht="18.75" customHeight="1">
      <c r="A1014" s="149"/>
      <c r="B1014" s="149"/>
      <c r="C1014" s="304"/>
      <c r="D1014" s="149"/>
      <c r="E1014" s="149"/>
      <c r="F1014" s="149"/>
      <c r="G1014" s="149"/>
      <c r="H1014" s="149"/>
      <c r="I1014" s="149"/>
      <c r="J1014" s="149"/>
      <c r="K1014" s="149"/>
      <c r="L1014" s="149"/>
      <c r="M1014" s="149"/>
      <c r="N1014" s="149"/>
      <c r="O1014" s="149"/>
      <c r="P1014" s="149"/>
      <c r="Q1014" s="149"/>
      <c r="R1014" s="149"/>
      <c r="S1014" s="149"/>
      <c r="T1014" s="149"/>
      <c r="U1014" s="149"/>
      <c r="V1014" s="149"/>
      <c r="W1014" s="149"/>
      <c r="X1014" s="149"/>
      <c r="Y1014" s="149"/>
      <c r="Z1014" s="149"/>
      <c r="AA1014" s="149"/>
      <c r="AB1014" s="149"/>
      <c r="AC1014" s="149"/>
      <c r="AD1014" s="149"/>
      <c r="AE1014" s="149"/>
      <c r="AF1014" s="149"/>
      <c r="AG1014" s="149"/>
      <c r="AH1014" s="149"/>
      <c r="AI1014" s="149"/>
      <c r="AJ1014" s="149"/>
      <c r="AK1014" s="149"/>
      <c r="AL1014" s="149"/>
      <c r="AM1014" s="149"/>
      <c r="AN1014" s="149"/>
      <c r="AO1014" s="149"/>
      <c r="AP1014" s="149"/>
    </row>
    <row r="1015" ht="18.75" customHeight="1">
      <c r="A1015" s="149"/>
      <c r="B1015" s="149"/>
      <c r="C1015" s="304"/>
      <c r="D1015" s="149"/>
      <c r="E1015" s="149"/>
      <c r="F1015" s="149"/>
      <c r="G1015" s="149"/>
      <c r="H1015" s="149"/>
      <c r="I1015" s="149"/>
      <c r="J1015" s="149"/>
      <c r="K1015" s="149"/>
      <c r="L1015" s="149"/>
      <c r="M1015" s="149"/>
      <c r="N1015" s="149"/>
      <c r="O1015" s="149"/>
      <c r="P1015" s="149"/>
      <c r="Q1015" s="149"/>
      <c r="R1015" s="149"/>
      <c r="S1015" s="149"/>
      <c r="T1015" s="149"/>
      <c r="U1015" s="149"/>
      <c r="V1015" s="149"/>
      <c r="W1015" s="149"/>
      <c r="X1015" s="149"/>
      <c r="Y1015" s="149"/>
      <c r="Z1015" s="149"/>
      <c r="AA1015" s="149"/>
      <c r="AB1015" s="149"/>
      <c r="AC1015" s="149"/>
      <c r="AD1015" s="149"/>
      <c r="AE1015" s="149"/>
      <c r="AF1015" s="149"/>
      <c r="AG1015" s="149"/>
      <c r="AH1015" s="149"/>
      <c r="AI1015" s="149"/>
      <c r="AJ1015" s="149"/>
      <c r="AK1015" s="149"/>
      <c r="AL1015" s="149"/>
      <c r="AM1015" s="149"/>
      <c r="AN1015" s="149"/>
      <c r="AO1015" s="149"/>
      <c r="AP1015" s="149"/>
    </row>
    <row r="1016" ht="18.75" customHeight="1">
      <c r="A1016" s="149"/>
      <c r="B1016" s="149"/>
      <c r="C1016" s="304"/>
      <c r="D1016" s="149"/>
      <c r="E1016" s="149"/>
      <c r="F1016" s="149"/>
      <c r="G1016" s="149"/>
      <c r="H1016" s="149"/>
      <c r="I1016" s="149"/>
      <c r="J1016" s="149"/>
      <c r="K1016" s="149"/>
      <c r="L1016" s="149"/>
      <c r="M1016" s="149"/>
      <c r="N1016" s="149"/>
      <c r="O1016" s="149"/>
      <c r="P1016" s="149"/>
      <c r="Q1016" s="149"/>
      <c r="R1016" s="149"/>
      <c r="S1016" s="149"/>
      <c r="T1016" s="149"/>
      <c r="U1016" s="149"/>
      <c r="V1016" s="149"/>
      <c r="W1016" s="149"/>
      <c r="X1016" s="149"/>
      <c r="Y1016" s="149"/>
      <c r="Z1016" s="149"/>
      <c r="AA1016" s="149"/>
      <c r="AB1016" s="149"/>
      <c r="AC1016" s="149"/>
      <c r="AD1016" s="149"/>
      <c r="AE1016" s="149"/>
      <c r="AF1016" s="149"/>
      <c r="AG1016" s="149"/>
      <c r="AH1016" s="149"/>
      <c r="AI1016" s="149"/>
      <c r="AJ1016" s="149"/>
      <c r="AK1016" s="149"/>
      <c r="AL1016" s="149"/>
      <c r="AM1016" s="149"/>
      <c r="AN1016" s="149"/>
      <c r="AO1016" s="149"/>
      <c r="AP1016" s="149"/>
    </row>
    <row r="1017" ht="18.75" customHeight="1">
      <c r="A1017" s="149"/>
      <c r="B1017" s="149"/>
      <c r="C1017" s="304"/>
      <c r="D1017" s="149"/>
      <c r="E1017" s="149"/>
      <c r="F1017" s="149"/>
      <c r="G1017" s="149"/>
      <c r="H1017" s="149"/>
      <c r="I1017" s="149"/>
      <c r="J1017" s="149"/>
      <c r="K1017" s="149"/>
      <c r="L1017" s="149"/>
      <c r="M1017" s="149"/>
      <c r="N1017" s="149"/>
      <c r="O1017" s="149"/>
      <c r="P1017" s="149"/>
      <c r="Q1017" s="149"/>
      <c r="R1017" s="149"/>
      <c r="S1017" s="149"/>
      <c r="T1017" s="149"/>
      <c r="U1017" s="149"/>
      <c r="V1017" s="149"/>
      <c r="W1017" s="149"/>
      <c r="X1017" s="149"/>
      <c r="Y1017" s="149"/>
      <c r="Z1017" s="149"/>
      <c r="AA1017" s="149"/>
      <c r="AB1017" s="149"/>
      <c r="AC1017" s="149"/>
      <c r="AD1017" s="149"/>
      <c r="AE1017" s="149"/>
      <c r="AF1017" s="149"/>
      <c r="AG1017" s="149"/>
      <c r="AH1017" s="149"/>
      <c r="AI1017" s="149"/>
      <c r="AJ1017" s="149"/>
      <c r="AK1017" s="149"/>
      <c r="AL1017" s="149"/>
      <c r="AM1017" s="149"/>
      <c r="AN1017" s="149"/>
      <c r="AO1017" s="149"/>
      <c r="AP1017" s="149"/>
    </row>
    <row r="1018" ht="18.75" customHeight="1">
      <c r="A1018" s="149"/>
      <c r="B1018" s="149"/>
      <c r="C1018" s="304"/>
      <c r="D1018" s="149"/>
      <c r="E1018" s="149"/>
      <c r="F1018" s="149"/>
      <c r="G1018" s="149"/>
      <c r="H1018" s="149"/>
      <c r="I1018" s="149"/>
      <c r="J1018" s="149"/>
      <c r="K1018" s="149"/>
      <c r="L1018" s="149"/>
      <c r="M1018" s="149"/>
      <c r="N1018" s="149"/>
      <c r="O1018" s="149"/>
      <c r="P1018" s="149"/>
      <c r="Q1018" s="149"/>
      <c r="R1018" s="149"/>
      <c r="S1018" s="149"/>
      <c r="T1018" s="149"/>
      <c r="U1018" s="149"/>
      <c r="V1018" s="149"/>
      <c r="W1018" s="149"/>
      <c r="X1018" s="149"/>
      <c r="Y1018" s="149"/>
      <c r="Z1018" s="149"/>
      <c r="AA1018" s="149"/>
      <c r="AB1018" s="149"/>
      <c r="AC1018" s="149"/>
      <c r="AD1018" s="149"/>
      <c r="AE1018" s="149"/>
      <c r="AF1018" s="149"/>
      <c r="AG1018" s="149"/>
      <c r="AH1018" s="149"/>
      <c r="AI1018" s="149"/>
      <c r="AJ1018" s="149"/>
      <c r="AK1018" s="149"/>
      <c r="AL1018" s="149"/>
      <c r="AM1018" s="149"/>
      <c r="AN1018" s="149"/>
      <c r="AO1018" s="149"/>
      <c r="AP1018" s="149"/>
    </row>
    <row r="1019" ht="18.75" customHeight="1">
      <c r="A1019" s="149"/>
      <c r="B1019" s="149"/>
      <c r="C1019" s="304"/>
      <c r="D1019" s="149"/>
      <c r="E1019" s="149"/>
      <c r="F1019" s="149"/>
      <c r="G1019" s="149"/>
      <c r="H1019" s="149"/>
      <c r="I1019" s="149"/>
      <c r="J1019" s="149"/>
      <c r="K1019" s="149"/>
      <c r="L1019" s="149"/>
      <c r="M1019" s="149"/>
      <c r="N1019" s="149"/>
      <c r="O1019" s="149"/>
      <c r="P1019" s="149"/>
      <c r="Q1019" s="149"/>
      <c r="R1019" s="149"/>
      <c r="S1019" s="149"/>
      <c r="T1019" s="149"/>
      <c r="U1019" s="149"/>
      <c r="V1019" s="149"/>
      <c r="W1019" s="149"/>
      <c r="X1019" s="149"/>
      <c r="Y1019" s="149"/>
      <c r="Z1019" s="149"/>
      <c r="AA1019" s="149"/>
      <c r="AB1019" s="149"/>
      <c r="AC1019" s="149"/>
      <c r="AD1019" s="149"/>
      <c r="AE1019" s="149"/>
      <c r="AF1019" s="149"/>
      <c r="AG1019" s="149"/>
      <c r="AH1019" s="149"/>
      <c r="AI1019" s="149"/>
      <c r="AJ1019" s="149"/>
      <c r="AK1019" s="149"/>
      <c r="AL1019" s="149"/>
      <c r="AM1019" s="149"/>
      <c r="AN1019" s="149"/>
      <c r="AO1019" s="149"/>
      <c r="AP1019" s="149"/>
    </row>
    <row r="1020" ht="18.75" customHeight="1">
      <c r="A1020" s="149"/>
      <c r="B1020" s="149"/>
      <c r="C1020" s="304"/>
      <c r="D1020" s="149"/>
      <c r="E1020" s="149"/>
      <c r="F1020" s="149"/>
      <c r="G1020" s="149"/>
      <c r="H1020" s="149"/>
      <c r="I1020" s="149"/>
      <c r="J1020" s="149"/>
      <c r="K1020" s="149"/>
      <c r="L1020" s="149"/>
      <c r="M1020" s="149"/>
      <c r="N1020" s="149"/>
      <c r="O1020" s="149"/>
      <c r="P1020" s="149"/>
      <c r="Q1020" s="149"/>
      <c r="R1020" s="149"/>
      <c r="S1020" s="149"/>
      <c r="T1020" s="149"/>
      <c r="U1020" s="149"/>
      <c r="V1020" s="149"/>
      <c r="W1020" s="149"/>
      <c r="X1020" s="149"/>
      <c r="Y1020" s="149"/>
      <c r="Z1020" s="149"/>
      <c r="AA1020" s="149"/>
      <c r="AB1020" s="149"/>
      <c r="AC1020" s="149"/>
      <c r="AD1020" s="149"/>
      <c r="AE1020" s="149"/>
      <c r="AF1020" s="149"/>
      <c r="AG1020" s="149"/>
      <c r="AH1020" s="149"/>
      <c r="AI1020" s="149"/>
      <c r="AJ1020" s="149"/>
      <c r="AK1020" s="149"/>
      <c r="AL1020" s="149"/>
      <c r="AM1020" s="149"/>
      <c r="AN1020" s="149"/>
      <c r="AO1020" s="149"/>
      <c r="AP1020" s="149"/>
    </row>
    <row r="1021" ht="18.75" customHeight="1">
      <c r="A1021" s="149"/>
      <c r="B1021" s="149"/>
      <c r="C1021" s="304"/>
      <c r="D1021" s="149"/>
      <c r="E1021" s="149"/>
      <c r="F1021" s="149"/>
      <c r="G1021" s="149"/>
      <c r="H1021" s="149"/>
      <c r="I1021" s="149"/>
      <c r="J1021" s="149"/>
      <c r="K1021" s="149"/>
      <c r="L1021" s="149"/>
      <c r="M1021" s="149"/>
      <c r="N1021" s="149"/>
      <c r="O1021" s="149"/>
      <c r="P1021" s="149"/>
      <c r="Q1021" s="149"/>
      <c r="R1021" s="149"/>
      <c r="S1021" s="149"/>
      <c r="T1021" s="149"/>
      <c r="U1021" s="149"/>
      <c r="V1021" s="149"/>
      <c r="W1021" s="149"/>
      <c r="X1021" s="149"/>
      <c r="Y1021" s="149"/>
      <c r="Z1021" s="149"/>
      <c r="AA1021" s="149"/>
      <c r="AB1021" s="149"/>
      <c r="AC1021" s="149"/>
      <c r="AD1021" s="149"/>
      <c r="AE1021" s="149"/>
      <c r="AF1021" s="149"/>
      <c r="AG1021" s="149"/>
      <c r="AH1021" s="149"/>
      <c r="AI1021" s="149"/>
      <c r="AJ1021" s="149"/>
      <c r="AK1021" s="149"/>
      <c r="AL1021" s="149"/>
      <c r="AM1021" s="149"/>
      <c r="AN1021" s="149"/>
      <c r="AO1021" s="149"/>
      <c r="AP1021" s="149"/>
    </row>
    <row r="1022" ht="18.75" customHeight="1">
      <c r="A1022" s="149"/>
      <c r="B1022" s="149"/>
      <c r="C1022" s="304"/>
      <c r="D1022" s="149"/>
      <c r="E1022" s="149"/>
      <c r="F1022" s="149"/>
      <c r="G1022" s="149"/>
      <c r="H1022" s="149"/>
      <c r="I1022" s="149"/>
      <c r="J1022" s="149"/>
      <c r="K1022" s="149"/>
      <c r="L1022" s="149"/>
      <c r="M1022" s="149"/>
      <c r="N1022" s="149"/>
      <c r="O1022" s="149"/>
      <c r="P1022" s="149"/>
      <c r="Q1022" s="149"/>
      <c r="R1022" s="149"/>
      <c r="S1022" s="149"/>
      <c r="T1022" s="149"/>
      <c r="U1022" s="149"/>
      <c r="V1022" s="149"/>
      <c r="W1022" s="149"/>
      <c r="X1022" s="149"/>
      <c r="Y1022" s="149"/>
      <c r="Z1022" s="149"/>
      <c r="AA1022" s="149"/>
      <c r="AB1022" s="149"/>
      <c r="AC1022" s="149"/>
      <c r="AD1022" s="149"/>
      <c r="AE1022" s="149"/>
      <c r="AF1022" s="149"/>
      <c r="AG1022" s="149"/>
      <c r="AH1022" s="149"/>
      <c r="AI1022" s="149"/>
      <c r="AJ1022" s="149"/>
      <c r="AK1022" s="149"/>
      <c r="AL1022" s="149"/>
      <c r="AM1022" s="149"/>
      <c r="AN1022" s="149"/>
      <c r="AO1022" s="149"/>
      <c r="AP1022" s="149"/>
    </row>
    <row r="1023" ht="18.75" customHeight="1">
      <c r="A1023" s="149"/>
      <c r="B1023" s="149"/>
      <c r="C1023" s="304"/>
      <c r="D1023" s="149"/>
      <c r="E1023" s="149"/>
      <c r="F1023" s="149"/>
      <c r="G1023" s="149"/>
      <c r="H1023" s="149"/>
      <c r="I1023" s="149"/>
      <c r="J1023" s="149"/>
      <c r="K1023" s="149"/>
      <c r="L1023" s="149"/>
      <c r="M1023" s="149"/>
      <c r="N1023" s="149"/>
      <c r="O1023" s="149"/>
      <c r="P1023" s="149"/>
      <c r="Q1023" s="149"/>
      <c r="R1023" s="149"/>
      <c r="S1023" s="149"/>
      <c r="T1023" s="149"/>
      <c r="U1023" s="149"/>
      <c r="V1023" s="149"/>
      <c r="W1023" s="149"/>
      <c r="X1023" s="149"/>
      <c r="Y1023" s="149"/>
      <c r="Z1023" s="149"/>
      <c r="AA1023" s="149"/>
      <c r="AB1023" s="149"/>
      <c r="AC1023" s="149"/>
      <c r="AD1023" s="149"/>
      <c r="AE1023" s="149"/>
      <c r="AF1023" s="149"/>
      <c r="AG1023" s="149"/>
      <c r="AH1023" s="149"/>
      <c r="AI1023" s="149"/>
      <c r="AJ1023" s="149"/>
      <c r="AK1023" s="149"/>
      <c r="AL1023" s="149"/>
      <c r="AM1023" s="149"/>
      <c r="AN1023" s="149"/>
      <c r="AO1023" s="149"/>
      <c r="AP1023" s="149"/>
    </row>
    <row r="1024" ht="18.75" customHeight="1">
      <c r="A1024" s="149"/>
      <c r="B1024" s="149"/>
      <c r="C1024" s="304"/>
      <c r="D1024" s="149"/>
      <c r="E1024" s="149"/>
      <c r="F1024" s="149"/>
      <c r="G1024" s="149"/>
      <c r="H1024" s="149"/>
      <c r="I1024" s="149"/>
      <c r="J1024" s="149"/>
      <c r="K1024" s="149"/>
      <c r="L1024" s="149"/>
      <c r="M1024" s="149"/>
      <c r="N1024" s="149"/>
      <c r="O1024" s="149"/>
      <c r="P1024" s="149"/>
      <c r="Q1024" s="149"/>
      <c r="R1024" s="149"/>
      <c r="S1024" s="149"/>
      <c r="T1024" s="149"/>
      <c r="U1024" s="149"/>
      <c r="V1024" s="149"/>
      <c r="W1024" s="149"/>
      <c r="X1024" s="149"/>
      <c r="Y1024" s="149"/>
      <c r="Z1024" s="149"/>
      <c r="AA1024" s="149"/>
      <c r="AB1024" s="149"/>
      <c r="AC1024" s="149"/>
      <c r="AD1024" s="149"/>
      <c r="AE1024" s="149"/>
      <c r="AF1024" s="149"/>
      <c r="AG1024" s="149"/>
      <c r="AH1024" s="149"/>
      <c r="AI1024" s="149"/>
      <c r="AJ1024" s="149"/>
      <c r="AK1024" s="149"/>
      <c r="AL1024" s="149"/>
      <c r="AM1024" s="149"/>
      <c r="AN1024" s="149"/>
      <c r="AO1024" s="149"/>
      <c r="AP1024" s="149"/>
    </row>
    <row r="1025" ht="18.75" customHeight="1">
      <c r="A1025" s="149"/>
      <c r="B1025" s="149"/>
      <c r="C1025" s="304"/>
      <c r="D1025" s="149"/>
      <c r="E1025" s="149"/>
      <c r="F1025" s="149"/>
      <c r="G1025" s="149"/>
      <c r="H1025" s="149"/>
      <c r="I1025" s="149"/>
      <c r="J1025" s="149"/>
      <c r="K1025" s="149"/>
      <c r="L1025" s="149"/>
      <c r="M1025" s="149"/>
      <c r="N1025" s="149"/>
      <c r="O1025" s="149"/>
      <c r="P1025" s="149"/>
      <c r="Q1025" s="149"/>
      <c r="R1025" s="149"/>
      <c r="S1025" s="149"/>
      <c r="T1025" s="149"/>
      <c r="U1025" s="149"/>
      <c r="V1025" s="149"/>
      <c r="W1025" s="149"/>
      <c r="X1025" s="149"/>
      <c r="Y1025" s="149"/>
      <c r="Z1025" s="149"/>
      <c r="AA1025" s="149"/>
      <c r="AB1025" s="149"/>
      <c r="AC1025" s="149"/>
      <c r="AD1025" s="149"/>
      <c r="AE1025" s="149"/>
      <c r="AF1025" s="149"/>
      <c r="AG1025" s="149"/>
      <c r="AH1025" s="149"/>
      <c r="AI1025" s="149"/>
      <c r="AJ1025" s="149"/>
      <c r="AK1025" s="149"/>
      <c r="AL1025" s="149"/>
      <c r="AM1025" s="149"/>
      <c r="AN1025" s="149"/>
      <c r="AO1025" s="149"/>
      <c r="AP1025" s="149"/>
    </row>
    <row r="1026" ht="18.75" customHeight="1">
      <c r="A1026" s="149"/>
      <c r="B1026" s="149"/>
      <c r="C1026" s="304"/>
      <c r="D1026" s="149"/>
      <c r="E1026" s="149"/>
      <c r="F1026" s="149"/>
      <c r="G1026" s="149"/>
      <c r="H1026" s="149"/>
      <c r="I1026" s="149"/>
      <c r="J1026" s="149"/>
      <c r="K1026" s="149"/>
      <c r="L1026" s="149"/>
      <c r="M1026" s="149"/>
      <c r="N1026" s="149"/>
      <c r="O1026" s="149"/>
      <c r="P1026" s="149"/>
      <c r="Q1026" s="149"/>
      <c r="R1026" s="149"/>
      <c r="S1026" s="149"/>
      <c r="T1026" s="149"/>
      <c r="U1026" s="149"/>
      <c r="V1026" s="149"/>
      <c r="W1026" s="149"/>
      <c r="X1026" s="149"/>
      <c r="Y1026" s="149"/>
      <c r="Z1026" s="149"/>
      <c r="AA1026" s="149"/>
      <c r="AB1026" s="149"/>
      <c r="AC1026" s="149"/>
      <c r="AD1026" s="149"/>
      <c r="AE1026" s="149"/>
      <c r="AF1026" s="149"/>
      <c r="AG1026" s="149"/>
      <c r="AH1026" s="149"/>
      <c r="AI1026" s="149"/>
      <c r="AJ1026" s="149"/>
      <c r="AK1026" s="149"/>
      <c r="AL1026" s="149"/>
      <c r="AM1026" s="149"/>
      <c r="AN1026" s="149"/>
      <c r="AO1026" s="149"/>
      <c r="AP1026" s="149"/>
    </row>
    <row r="1027" ht="18.75" customHeight="1">
      <c r="A1027" s="149"/>
      <c r="B1027" s="149"/>
      <c r="C1027" s="304"/>
      <c r="D1027" s="149"/>
      <c r="E1027" s="149"/>
      <c r="F1027" s="149"/>
      <c r="G1027" s="149"/>
      <c r="H1027" s="149"/>
      <c r="I1027" s="149"/>
      <c r="J1027" s="149"/>
      <c r="K1027" s="149"/>
      <c r="L1027" s="149"/>
      <c r="M1027" s="149"/>
      <c r="N1027" s="149"/>
      <c r="O1027" s="149"/>
      <c r="P1027" s="149"/>
      <c r="Q1027" s="149"/>
      <c r="R1027" s="149"/>
      <c r="S1027" s="149"/>
      <c r="T1027" s="149"/>
      <c r="U1027" s="149"/>
      <c r="V1027" s="149"/>
      <c r="W1027" s="149"/>
      <c r="X1027" s="149"/>
      <c r="Y1027" s="149"/>
      <c r="Z1027" s="149"/>
      <c r="AA1027" s="149"/>
      <c r="AB1027" s="149"/>
      <c r="AC1027" s="149"/>
      <c r="AD1027" s="149"/>
      <c r="AE1027" s="149"/>
      <c r="AF1027" s="149"/>
      <c r="AG1027" s="149"/>
      <c r="AH1027" s="149"/>
      <c r="AI1027" s="149"/>
      <c r="AJ1027" s="149"/>
      <c r="AK1027" s="149"/>
      <c r="AL1027" s="149"/>
      <c r="AM1027" s="149"/>
      <c r="AN1027" s="149"/>
      <c r="AO1027" s="149"/>
      <c r="AP1027" s="149"/>
    </row>
    <row r="1028" ht="18.75" customHeight="1">
      <c r="A1028" s="149"/>
      <c r="B1028" s="149"/>
      <c r="C1028" s="304"/>
      <c r="D1028" s="149"/>
      <c r="E1028" s="149"/>
      <c r="F1028" s="149"/>
      <c r="G1028" s="149"/>
      <c r="H1028" s="149"/>
      <c r="I1028" s="149"/>
      <c r="J1028" s="149"/>
      <c r="K1028" s="149"/>
      <c r="L1028" s="149"/>
      <c r="M1028" s="149"/>
      <c r="N1028" s="149"/>
      <c r="O1028" s="149"/>
      <c r="P1028" s="149"/>
      <c r="Q1028" s="149"/>
      <c r="R1028" s="149"/>
      <c r="S1028" s="149"/>
      <c r="T1028" s="149"/>
      <c r="U1028" s="149"/>
      <c r="V1028" s="149"/>
      <c r="W1028" s="149"/>
      <c r="X1028" s="149"/>
      <c r="Y1028" s="149"/>
      <c r="Z1028" s="149"/>
      <c r="AA1028" s="149"/>
      <c r="AB1028" s="149"/>
      <c r="AC1028" s="149"/>
      <c r="AD1028" s="149"/>
      <c r="AE1028" s="149"/>
      <c r="AF1028" s="149"/>
      <c r="AG1028" s="149"/>
      <c r="AH1028" s="149"/>
      <c r="AI1028" s="149"/>
      <c r="AJ1028" s="149"/>
      <c r="AK1028" s="149"/>
      <c r="AL1028" s="149"/>
      <c r="AM1028" s="149"/>
      <c r="AN1028" s="149"/>
      <c r="AO1028" s="149"/>
      <c r="AP1028" s="149"/>
    </row>
    <row r="1029" ht="18.75" customHeight="1">
      <c r="A1029" s="149"/>
      <c r="B1029" s="149"/>
      <c r="C1029" s="304"/>
      <c r="D1029" s="149"/>
      <c r="E1029" s="149"/>
      <c r="F1029" s="149"/>
      <c r="G1029" s="149"/>
      <c r="H1029" s="149"/>
      <c r="I1029" s="149"/>
      <c r="J1029" s="149"/>
      <c r="K1029" s="149"/>
      <c r="L1029" s="149"/>
      <c r="M1029" s="149"/>
      <c r="N1029" s="149"/>
      <c r="O1029" s="149"/>
      <c r="P1029" s="149"/>
      <c r="Q1029" s="149"/>
      <c r="R1029" s="149"/>
      <c r="S1029" s="149"/>
      <c r="T1029" s="149"/>
      <c r="U1029" s="149"/>
      <c r="V1029" s="149"/>
      <c r="W1029" s="149"/>
      <c r="X1029" s="149"/>
      <c r="Y1029" s="149"/>
      <c r="Z1029" s="149"/>
      <c r="AA1029" s="149"/>
      <c r="AB1029" s="149"/>
      <c r="AC1029" s="149"/>
      <c r="AD1029" s="149"/>
      <c r="AE1029" s="149"/>
      <c r="AF1029" s="149"/>
      <c r="AG1029" s="149"/>
      <c r="AH1029" s="149"/>
      <c r="AI1029" s="149"/>
      <c r="AJ1029" s="149"/>
      <c r="AK1029" s="149"/>
      <c r="AL1029" s="149"/>
      <c r="AM1029" s="149"/>
      <c r="AN1029" s="149"/>
      <c r="AO1029" s="149"/>
      <c r="AP1029" s="149"/>
    </row>
    <row r="1030" ht="18.75" customHeight="1">
      <c r="A1030" s="149"/>
      <c r="B1030" s="149"/>
      <c r="C1030" s="304"/>
      <c r="D1030" s="149"/>
      <c r="E1030" s="149"/>
      <c r="F1030" s="149"/>
      <c r="G1030" s="149"/>
      <c r="H1030" s="149"/>
      <c r="I1030" s="149"/>
      <c r="J1030" s="149"/>
      <c r="K1030" s="149"/>
      <c r="L1030" s="149"/>
      <c r="M1030" s="149"/>
      <c r="N1030" s="149"/>
      <c r="O1030" s="149"/>
      <c r="P1030" s="149"/>
      <c r="Q1030" s="149"/>
      <c r="R1030" s="149"/>
      <c r="S1030" s="149"/>
      <c r="T1030" s="149"/>
      <c r="U1030" s="149"/>
      <c r="V1030" s="149"/>
      <c r="W1030" s="149"/>
      <c r="X1030" s="149"/>
      <c r="Y1030" s="149"/>
      <c r="Z1030" s="149"/>
      <c r="AA1030" s="149"/>
      <c r="AB1030" s="149"/>
      <c r="AC1030" s="149"/>
      <c r="AD1030" s="149"/>
      <c r="AE1030" s="149"/>
      <c r="AF1030" s="149"/>
      <c r="AG1030" s="149"/>
      <c r="AH1030" s="149"/>
      <c r="AI1030" s="149"/>
      <c r="AJ1030" s="149"/>
      <c r="AK1030" s="149"/>
      <c r="AL1030" s="149"/>
      <c r="AM1030" s="149"/>
      <c r="AN1030" s="149"/>
      <c r="AO1030" s="149"/>
      <c r="AP1030" s="149"/>
    </row>
    <row r="1031" ht="18.75" customHeight="1">
      <c r="A1031" s="149"/>
      <c r="B1031" s="149"/>
      <c r="C1031" s="304"/>
      <c r="D1031" s="149"/>
      <c r="E1031" s="149"/>
      <c r="F1031" s="149"/>
      <c r="G1031" s="149"/>
      <c r="H1031" s="149"/>
      <c r="I1031" s="149"/>
      <c r="J1031" s="149"/>
      <c r="K1031" s="149"/>
      <c r="L1031" s="149"/>
      <c r="M1031" s="149"/>
      <c r="N1031" s="149"/>
      <c r="O1031" s="149"/>
      <c r="P1031" s="149"/>
      <c r="Q1031" s="149"/>
      <c r="R1031" s="149"/>
      <c r="S1031" s="149"/>
      <c r="T1031" s="149"/>
      <c r="U1031" s="149"/>
      <c r="V1031" s="149"/>
      <c r="W1031" s="149"/>
      <c r="X1031" s="149"/>
      <c r="Y1031" s="149"/>
      <c r="Z1031" s="149"/>
      <c r="AA1031" s="149"/>
      <c r="AB1031" s="149"/>
      <c r="AC1031" s="149"/>
      <c r="AD1031" s="149"/>
      <c r="AE1031" s="149"/>
      <c r="AF1031" s="149"/>
      <c r="AG1031" s="149"/>
      <c r="AH1031" s="149"/>
      <c r="AI1031" s="149"/>
      <c r="AJ1031" s="149"/>
      <c r="AK1031" s="149"/>
      <c r="AL1031" s="149"/>
      <c r="AM1031" s="149"/>
      <c r="AN1031" s="149"/>
      <c r="AO1031" s="149"/>
      <c r="AP1031" s="149"/>
    </row>
    <row r="1032" ht="18.75" customHeight="1">
      <c r="A1032" s="149"/>
      <c r="B1032" s="149"/>
      <c r="C1032" s="304"/>
      <c r="D1032" s="149"/>
      <c r="E1032" s="149"/>
      <c r="F1032" s="149"/>
      <c r="G1032" s="149"/>
      <c r="H1032" s="149"/>
      <c r="I1032" s="149"/>
      <c r="J1032" s="149"/>
      <c r="K1032" s="149"/>
      <c r="L1032" s="149"/>
      <c r="M1032" s="149"/>
      <c r="N1032" s="149"/>
      <c r="O1032" s="149"/>
      <c r="P1032" s="149"/>
      <c r="Q1032" s="149"/>
      <c r="R1032" s="149"/>
      <c r="S1032" s="149"/>
      <c r="T1032" s="149"/>
      <c r="U1032" s="149"/>
      <c r="V1032" s="149"/>
      <c r="W1032" s="149"/>
      <c r="X1032" s="149"/>
      <c r="Y1032" s="149"/>
      <c r="Z1032" s="149"/>
      <c r="AA1032" s="149"/>
      <c r="AB1032" s="149"/>
      <c r="AC1032" s="149"/>
      <c r="AD1032" s="149"/>
      <c r="AE1032" s="149"/>
      <c r="AF1032" s="149"/>
      <c r="AG1032" s="149"/>
      <c r="AH1032" s="149"/>
      <c r="AI1032" s="149"/>
      <c r="AJ1032" s="149"/>
      <c r="AK1032" s="149"/>
      <c r="AL1032" s="149"/>
      <c r="AM1032" s="149"/>
      <c r="AN1032" s="149"/>
      <c r="AO1032" s="149"/>
      <c r="AP1032" s="149"/>
    </row>
    <row r="1033" ht="18.75" customHeight="1">
      <c r="A1033" s="149"/>
      <c r="B1033" s="149"/>
      <c r="C1033" s="304"/>
      <c r="D1033" s="149"/>
      <c r="E1033" s="149"/>
      <c r="F1033" s="149"/>
      <c r="G1033" s="149"/>
      <c r="H1033" s="149"/>
      <c r="I1033" s="149"/>
      <c r="J1033" s="149"/>
      <c r="K1033" s="149"/>
      <c r="L1033" s="149"/>
      <c r="M1033" s="149"/>
      <c r="N1033" s="149"/>
      <c r="O1033" s="149"/>
      <c r="P1033" s="149"/>
      <c r="Q1033" s="149"/>
      <c r="R1033" s="149"/>
      <c r="S1033" s="149"/>
      <c r="T1033" s="149"/>
      <c r="U1033" s="149"/>
      <c r="V1033" s="149"/>
      <c r="W1033" s="149"/>
      <c r="X1033" s="149"/>
      <c r="Y1033" s="149"/>
      <c r="Z1033" s="149"/>
      <c r="AA1033" s="149"/>
      <c r="AB1033" s="149"/>
      <c r="AC1033" s="149"/>
      <c r="AD1033" s="149"/>
      <c r="AE1033" s="149"/>
      <c r="AF1033" s="149"/>
      <c r="AG1033" s="149"/>
      <c r="AH1033" s="149"/>
      <c r="AI1033" s="149"/>
      <c r="AJ1033" s="149"/>
      <c r="AK1033" s="149"/>
      <c r="AL1033" s="149"/>
      <c r="AM1033" s="149"/>
      <c r="AN1033" s="149"/>
      <c r="AO1033" s="149"/>
      <c r="AP1033" s="149"/>
    </row>
    <row r="1034" ht="18.75" customHeight="1">
      <c r="A1034" s="149"/>
      <c r="B1034" s="149"/>
      <c r="C1034" s="304"/>
      <c r="D1034" s="149"/>
      <c r="E1034" s="149"/>
      <c r="F1034" s="149"/>
      <c r="G1034" s="149"/>
      <c r="H1034" s="149"/>
      <c r="I1034" s="149"/>
      <c r="J1034" s="149"/>
      <c r="K1034" s="149"/>
      <c r="L1034" s="149"/>
      <c r="M1034" s="149"/>
      <c r="N1034" s="149"/>
      <c r="O1034" s="149"/>
      <c r="P1034" s="149"/>
      <c r="Q1034" s="149"/>
      <c r="R1034" s="149"/>
      <c r="S1034" s="149"/>
      <c r="T1034" s="149"/>
      <c r="U1034" s="149"/>
      <c r="V1034" s="149"/>
      <c r="W1034" s="149"/>
      <c r="X1034" s="149"/>
      <c r="Y1034" s="149"/>
      <c r="Z1034" s="149"/>
      <c r="AA1034" s="149"/>
      <c r="AB1034" s="149"/>
      <c r="AC1034" s="149"/>
      <c r="AD1034" s="149"/>
      <c r="AE1034" s="149"/>
      <c r="AF1034" s="149"/>
      <c r="AG1034" s="149"/>
      <c r="AH1034" s="149"/>
      <c r="AI1034" s="149"/>
      <c r="AJ1034" s="149"/>
      <c r="AK1034" s="149"/>
      <c r="AL1034" s="149"/>
      <c r="AM1034" s="149"/>
      <c r="AN1034" s="149"/>
      <c r="AO1034" s="149"/>
      <c r="AP1034" s="149"/>
    </row>
    <row r="1035" ht="18.75" customHeight="1">
      <c r="A1035" s="149"/>
      <c r="B1035" s="149"/>
      <c r="C1035" s="304"/>
      <c r="D1035" s="149"/>
      <c r="E1035" s="149"/>
      <c r="F1035" s="149"/>
      <c r="G1035" s="149"/>
      <c r="H1035" s="149"/>
      <c r="I1035" s="149"/>
      <c r="J1035" s="149"/>
      <c r="K1035" s="149"/>
      <c r="L1035" s="149"/>
      <c r="M1035" s="149"/>
      <c r="N1035" s="149"/>
      <c r="O1035" s="149"/>
      <c r="P1035" s="149"/>
      <c r="Q1035" s="149"/>
      <c r="R1035" s="149"/>
      <c r="S1035" s="149"/>
      <c r="T1035" s="149"/>
      <c r="U1035" s="149"/>
      <c r="V1035" s="149"/>
      <c r="W1035" s="149"/>
      <c r="X1035" s="149"/>
      <c r="Y1035" s="149"/>
      <c r="Z1035" s="149"/>
      <c r="AA1035" s="149"/>
      <c r="AB1035" s="149"/>
      <c r="AC1035" s="149"/>
      <c r="AD1035" s="149"/>
      <c r="AE1035" s="149"/>
      <c r="AF1035" s="149"/>
      <c r="AG1035" s="149"/>
      <c r="AH1035" s="149"/>
      <c r="AI1035" s="149"/>
      <c r="AJ1035" s="149"/>
      <c r="AK1035" s="149"/>
      <c r="AL1035" s="149"/>
      <c r="AM1035" s="149"/>
      <c r="AN1035" s="149"/>
      <c r="AO1035" s="149"/>
      <c r="AP1035" s="149"/>
    </row>
    <row r="1036" ht="18.75" customHeight="1">
      <c r="A1036" s="149"/>
      <c r="B1036" s="149"/>
      <c r="C1036" s="304"/>
      <c r="D1036" s="149"/>
      <c r="E1036" s="149"/>
      <c r="F1036" s="149"/>
      <c r="G1036" s="149"/>
      <c r="H1036" s="149"/>
      <c r="I1036" s="149"/>
      <c r="J1036" s="149"/>
      <c r="K1036" s="149"/>
      <c r="L1036" s="149"/>
      <c r="M1036" s="149"/>
      <c r="N1036" s="149"/>
      <c r="O1036" s="149"/>
      <c r="P1036" s="149"/>
      <c r="Q1036" s="149"/>
      <c r="R1036" s="149"/>
      <c r="S1036" s="149"/>
      <c r="T1036" s="149"/>
      <c r="U1036" s="149"/>
      <c r="V1036" s="149"/>
      <c r="W1036" s="149"/>
      <c r="X1036" s="149"/>
      <c r="Y1036" s="149"/>
      <c r="Z1036" s="149"/>
      <c r="AA1036" s="149"/>
      <c r="AB1036" s="149"/>
      <c r="AC1036" s="149"/>
      <c r="AD1036" s="149"/>
      <c r="AE1036" s="149"/>
      <c r="AF1036" s="149"/>
      <c r="AG1036" s="149"/>
      <c r="AH1036" s="149"/>
      <c r="AI1036" s="149"/>
      <c r="AJ1036" s="149"/>
      <c r="AK1036" s="149"/>
      <c r="AL1036" s="149"/>
      <c r="AM1036" s="149"/>
      <c r="AN1036" s="149"/>
      <c r="AO1036" s="149"/>
      <c r="AP1036" s="149"/>
    </row>
    <row r="1037" ht="18.75" customHeight="1">
      <c r="A1037" s="149"/>
      <c r="B1037" s="149"/>
      <c r="C1037" s="304"/>
      <c r="D1037" s="149"/>
      <c r="E1037" s="149"/>
      <c r="F1037" s="149"/>
      <c r="G1037" s="149"/>
      <c r="H1037" s="149"/>
      <c r="I1037" s="149"/>
      <c r="J1037" s="149"/>
      <c r="K1037" s="149"/>
      <c r="L1037" s="149"/>
      <c r="M1037" s="149"/>
      <c r="N1037" s="149"/>
      <c r="O1037" s="149"/>
      <c r="P1037" s="149"/>
      <c r="Q1037" s="149"/>
      <c r="R1037" s="149"/>
      <c r="S1037" s="149"/>
      <c r="T1037" s="149"/>
      <c r="U1037" s="149"/>
      <c r="V1037" s="149"/>
      <c r="W1037" s="149"/>
      <c r="X1037" s="149"/>
      <c r="Y1037" s="149"/>
      <c r="Z1037" s="149"/>
      <c r="AA1037" s="149"/>
      <c r="AB1037" s="149"/>
      <c r="AC1037" s="149"/>
      <c r="AD1037" s="149"/>
      <c r="AE1037" s="149"/>
      <c r="AF1037" s="149"/>
      <c r="AG1037" s="149"/>
      <c r="AH1037" s="149"/>
      <c r="AI1037" s="149"/>
      <c r="AJ1037" s="149"/>
      <c r="AK1037" s="149"/>
      <c r="AL1037" s="149"/>
      <c r="AM1037" s="149"/>
      <c r="AN1037" s="149"/>
      <c r="AO1037" s="149"/>
      <c r="AP1037" s="149"/>
    </row>
    <row r="1038" ht="18.75" customHeight="1">
      <c r="A1038" s="149"/>
      <c r="B1038" s="149"/>
      <c r="C1038" s="304"/>
      <c r="D1038" s="149"/>
      <c r="E1038" s="149"/>
      <c r="F1038" s="149"/>
      <c r="G1038" s="149"/>
      <c r="H1038" s="149"/>
      <c r="I1038" s="149"/>
      <c r="J1038" s="149"/>
      <c r="K1038" s="149"/>
      <c r="L1038" s="149"/>
      <c r="M1038" s="149"/>
      <c r="N1038" s="149"/>
      <c r="O1038" s="149"/>
      <c r="P1038" s="149"/>
      <c r="Q1038" s="149"/>
      <c r="R1038" s="149"/>
      <c r="S1038" s="149"/>
      <c r="T1038" s="149"/>
      <c r="U1038" s="149"/>
      <c r="V1038" s="149"/>
      <c r="W1038" s="149"/>
      <c r="X1038" s="149"/>
      <c r="Y1038" s="149"/>
      <c r="Z1038" s="149"/>
      <c r="AA1038" s="149"/>
      <c r="AB1038" s="149"/>
      <c r="AC1038" s="149"/>
      <c r="AD1038" s="149"/>
      <c r="AE1038" s="149"/>
      <c r="AF1038" s="149"/>
      <c r="AG1038" s="149"/>
      <c r="AH1038" s="149"/>
      <c r="AI1038" s="149"/>
      <c r="AJ1038" s="149"/>
      <c r="AK1038" s="149"/>
      <c r="AL1038" s="149"/>
      <c r="AM1038" s="149"/>
      <c r="AN1038" s="149"/>
      <c r="AO1038" s="149"/>
      <c r="AP1038" s="149"/>
    </row>
    <row r="1039" ht="18.75" customHeight="1">
      <c r="A1039" s="149"/>
      <c r="B1039" s="149"/>
      <c r="C1039" s="304"/>
      <c r="D1039" s="149"/>
      <c r="E1039" s="149"/>
      <c r="F1039" s="149"/>
      <c r="G1039" s="149"/>
      <c r="H1039" s="149"/>
      <c r="I1039" s="149"/>
      <c r="J1039" s="149"/>
      <c r="K1039" s="149"/>
      <c r="L1039" s="149"/>
      <c r="M1039" s="149"/>
      <c r="N1039" s="149"/>
      <c r="O1039" s="149"/>
      <c r="P1039" s="149"/>
      <c r="Q1039" s="149"/>
      <c r="R1039" s="149"/>
      <c r="S1039" s="149"/>
      <c r="T1039" s="149"/>
      <c r="U1039" s="149"/>
      <c r="V1039" s="149"/>
      <c r="W1039" s="149"/>
      <c r="X1039" s="149"/>
      <c r="Y1039" s="149"/>
      <c r="Z1039" s="149"/>
      <c r="AA1039" s="149"/>
      <c r="AB1039" s="149"/>
      <c r="AC1039" s="149"/>
      <c r="AD1039" s="149"/>
      <c r="AE1039" s="149"/>
      <c r="AF1039" s="149"/>
      <c r="AG1039" s="149"/>
      <c r="AH1039" s="149"/>
      <c r="AI1039" s="149"/>
      <c r="AJ1039" s="149"/>
      <c r="AK1039" s="149"/>
      <c r="AL1039" s="149"/>
      <c r="AM1039" s="149"/>
      <c r="AN1039" s="149"/>
      <c r="AO1039" s="149"/>
      <c r="AP1039" s="149"/>
    </row>
    <row r="1040" ht="18.75" customHeight="1">
      <c r="A1040" s="149"/>
      <c r="B1040" s="149"/>
      <c r="C1040" s="304"/>
      <c r="D1040" s="149"/>
      <c r="E1040" s="149"/>
      <c r="F1040" s="149"/>
      <c r="G1040" s="149"/>
      <c r="H1040" s="149"/>
      <c r="I1040" s="149"/>
      <c r="J1040" s="149"/>
      <c r="K1040" s="149"/>
      <c r="L1040" s="149"/>
      <c r="M1040" s="149"/>
      <c r="N1040" s="149"/>
      <c r="O1040" s="149"/>
      <c r="P1040" s="149"/>
      <c r="Q1040" s="149"/>
      <c r="R1040" s="149"/>
      <c r="S1040" s="149"/>
      <c r="T1040" s="149"/>
      <c r="U1040" s="149"/>
      <c r="V1040" s="149"/>
      <c r="W1040" s="149"/>
      <c r="X1040" s="149"/>
      <c r="Y1040" s="149"/>
      <c r="Z1040" s="149"/>
      <c r="AA1040" s="149"/>
      <c r="AB1040" s="149"/>
      <c r="AC1040" s="149"/>
      <c r="AD1040" s="149"/>
      <c r="AE1040" s="149"/>
      <c r="AF1040" s="149"/>
      <c r="AG1040" s="149"/>
      <c r="AH1040" s="149"/>
      <c r="AI1040" s="149"/>
      <c r="AJ1040" s="149"/>
      <c r="AK1040" s="149"/>
      <c r="AL1040" s="149"/>
      <c r="AM1040" s="149"/>
      <c r="AN1040" s="149"/>
      <c r="AO1040" s="149"/>
      <c r="AP1040" s="149"/>
    </row>
    <row r="1041" ht="18.75" customHeight="1">
      <c r="A1041" s="149"/>
      <c r="B1041" s="149"/>
      <c r="C1041" s="304"/>
      <c r="D1041" s="149"/>
      <c r="E1041" s="149"/>
      <c r="F1041" s="149"/>
      <c r="G1041" s="149"/>
      <c r="H1041" s="149"/>
      <c r="I1041" s="149"/>
      <c r="J1041" s="149"/>
      <c r="K1041" s="149"/>
      <c r="L1041" s="149"/>
      <c r="M1041" s="149"/>
      <c r="N1041" s="149"/>
      <c r="O1041" s="149"/>
      <c r="P1041" s="149"/>
      <c r="Q1041" s="149"/>
      <c r="R1041" s="149"/>
      <c r="S1041" s="149"/>
      <c r="T1041" s="149"/>
      <c r="U1041" s="149"/>
      <c r="V1041" s="149"/>
      <c r="W1041" s="149"/>
      <c r="X1041" s="149"/>
      <c r="Y1041" s="149"/>
      <c r="Z1041" s="149"/>
      <c r="AA1041" s="149"/>
      <c r="AB1041" s="149"/>
      <c r="AC1041" s="149"/>
      <c r="AD1041" s="149"/>
      <c r="AE1041" s="149"/>
      <c r="AF1041" s="149"/>
      <c r="AG1041" s="149"/>
      <c r="AH1041" s="149"/>
      <c r="AI1041" s="149"/>
      <c r="AJ1041" s="149"/>
      <c r="AK1041" s="149"/>
      <c r="AL1041" s="149"/>
      <c r="AM1041" s="149"/>
      <c r="AN1041" s="149"/>
      <c r="AO1041" s="149"/>
      <c r="AP1041" s="149"/>
    </row>
    <row r="1042" ht="18.75" customHeight="1">
      <c r="A1042" s="149"/>
      <c r="B1042" s="149"/>
      <c r="C1042" s="304"/>
      <c r="D1042" s="149"/>
      <c r="E1042" s="149"/>
      <c r="F1042" s="149"/>
      <c r="G1042" s="149"/>
      <c r="H1042" s="149"/>
      <c r="I1042" s="149"/>
      <c r="J1042" s="149"/>
      <c r="K1042" s="149"/>
      <c r="L1042" s="149"/>
      <c r="M1042" s="149"/>
      <c r="N1042" s="149"/>
      <c r="O1042" s="149"/>
      <c r="P1042" s="149"/>
      <c r="Q1042" s="149"/>
      <c r="R1042" s="149"/>
      <c r="S1042" s="149"/>
      <c r="T1042" s="149"/>
      <c r="U1042" s="149"/>
      <c r="V1042" s="149"/>
      <c r="W1042" s="149"/>
      <c r="X1042" s="149"/>
      <c r="Y1042" s="149"/>
      <c r="Z1042" s="149"/>
      <c r="AA1042" s="149"/>
      <c r="AB1042" s="149"/>
      <c r="AC1042" s="149"/>
      <c r="AD1042" s="149"/>
      <c r="AE1042" s="149"/>
      <c r="AF1042" s="149"/>
      <c r="AG1042" s="149"/>
      <c r="AH1042" s="149"/>
      <c r="AI1042" s="149"/>
      <c r="AJ1042" s="149"/>
      <c r="AK1042" s="149"/>
      <c r="AL1042" s="149"/>
      <c r="AM1042" s="149"/>
      <c r="AN1042" s="149"/>
      <c r="AO1042" s="149"/>
      <c r="AP1042" s="149"/>
    </row>
    <row r="1043" ht="18.75" customHeight="1">
      <c r="A1043" s="149"/>
      <c r="B1043" s="149"/>
      <c r="C1043" s="304"/>
      <c r="D1043" s="149"/>
      <c r="E1043" s="149"/>
      <c r="F1043" s="149"/>
      <c r="G1043" s="149"/>
      <c r="H1043" s="149"/>
      <c r="I1043" s="149"/>
      <c r="J1043" s="149"/>
      <c r="K1043" s="149"/>
      <c r="L1043" s="149"/>
      <c r="M1043" s="149"/>
      <c r="N1043" s="149"/>
      <c r="O1043" s="149"/>
      <c r="P1043" s="149"/>
      <c r="Q1043" s="149"/>
      <c r="R1043" s="149"/>
      <c r="S1043" s="149"/>
      <c r="T1043" s="149"/>
      <c r="U1043" s="149"/>
      <c r="V1043" s="149"/>
      <c r="W1043" s="149"/>
      <c r="X1043" s="149"/>
      <c r="Y1043" s="149"/>
      <c r="Z1043" s="149"/>
      <c r="AA1043" s="149"/>
      <c r="AB1043" s="149"/>
      <c r="AC1043" s="149"/>
      <c r="AD1043" s="149"/>
      <c r="AE1043" s="149"/>
      <c r="AF1043" s="149"/>
      <c r="AG1043" s="149"/>
      <c r="AH1043" s="149"/>
      <c r="AI1043" s="149"/>
      <c r="AJ1043" s="149"/>
      <c r="AK1043" s="149"/>
      <c r="AL1043" s="149"/>
      <c r="AM1043" s="149"/>
      <c r="AN1043" s="149"/>
      <c r="AO1043" s="149"/>
      <c r="AP1043" s="149"/>
    </row>
    <row r="1044" ht="18.75" customHeight="1">
      <c r="A1044" s="149"/>
      <c r="B1044" s="149"/>
      <c r="C1044" s="304"/>
      <c r="D1044" s="149"/>
      <c r="E1044" s="149"/>
      <c r="F1044" s="149"/>
      <c r="G1044" s="149"/>
      <c r="H1044" s="149"/>
      <c r="I1044" s="149"/>
      <c r="J1044" s="149"/>
      <c r="K1044" s="149"/>
      <c r="L1044" s="149"/>
      <c r="M1044" s="149"/>
      <c r="N1044" s="149"/>
      <c r="O1044" s="149"/>
      <c r="P1044" s="149"/>
      <c r="Q1044" s="149"/>
      <c r="R1044" s="149"/>
      <c r="S1044" s="149"/>
      <c r="T1044" s="149"/>
      <c r="U1044" s="149"/>
      <c r="V1044" s="149"/>
      <c r="W1044" s="149"/>
      <c r="X1044" s="149"/>
      <c r="Y1044" s="149"/>
      <c r="Z1044" s="149"/>
      <c r="AA1044" s="149"/>
      <c r="AB1044" s="149"/>
      <c r="AC1044" s="149"/>
      <c r="AD1044" s="149"/>
      <c r="AE1044" s="149"/>
      <c r="AF1044" s="149"/>
      <c r="AG1044" s="149"/>
      <c r="AH1044" s="149"/>
      <c r="AI1044" s="149"/>
      <c r="AJ1044" s="149"/>
      <c r="AK1044" s="149"/>
      <c r="AL1044" s="149"/>
      <c r="AM1044" s="149"/>
      <c r="AN1044" s="149"/>
      <c r="AO1044" s="149"/>
      <c r="AP1044" s="149"/>
    </row>
    <row r="1045" ht="18.75" customHeight="1">
      <c r="A1045" s="149"/>
      <c r="B1045" s="149"/>
      <c r="C1045" s="304"/>
      <c r="D1045" s="149"/>
      <c r="E1045" s="149"/>
      <c r="F1045" s="149"/>
      <c r="G1045" s="149"/>
      <c r="H1045" s="149"/>
      <c r="I1045" s="149"/>
      <c r="J1045" s="149"/>
      <c r="K1045" s="149"/>
      <c r="L1045" s="149"/>
      <c r="M1045" s="149"/>
      <c r="N1045" s="149"/>
      <c r="O1045" s="149"/>
      <c r="P1045" s="149"/>
      <c r="Q1045" s="149"/>
      <c r="R1045" s="149"/>
      <c r="S1045" s="149"/>
      <c r="T1045" s="149"/>
      <c r="U1045" s="149"/>
      <c r="V1045" s="149"/>
      <c r="W1045" s="149"/>
      <c r="X1045" s="149"/>
      <c r="Y1045" s="149"/>
      <c r="Z1045" s="149"/>
      <c r="AA1045" s="149"/>
      <c r="AB1045" s="149"/>
      <c r="AC1045" s="149"/>
      <c r="AD1045" s="149"/>
      <c r="AE1045" s="149"/>
      <c r="AF1045" s="149"/>
      <c r="AG1045" s="149"/>
      <c r="AH1045" s="149"/>
      <c r="AI1045" s="149"/>
      <c r="AJ1045" s="149"/>
      <c r="AK1045" s="149"/>
      <c r="AL1045" s="149"/>
      <c r="AM1045" s="149"/>
      <c r="AN1045" s="149"/>
      <c r="AO1045" s="149"/>
      <c r="AP1045" s="149"/>
    </row>
    <row r="1046" ht="18.75" customHeight="1">
      <c r="A1046" s="149"/>
      <c r="B1046" s="149"/>
      <c r="C1046" s="304"/>
      <c r="D1046" s="149"/>
      <c r="E1046" s="149"/>
      <c r="F1046" s="149"/>
      <c r="G1046" s="149"/>
      <c r="H1046" s="149"/>
      <c r="I1046" s="149"/>
      <c r="J1046" s="149"/>
      <c r="K1046" s="149"/>
      <c r="L1046" s="149"/>
      <c r="M1046" s="149"/>
      <c r="N1046" s="149"/>
      <c r="O1046" s="149"/>
      <c r="P1046" s="149"/>
      <c r="Q1046" s="149"/>
      <c r="R1046" s="149"/>
      <c r="S1046" s="149"/>
      <c r="T1046" s="149"/>
      <c r="U1046" s="149"/>
      <c r="V1046" s="149"/>
      <c r="W1046" s="149"/>
      <c r="X1046" s="149"/>
      <c r="Y1046" s="149"/>
      <c r="Z1046" s="149"/>
      <c r="AA1046" s="149"/>
      <c r="AB1046" s="149"/>
      <c r="AC1046" s="149"/>
      <c r="AD1046" s="149"/>
      <c r="AE1046" s="149"/>
      <c r="AF1046" s="149"/>
      <c r="AG1046" s="149"/>
      <c r="AH1046" s="149"/>
      <c r="AI1046" s="149"/>
      <c r="AJ1046" s="149"/>
      <c r="AK1046" s="149"/>
      <c r="AL1046" s="149"/>
      <c r="AM1046" s="149"/>
      <c r="AN1046" s="149"/>
      <c r="AO1046" s="149"/>
      <c r="AP1046" s="149"/>
    </row>
    <row r="1047" ht="18.75" customHeight="1">
      <c r="A1047" s="149"/>
      <c r="B1047" s="149"/>
      <c r="C1047" s="304"/>
      <c r="D1047" s="149"/>
      <c r="E1047" s="149"/>
      <c r="F1047" s="149"/>
      <c r="G1047" s="149"/>
      <c r="H1047" s="149"/>
      <c r="I1047" s="149"/>
      <c r="J1047" s="149"/>
      <c r="K1047" s="149"/>
      <c r="L1047" s="149"/>
      <c r="M1047" s="149"/>
      <c r="N1047" s="149"/>
      <c r="O1047" s="149"/>
      <c r="P1047" s="149"/>
      <c r="Q1047" s="149"/>
      <c r="R1047" s="149"/>
      <c r="S1047" s="149"/>
      <c r="T1047" s="149"/>
      <c r="U1047" s="149"/>
      <c r="V1047" s="149"/>
      <c r="W1047" s="149"/>
      <c r="X1047" s="149"/>
      <c r="Y1047" s="149"/>
      <c r="Z1047" s="149"/>
      <c r="AA1047" s="149"/>
      <c r="AB1047" s="149"/>
      <c r="AC1047" s="149"/>
      <c r="AD1047" s="149"/>
      <c r="AE1047" s="149"/>
      <c r="AF1047" s="149"/>
      <c r="AG1047" s="149"/>
      <c r="AH1047" s="149"/>
      <c r="AI1047" s="149"/>
      <c r="AJ1047" s="149"/>
      <c r="AK1047" s="149"/>
      <c r="AL1047" s="149"/>
      <c r="AM1047" s="149"/>
      <c r="AN1047" s="149"/>
      <c r="AO1047" s="149"/>
      <c r="AP1047" s="149"/>
    </row>
    <row r="1048" ht="18.75" customHeight="1">
      <c r="A1048" s="149"/>
      <c r="B1048" s="149"/>
      <c r="C1048" s="304"/>
      <c r="D1048" s="149"/>
      <c r="E1048" s="149"/>
      <c r="F1048" s="149"/>
      <c r="G1048" s="149"/>
      <c r="H1048" s="149"/>
      <c r="I1048" s="149"/>
      <c r="J1048" s="149"/>
      <c r="K1048" s="149"/>
      <c r="L1048" s="149"/>
      <c r="M1048" s="149"/>
      <c r="N1048" s="149"/>
      <c r="O1048" s="149"/>
      <c r="P1048" s="149"/>
      <c r="Q1048" s="149"/>
      <c r="R1048" s="149"/>
      <c r="S1048" s="149"/>
      <c r="T1048" s="149"/>
      <c r="U1048" s="149"/>
      <c r="V1048" s="149"/>
      <c r="W1048" s="149"/>
      <c r="X1048" s="149"/>
      <c r="Y1048" s="149"/>
      <c r="Z1048" s="149"/>
      <c r="AA1048" s="149"/>
      <c r="AB1048" s="149"/>
      <c r="AC1048" s="149"/>
      <c r="AD1048" s="149"/>
      <c r="AE1048" s="149"/>
      <c r="AF1048" s="149"/>
      <c r="AG1048" s="149"/>
      <c r="AH1048" s="149"/>
      <c r="AI1048" s="149"/>
      <c r="AJ1048" s="149"/>
      <c r="AK1048" s="149"/>
      <c r="AL1048" s="149"/>
      <c r="AM1048" s="149"/>
      <c r="AN1048" s="149"/>
      <c r="AO1048" s="149"/>
      <c r="AP1048" s="149"/>
    </row>
    <row r="1049" ht="18.75" customHeight="1">
      <c r="A1049" s="149"/>
      <c r="B1049" s="149"/>
      <c r="C1049" s="304"/>
      <c r="D1049" s="149"/>
      <c r="E1049" s="149"/>
      <c r="F1049" s="149"/>
      <c r="G1049" s="149"/>
      <c r="H1049" s="149"/>
      <c r="I1049" s="149"/>
      <c r="J1049" s="149"/>
      <c r="K1049" s="149"/>
      <c r="L1049" s="149"/>
      <c r="M1049" s="149"/>
      <c r="N1049" s="149"/>
      <c r="O1049" s="149"/>
      <c r="P1049" s="149"/>
      <c r="Q1049" s="149"/>
      <c r="R1049" s="149"/>
      <c r="S1049" s="149"/>
      <c r="T1049" s="149"/>
      <c r="U1049" s="149"/>
      <c r="V1049" s="149"/>
      <c r="W1049" s="149"/>
      <c r="X1049" s="149"/>
      <c r="Y1049" s="149"/>
      <c r="Z1049" s="149"/>
      <c r="AA1049" s="149"/>
      <c r="AB1049" s="149"/>
      <c r="AC1049" s="149"/>
      <c r="AD1049" s="149"/>
      <c r="AE1049" s="149"/>
      <c r="AF1049" s="149"/>
      <c r="AG1049" s="149"/>
      <c r="AH1049" s="149"/>
      <c r="AI1049" s="149"/>
      <c r="AJ1049" s="149"/>
      <c r="AK1049" s="149"/>
      <c r="AL1049" s="149"/>
      <c r="AM1049" s="149"/>
      <c r="AN1049" s="149"/>
      <c r="AO1049" s="149"/>
      <c r="AP1049" s="149"/>
    </row>
    <row r="1050" ht="18.75" customHeight="1">
      <c r="A1050" s="149"/>
      <c r="B1050" s="149"/>
      <c r="C1050" s="304"/>
      <c r="D1050" s="149"/>
      <c r="E1050" s="149"/>
      <c r="F1050" s="149"/>
      <c r="G1050" s="149"/>
      <c r="H1050" s="149"/>
      <c r="I1050" s="149"/>
      <c r="J1050" s="149"/>
      <c r="K1050" s="149"/>
      <c r="L1050" s="149"/>
      <c r="M1050" s="149"/>
      <c r="N1050" s="149"/>
      <c r="O1050" s="149"/>
      <c r="P1050" s="149"/>
      <c r="Q1050" s="149"/>
      <c r="R1050" s="149"/>
      <c r="S1050" s="149"/>
      <c r="T1050" s="149"/>
      <c r="U1050" s="149"/>
      <c r="V1050" s="149"/>
      <c r="W1050" s="149"/>
      <c r="X1050" s="149"/>
      <c r="Y1050" s="149"/>
      <c r="Z1050" s="149"/>
      <c r="AA1050" s="149"/>
      <c r="AB1050" s="149"/>
      <c r="AC1050" s="149"/>
      <c r="AD1050" s="149"/>
      <c r="AE1050" s="149"/>
      <c r="AF1050" s="149"/>
      <c r="AG1050" s="149"/>
      <c r="AH1050" s="149"/>
      <c r="AI1050" s="149"/>
      <c r="AJ1050" s="149"/>
      <c r="AK1050" s="149"/>
      <c r="AL1050" s="149"/>
      <c r="AM1050" s="149"/>
      <c r="AN1050" s="149"/>
      <c r="AO1050" s="149"/>
      <c r="AP1050" s="149"/>
    </row>
    <row r="1051" ht="18.75" customHeight="1">
      <c r="A1051" s="149"/>
      <c r="B1051" s="149"/>
      <c r="C1051" s="304"/>
      <c r="D1051" s="149"/>
      <c r="E1051" s="149"/>
      <c r="F1051" s="149"/>
      <c r="G1051" s="149"/>
      <c r="H1051" s="149"/>
      <c r="I1051" s="149"/>
      <c r="J1051" s="149"/>
      <c r="K1051" s="149"/>
      <c r="L1051" s="149"/>
      <c r="M1051" s="149"/>
      <c r="N1051" s="149"/>
      <c r="O1051" s="149"/>
      <c r="P1051" s="149"/>
      <c r="Q1051" s="149"/>
      <c r="R1051" s="149"/>
      <c r="S1051" s="149"/>
      <c r="T1051" s="149"/>
      <c r="U1051" s="149"/>
      <c r="V1051" s="149"/>
      <c r="W1051" s="149"/>
      <c r="X1051" s="149"/>
      <c r="Y1051" s="149"/>
      <c r="Z1051" s="149"/>
      <c r="AA1051" s="149"/>
      <c r="AB1051" s="149"/>
      <c r="AC1051" s="149"/>
      <c r="AD1051" s="149"/>
      <c r="AE1051" s="149"/>
      <c r="AF1051" s="149"/>
      <c r="AG1051" s="149"/>
      <c r="AH1051" s="149"/>
      <c r="AI1051" s="149"/>
      <c r="AJ1051" s="149"/>
      <c r="AK1051" s="149"/>
      <c r="AL1051" s="149"/>
      <c r="AM1051" s="149"/>
      <c r="AN1051" s="149"/>
      <c r="AO1051" s="149"/>
      <c r="AP1051" s="149"/>
    </row>
    <row r="1052" ht="18.75" customHeight="1">
      <c r="A1052" s="149"/>
      <c r="B1052" s="149"/>
      <c r="C1052" s="304"/>
      <c r="D1052" s="149"/>
      <c r="E1052" s="149"/>
      <c r="F1052" s="149"/>
      <c r="G1052" s="149"/>
      <c r="H1052" s="149"/>
      <c r="I1052" s="149"/>
      <c r="J1052" s="149"/>
      <c r="K1052" s="149"/>
      <c r="L1052" s="149"/>
      <c r="M1052" s="149"/>
      <c r="N1052" s="149"/>
      <c r="O1052" s="149"/>
      <c r="P1052" s="149"/>
      <c r="Q1052" s="149"/>
      <c r="R1052" s="149"/>
      <c r="S1052" s="149"/>
      <c r="T1052" s="149"/>
      <c r="U1052" s="149"/>
      <c r="V1052" s="149"/>
      <c r="W1052" s="149"/>
      <c r="X1052" s="149"/>
      <c r="Y1052" s="149"/>
      <c r="Z1052" s="149"/>
      <c r="AA1052" s="149"/>
      <c r="AB1052" s="149"/>
      <c r="AC1052" s="149"/>
      <c r="AD1052" s="149"/>
      <c r="AE1052" s="149"/>
      <c r="AF1052" s="149"/>
      <c r="AG1052" s="149"/>
      <c r="AH1052" s="149"/>
      <c r="AI1052" s="149"/>
      <c r="AJ1052" s="149"/>
      <c r="AK1052" s="149"/>
      <c r="AL1052" s="149"/>
      <c r="AM1052" s="149"/>
      <c r="AN1052" s="149"/>
      <c r="AO1052" s="149"/>
      <c r="AP1052" s="149"/>
    </row>
    <row r="1053" ht="18.75" customHeight="1">
      <c r="A1053" s="149"/>
      <c r="B1053" s="149"/>
      <c r="C1053" s="304"/>
      <c r="D1053" s="149"/>
      <c r="E1053" s="149"/>
      <c r="F1053" s="149"/>
      <c r="G1053" s="149"/>
      <c r="H1053" s="149"/>
      <c r="I1053" s="149"/>
      <c r="J1053" s="149"/>
      <c r="K1053" s="149"/>
      <c r="L1053" s="149"/>
      <c r="M1053" s="149"/>
      <c r="N1053" s="149"/>
      <c r="O1053" s="149"/>
      <c r="P1053" s="149"/>
      <c r="Q1053" s="149"/>
      <c r="R1053" s="149"/>
      <c r="S1053" s="149"/>
      <c r="T1053" s="149"/>
      <c r="U1053" s="149"/>
      <c r="V1053" s="149"/>
      <c r="W1053" s="149"/>
      <c r="X1053" s="149"/>
      <c r="Y1053" s="149"/>
      <c r="Z1053" s="149"/>
      <c r="AA1053" s="149"/>
      <c r="AB1053" s="149"/>
      <c r="AC1053" s="149"/>
      <c r="AD1053" s="149"/>
      <c r="AE1053" s="149"/>
      <c r="AF1053" s="149"/>
      <c r="AG1053" s="149"/>
      <c r="AH1053" s="149"/>
      <c r="AI1053" s="149"/>
      <c r="AJ1053" s="149"/>
      <c r="AK1053" s="149"/>
      <c r="AL1053" s="149"/>
      <c r="AM1053" s="149"/>
      <c r="AN1053" s="149"/>
      <c r="AO1053" s="149"/>
      <c r="AP1053" s="149"/>
    </row>
    <row r="1054" ht="18.75" customHeight="1">
      <c r="A1054" s="149"/>
      <c r="B1054" s="149"/>
      <c r="C1054" s="304"/>
      <c r="D1054" s="149"/>
      <c r="E1054" s="149"/>
      <c r="F1054" s="149"/>
      <c r="G1054" s="149"/>
      <c r="H1054" s="149"/>
      <c r="I1054" s="149"/>
      <c r="J1054" s="149"/>
      <c r="K1054" s="149"/>
      <c r="L1054" s="149"/>
      <c r="M1054" s="149"/>
      <c r="N1054" s="149"/>
      <c r="O1054" s="149"/>
      <c r="P1054" s="149"/>
      <c r="Q1054" s="149"/>
      <c r="R1054" s="149"/>
      <c r="S1054" s="149"/>
      <c r="T1054" s="149"/>
      <c r="U1054" s="149"/>
      <c r="V1054" s="149"/>
      <c r="W1054" s="149"/>
      <c r="X1054" s="149"/>
      <c r="Y1054" s="149"/>
      <c r="Z1054" s="149"/>
      <c r="AA1054" s="149"/>
      <c r="AB1054" s="149"/>
      <c r="AC1054" s="149"/>
      <c r="AD1054" s="149"/>
      <c r="AE1054" s="149"/>
      <c r="AF1054" s="149"/>
      <c r="AG1054" s="149"/>
      <c r="AH1054" s="149"/>
      <c r="AI1054" s="149"/>
      <c r="AJ1054" s="149"/>
      <c r="AK1054" s="149"/>
      <c r="AL1054" s="149"/>
      <c r="AM1054" s="149"/>
      <c r="AN1054" s="149"/>
      <c r="AO1054" s="149"/>
      <c r="AP1054" s="149"/>
    </row>
    <row r="1055" ht="18.75" customHeight="1">
      <c r="A1055" s="149"/>
      <c r="B1055" s="149"/>
      <c r="C1055" s="304"/>
      <c r="D1055" s="149"/>
      <c r="E1055" s="149"/>
      <c r="F1055" s="149"/>
      <c r="G1055" s="149"/>
      <c r="H1055" s="149"/>
      <c r="I1055" s="149"/>
      <c r="J1055" s="149"/>
      <c r="K1055" s="149"/>
      <c r="L1055" s="149"/>
      <c r="M1055" s="149"/>
      <c r="N1055" s="149"/>
      <c r="O1055" s="149"/>
      <c r="P1055" s="149"/>
      <c r="Q1055" s="149"/>
      <c r="R1055" s="149"/>
      <c r="S1055" s="149"/>
      <c r="T1055" s="149"/>
      <c r="U1055" s="149"/>
      <c r="V1055" s="149"/>
      <c r="W1055" s="149"/>
      <c r="X1055" s="149"/>
      <c r="Y1055" s="149"/>
      <c r="Z1055" s="149"/>
      <c r="AA1055" s="149"/>
      <c r="AB1055" s="149"/>
      <c r="AC1055" s="149"/>
      <c r="AD1055" s="149"/>
      <c r="AE1055" s="149"/>
      <c r="AF1055" s="149"/>
      <c r="AG1055" s="149"/>
      <c r="AH1055" s="149"/>
      <c r="AI1055" s="149"/>
      <c r="AJ1055" s="149"/>
      <c r="AK1055" s="149"/>
      <c r="AL1055" s="149"/>
      <c r="AM1055" s="149"/>
      <c r="AN1055" s="149"/>
      <c r="AO1055" s="149"/>
      <c r="AP1055" s="149"/>
    </row>
    <row r="1056" ht="18.75" customHeight="1">
      <c r="A1056" s="149"/>
      <c r="B1056" s="149"/>
      <c r="C1056" s="304"/>
      <c r="D1056" s="149"/>
      <c r="E1056" s="149"/>
      <c r="F1056" s="149"/>
      <c r="G1056" s="149"/>
      <c r="H1056" s="149"/>
      <c r="I1056" s="149"/>
      <c r="J1056" s="149"/>
      <c r="K1056" s="149"/>
      <c r="L1056" s="149"/>
      <c r="M1056" s="149"/>
      <c r="N1056" s="149"/>
      <c r="O1056" s="149"/>
      <c r="P1056" s="149"/>
      <c r="Q1056" s="149"/>
      <c r="R1056" s="149"/>
      <c r="S1056" s="149"/>
      <c r="T1056" s="149"/>
      <c r="U1056" s="149"/>
      <c r="V1056" s="149"/>
      <c r="W1056" s="149"/>
      <c r="X1056" s="149"/>
      <c r="Y1056" s="149"/>
      <c r="Z1056" s="149"/>
      <c r="AA1056" s="149"/>
      <c r="AB1056" s="149"/>
      <c r="AC1056" s="149"/>
      <c r="AD1056" s="149"/>
      <c r="AE1056" s="149"/>
      <c r="AF1056" s="149"/>
      <c r="AG1056" s="149"/>
      <c r="AH1056" s="149"/>
      <c r="AI1056" s="149"/>
      <c r="AJ1056" s="149"/>
      <c r="AK1056" s="149"/>
      <c r="AL1056" s="149"/>
      <c r="AM1056" s="149"/>
      <c r="AN1056" s="149"/>
      <c r="AO1056" s="149"/>
      <c r="AP1056" s="149"/>
    </row>
    <row r="1057" ht="18.75" customHeight="1">
      <c r="A1057" s="149"/>
      <c r="B1057" s="149"/>
      <c r="C1057" s="304"/>
      <c r="D1057" s="149"/>
      <c r="E1057" s="149"/>
      <c r="F1057" s="149"/>
      <c r="G1057" s="149"/>
      <c r="H1057" s="149"/>
      <c r="I1057" s="149"/>
      <c r="J1057" s="149"/>
      <c r="K1057" s="149"/>
      <c r="L1057" s="149"/>
      <c r="M1057" s="149"/>
      <c r="N1057" s="149"/>
      <c r="O1057" s="149"/>
      <c r="P1057" s="149"/>
      <c r="Q1057" s="149"/>
      <c r="R1057" s="149"/>
      <c r="S1057" s="149"/>
      <c r="T1057" s="149"/>
      <c r="U1057" s="149"/>
      <c r="V1057" s="149"/>
      <c r="W1057" s="149"/>
      <c r="X1057" s="149"/>
      <c r="Y1057" s="149"/>
      <c r="Z1057" s="149"/>
      <c r="AA1057" s="149"/>
      <c r="AB1057" s="149"/>
      <c r="AC1057" s="149"/>
      <c r="AD1057" s="149"/>
      <c r="AE1057" s="149"/>
      <c r="AF1057" s="149"/>
      <c r="AG1057" s="149"/>
      <c r="AH1057" s="149"/>
      <c r="AI1057" s="149"/>
      <c r="AJ1057" s="149"/>
      <c r="AK1057" s="149"/>
      <c r="AL1057" s="149"/>
      <c r="AM1057" s="149"/>
      <c r="AN1057" s="149"/>
      <c r="AO1057" s="149"/>
      <c r="AP1057" s="149"/>
    </row>
    <row r="1058" ht="18.75" customHeight="1">
      <c r="A1058" s="149"/>
      <c r="B1058" s="149"/>
      <c r="C1058" s="304"/>
      <c r="D1058" s="149"/>
      <c r="E1058" s="149"/>
      <c r="F1058" s="149"/>
      <c r="G1058" s="149"/>
      <c r="H1058" s="149"/>
      <c r="I1058" s="149"/>
      <c r="J1058" s="149"/>
      <c r="K1058" s="149"/>
      <c r="L1058" s="149"/>
      <c r="M1058" s="149"/>
      <c r="N1058" s="149"/>
      <c r="O1058" s="149"/>
      <c r="P1058" s="149"/>
      <c r="Q1058" s="149"/>
      <c r="R1058" s="149"/>
      <c r="S1058" s="149"/>
      <c r="T1058" s="149"/>
      <c r="U1058" s="149"/>
      <c r="V1058" s="149"/>
      <c r="W1058" s="149"/>
      <c r="X1058" s="149"/>
      <c r="Y1058" s="149"/>
      <c r="Z1058" s="149"/>
      <c r="AA1058" s="149"/>
      <c r="AB1058" s="149"/>
      <c r="AC1058" s="149"/>
      <c r="AD1058" s="149"/>
      <c r="AE1058" s="149"/>
      <c r="AF1058" s="149"/>
      <c r="AG1058" s="149"/>
      <c r="AH1058" s="149"/>
      <c r="AI1058" s="149"/>
      <c r="AJ1058" s="149"/>
      <c r="AK1058" s="149"/>
      <c r="AL1058" s="149"/>
      <c r="AM1058" s="149"/>
      <c r="AN1058" s="149"/>
      <c r="AO1058" s="149"/>
      <c r="AP1058" s="149"/>
    </row>
    <row r="1059" ht="18.75" customHeight="1">
      <c r="A1059" s="149"/>
      <c r="B1059" s="149"/>
      <c r="C1059" s="304"/>
      <c r="D1059" s="149"/>
      <c r="E1059" s="149"/>
      <c r="F1059" s="149"/>
      <c r="G1059" s="149"/>
      <c r="H1059" s="149"/>
      <c r="I1059" s="149"/>
      <c r="J1059" s="149"/>
      <c r="K1059" s="149"/>
      <c r="L1059" s="149"/>
      <c r="M1059" s="149"/>
      <c r="N1059" s="149"/>
      <c r="O1059" s="149"/>
      <c r="P1059" s="149"/>
      <c r="Q1059" s="149"/>
      <c r="R1059" s="149"/>
      <c r="S1059" s="149"/>
      <c r="T1059" s="149"/>
      <c r="U1059" s="149"/>
      <c r="V1059" s="149"/>
      <c r="W1059" s="149"/>
      <c r="X1059" s="149"/>
      <c r="Y1059" s="149"/>
      <c r="Z1059" s="149"/>
      <c r="AA1059" s="149"/>
      <c r="AB1059" s="149"/>
      <c r="AC1059" s="149"/>
      <c r="AD1059" s="149"/>
      <c r="AE1059" s="149"/>
      <c r="AF1059" s="149"/>
      <c r="AG1059" s="149"/>
      <c r="AH1059" s="149"/>
      <c r="AI1059" s="149"/>
      <c r="AJ1059" s="149"/>
      <c r="AK1059" s="149"/>
      <c r="AL1059" s="149"/>
      <c r="AM1059" s="149"/>
      <c r="AN1059" s="149"/>
      <c r="AO1059" s="149"/>
      <c r="AP1059" s="149"/>
    </row>
    <row r="1060" ht="18.75" customHeight="1">
      <c r="A1060" s="149"/>
      <c r="B1060" s="149"/>
      <c r="C1060" s="304"/>
      <c r="D1060" s="149"/>
      <c r="E1060" s="149"/>
      <c r="F1060" s="149"/>
      <c r="G1060" s="149"/>
      <c r="H1060" s="149"/>
      <c r="I1060" s="149"/>
      <c r="J1060" s="149"/>
      <c r="K1060" s="149"/>
      <c r="L1060" s="149"/>
      <c r="M1060" s="149"/>
      <c r="N1060" s="149"/>
      <c r="O1060" s="149"/>
      <c r="P1060" s="149"/>
      <c r="Q1060" s="149"/>
      <c r="R1060" s="149"/>
      <c r="S1060" s="149"/>
      <c r="T1060" s="149"/>
      <c r="U1060" s="149"/>
      <c r="V1060" s="149"/>
      <c r="W1060" s="149"/>
      <c r="X1060" s="149"/>
      <c r="Y1060" s="149"/>
      <c r="Z1060" s="149"/>
      <c r="AA1060" s="149"/>
      <c r="AB1060" s="149"/>
      <c r="AC1060" s="149"/>
      <c r="AD1060" s="149"/>
      <c r="AE1060" s="149"/>
      <c r="AF1060" s="149"/>
      <c r="AG1060" s="149"/>
      <c r="AH1060" s="149"/>
      <c r="AI1060" s="149"/>
      <c r="AJ1060" s="149"/>
      <c r="AK1060" s="149"/>
      <c r="AL1060" s="149"/>
      <c r="AM1060" s="149"/>
      <c r="AN1060" s="149"/>
      <c r="AO1060" s="149"/>
      <c r="AP1060" s="149"/>
    </row>
    <row r="1061" ht="18.75" customHeight="1">
      <c r="A1061" s="149"/>
      <c r="B1061" s="149"/>
      <c r="C1061" s="304"/>
      <c r="D1061" s="149"/>
      <c r="E1061" s="149"/>
      <c r="F1061" s="149"/>
      <c r="G1061" s="149"/>
      <c r="H1061" s="149"/>
      <c r="I1061" s="149"/>
      <c r="J1061" s="149"/>
      <c r="K1061" s="149"/>
      <c r="L1061" s="149"/>
      <c r="M1061" s="149"/>
      <c r="N1061" s="149"/>
      <c r="O1061" s="149"/>
      <c r="P1061" s="149"/>
      <c r="Q1061" s="149"/>
      <c r="R1061" s="149"/>
      <c r="S1061" s="149"/>
      <c r="T1061" s="149"/>
      <c r="U1061" s="149"/>
      <c r="V1061" s="149"/>
      <c r="W1061" s="149"/>
      <c r="X1061" s="149"/>
      <c r="Y1061" s="149"/>
      <c r="Z1061" s="149"/>
      <c r="AA1061" s="149"/>
      <c r="AB1061" s="149"/>
      <c r="AC1061" s="149"/>
      <c r="AD1061" s="149"/>
      <c r="AE1061" s="149"/>
      <c r="AF1061" s="149"/>
      <c r="AG1061" s="149"/>
      <c r="AH1061" s="149"/>
      <c r="AI1061" s="149"/>
      <c r="AJ1061" s="149"/>
      <c r="AK1061" s="149"/>
      <c r="AL1061" s="149"/>
      <c r="AM1061" s="149"/>
      <c r="AN1061" s="149"/>
      <c r="AO1061" s="149"/>
      <c r="AP1061" s="149"/>
    </row>
    <row r="1062" ht="18.75" customHeight="1">
      <c r="A1062" s="149"/>
      <c r="B1062" s="149"/>
      <c r="C1062" s="304"/>
      <c r="D1062" s="149"/>
      <c r="E1062" s="149"/>
      <c r="F1062" s="149"/>
      <c r="G1062" s="149"/>
      <c r="H1062" s="149"/>
      <c r="I1062" s="149"/>
      <c r="J1062" s="149"/>
      <c r="K1062" s="149"/>
      <c r="L1062" s="149"/>
      <c r="M1062" s="149"/>
      <c r="N1062" s="149"/>
      <c r="O1062" s="149"/>
      <c r="P1062" s="149"/>
      <c r="Q1062" s="149"/>
      <c r="R1062" s="149"/>
      <c r="S1062" s="149"/>
      <c r="T1062" s="149"/>
      <c r="U1062" s="149"/>
      <c r="V1062" s="149"/>
      <c r="W1062" s="149"/>
      <c r="X1062" s="149"/>
      <c r="Y1062" s="149"/>
      <c r="Z1062" s="149"/>
      <c r="AA1062" s="149"/>
      <c r="AB1062" s="149"/>
      <c r="AC1062" s="149"/>
      <c r="AD1062" s="149"/>
      <c r="AE1062" s="149"/>
      <c r="AF1062" s="149"/>
      <c r="AG1062" s="149"/>
      <c r="AH1062" s="149"/>
      <c r="AI1062" s="149"/>
      <c r="AJ1062" s="149"/>
      <c r="AK1062" s="149"/>
      <c r="AL1062" s="149"/>
      <c r="AM1062" s="149"/>
      <c r="AN1062" s="149"/>
      <c r="AO1062" s="149"/>
      <c r="AP1062" s="149"/>
    </row>
    <row r="1063" ht="18.75" customHeight="1">
      <c r="A1063" s="149"/>
      <c r="B1063" s="149"/>
      <c r="C1063" s="304"/>
      <c r="D1063" s="149"/>
      <c r="E1063" s="149"/>
      <c r="F1063" s="149"/>
      <c r="G1063" s="149"/>
      <c r="H1063" s="149"/>
      <c r="I1063" s="149"/>
      <c r="J1063" s="149"/>
      <c r="K1063" s="149"/>
      <c r="L1063" s="149"/>
      <c r="M1063" s="149"/>
      <c r="N1063" s="149"/>
      <c r="O1063" s="149"/>
      <c r="P1063" s="149"/>
      <c r="Q1063" s="149"/>
      <c r="R1063" s="149"/>
      <c r="S1063" s="149"/>
      <c r="T1063" s="149"/>
      <c r="U1063" s="149"/>
      <c r="V1063" s="149"/>
      <c r="W1063" s="149"/>
      <c r="X1063" s="149"/>
      <c r="Y1063" s="149"/>
      <c r="Z1063" s="149"/>
      <c r="AA1063" s="149"/>
      <c r="AB1063" s="149"/>
      <c r="AC1063" s="149"/>
      <c r="AD1063" s="149"/>
      <c r="AE1063" s="149"/>
      <c r="AF1063" s="149"/>
      <c r="AG1063" s="149"/>
      <c r="AH1063" s="149"/>
      <c r="AI1063" s="149"/>
      <c r="AJ1063" s="149"/>
      <c r="AK1063" s="149"/>
      <c r="AL1063" s="149"/>
      <c r="AM1063" s="149"/>
      <c r="AN1063" s="149"/>
      <c r="AO1063" s="149"/>
      <c r="AP1063" s="149"/>
    </row>
    <row r="1064" ht="18.75" customHeight="1">
      <c r="A1064" s="149"/>
      <c r="B1064" s="149"/>
      <c r="C1064" s="304"/>
      <c r="D1064" s="149"/>
      <c r="E1064" s="149"/>
      <c r="F1064" s="149"/>
      <c r="G1064" s="149"/>
      <c r="H1064" s="149"/>
      <c r="I1064" s="149"/>
      <c r="J1064" s="149"/>
      <c r="K1064" s="149"/>
      <c r="L1064" s="149"/>
      <c r="M1064" s="149"/>
      <c r="N1064" s="149"/>
      <c r="O1064" s="149"/>
      <c r="P1064" s="149"/>
      <c r="Q1064" s="149"/>
      <c r="R1064" s="149"/>
      <c r="S1064" s="149"/>
      <c r="T1064" s="149"/>
      <c r="U1064" s="149"/>
      <c r="V1064" s="149"/>
      <c r="W1064" s="149"/>
      <c r="X1064" s="149"/>
      <c r="Y1064" s="149"/>
      <c r="Z1064" s="149"/>
      <c r="AA1064" s="149"/>
      <c r="AB1064" s="149"/>
      <c r="AC1064" s="149"/>
      <c r="AD1064" s="149"/>
      <c r="AE1064" s="149"/>
      <c r="AF1064" s="149"/>
      <c r="AG1064" s="149"/>
      <c r="AH1064" s="149"/>
      <c r="AI1064" s="149"/>
      <c r="AJ1064" s="149"/>
      <c r="AK1064" s="149"/>
      <c r="AL1064" s="149"/>
      <c r="AM1064" s="149"/>
      <c r="AN1064" s="149"/>
      <c r="AO1064" s="149"/>
      <c r="AP1064" s="149"/>
    </row>
    <row r="1065" ht="18.75" customHeight="1">
      <c r="A1065" s="149"/>
      <c r="B1065" s="149"/>
      <c r="C1065" s="304"/>
      <c r="D1065" s="149"/>
      <c r="E1065" s="149"/>
      <c r="F1065" s="149"/>
      <c r="G1065" s="149"/>
      <c r="H1065" s="149"/>
      <c r="I1065" s="149"/>
      <c r="J1065" s="149"/>
      <c r="K1065" s="149"/>
      <c r="L1065" s="149"/>
      <c r="M1065" s="149"/>
      <c r="N1065" s="149"/>
      <c r="O1065" s="149"/>
      <c r="P1065" s="149"/>
      <c r="Q1065" s="149"/>
      <c r="R1065" s="149"/>
      <c r="S1065" s="149"/>
      <c r="T1065" s="149"/>
      <c r="U1065" s="149"/>
      <c r="V1065" s="149"/>
      <c r="W1065" s="149"/>
      <c r="X1065" s="149"/>
      <c r="Y1065" s="149"/>
      <c r="Z1065" s="149"/>
      <c r="AA1065" s="149"/>
      <c r="AB1065" s="149"/>
      <c r="AC1065" s="149"/>
      <c r="AD1065" s="149"/>
      <c r="AE1065" s="149"/>
      <c r="AF1065" s="149"/>
      <c r="AG1065" s="149"/>
      <c r="AH1065" s="149"/>
      <c r="AI1065" s="149"/>
      <c r="AJ1065" s="149"/>
      <c r="AK1065" s="149"/>
      <c r="AL1065" s="149"/>
      <c r="AM1065" s="149"/>
      <c r="AN1065" s="149"/>
      <c r="AO1065" s="149"/>
      <c r="AP1065" s="149"/>
    </row>
    <row r="1066" ht="18.75" customHeight="1">
      <c r="A1066" s="149"/>
      <c r="B1066" s="149"/>
      <c r="C1066" s="304"/>
      <c r="D1066" s="149"/>
      <c r="E1066" s="149"/>
      <c r="F1066" s="149"/>
      <c r="G1066" s="149"/>
      <c r="H1066" s="149"/>
      <c r="I1066" s="149"/>
      <c r="J1066" s="149"/>
      <c r="K1066" s="149"/>
      <c r="L1066" s="149"/>
      <c r="M1066" s="149"/>
      <c r="N1066" s="149"/>
      <c r="O1066" s="149"/>
      <c r="P1066" s="149"/>
      <c r="Q1066" s="149"/>
      <c r="R1066" s="149"/>
      <c r="S1066" s="149"/>
      <c r="T1066" s="149"/>
      <c r="U1066" s="149"/>
      <c r="V1066" s="149"/>
      <c r="W1066" s="149"/>
      <c r="X1066" s="149"/>
      <c r="Y1066" s="149"/>
      <c r="Z1066" s="149"/>
      <c r="AA1066" s="149"/>
      <c r="AB1066" s="149"/>
      <c r="AC1066" s="149"/>
      <c r="AD1066" s="149"/>
      <c r="AE1066" s="149"/>
      <c r="AF1066" s="149"/>
      <c r="AG1066" s="149"/>
      <c r="AH1066" s="149"/>
      <c r="AI1066" s="149"/>
      <c r="AJ1066" s="149"/>
      <c r="AK1066" s="149"/>
      <c r="AL1066" s="149"/>
      <c r="AM1066" s="149"/>
      <c r="AN1066" s="149"/>
      <c r="AO1066" s="149"/>
      <c r="AP1066" s="149"/>
    </row>
    <row r="1067" ht="18.75" customHeight="1">
      <c r="A1067" s="149"/>
      <c r="B1067" s="149"/>
      <c r="C1067" s="304"/>
      <c r="D1067" s="149"/>
      <c r="E1067" s="149"/>
      <c r="F1067" s="149"/>
      <c r="G1067" s="149"/>
      <c r="H1067" s="149"/>
      <c r="I1067" s="149"/>
      <c r="J1067" s="149"/>
      <c r="K1067" s="149"/>
      <c r="L1067" s="149"/>
      <c r="M1067" s="149"/>
      <c r="N1067" s="149"/>
      <c r="O1067" s="149"/>
      <c r="P1067" s="149"/>
      <c r="Q1067" s="149"/>
      <c r="R1067" s="149"/>
      <c r="S1067" s="149"/>
      <c r="T1067" s="149"/>
      <c r="U1067" s="149"/>
      <c r="V1067" s="149"/>
      <c r="W1067" s="149"/>
      <c r="X1067" s="149"/>
      <c r="Y1067" s="149"/>
      <c r="Z1067" s="149"/>
      <c r="AA1067" s="149"/>
      <c r="AB1067" s="149"/>
      <c r="AC1067" s="149"/>
      <c r="AD1067" s="149"/>
      <c r="AE1067" s="149"/>
      <c r="AF1067" s="149"/>
      <c r="AG1067" s="149"/>
      <c r="AH1067" s="149"/>
      <c r="AI1067" s="149"/>
      <c r="AJ1067" s="149"/>
      <c r="AK1067" s="149"/>
      <c r="AL1067" s="149"/>
      <c r="AM1067" s="149"/>
      <c r="AN1067" s="149"/>
      <c r="AO1067" s="149"/>
      <c r="AP1067" s="149"/>
    </row>
    <row r="1068" ht="18.75" customHeight="1">
      <c r="A1068" s="149"/>
      <c r="B1068" s="149"/>
      <c r="C1068" s="304"/>
      <c r="D1068" s="149"/>
      <c r="E1068" s="149"/>
      <c r="F1068" s="149"/>
      <c r="G1068" s="149"/>
      <c r="H1068" s="149"/>
      <c r="I1068" s="149"/>
      <c r="J1068" s="149"/>
      <c r="K1068" s="149"/>
      <c r="L1068" s="149"/>
      <c r="M1068" s="149"/>
      <c r="N1068" s="149"/>
      <c r="O1068" s="149"/>
      <c r="P1068" s="149"/>
      <c r="Q1068" s="149"/>
      <c r="R1068" s="149"/>
      <c r="S1068" s="149"/>
      <c r="T1068" s="149"/>
      <c r="U1068" s="149"/>
      <c r="V1068" s="149"/>
      <c r="W1068" s="149"/>
      <c r="X1068" s="149"/>
      <c r="Y1068" s="149"/>
      <c r="Z1068" s="149"/>
      <c r="AA1068" s="149"/>
      <c r="AB1068" s="149"/>
      <c r="AC1068" s="149"/>
      <c r="AD1068" s="149"/>
      <c r="AE1068" s="149"/>
      <c r="AF1068" s="149"/>
      <c r="AG1068" s="149"/>
      <c r="AH1068" s="149"/>
      <c r="AI1068" s="149"/>
      <c r="AJ1068" s="149"/>
      <c r="AK1068" s="149"/>
      <c r="AL1068" s="149"/>
      <c r="AM1068" s="149"/>
      <c r="AN1068" s="149"/>
      <c r="AO1068" s="149"/>
      <c r="AP1068" s="149"/>
    </row>
    <row r="1069" ht="18.75" customHeight="1">
      <c r="A1069" s="149"/>
      <c r="B1069" s="149"/>
      <c r="C1069" s="304"/>
      <c r="D1069" s="149"/>
      <c r="E1069" s="149"/>
      <c r="F1069" s="149"/>
      <c r="G1069" s="149"/>
      <c r="H1069" s="149"/>
      <c r="I1069" s="149"/>
      <c r="J1069" s="149"/>
      <c r="K1069" s="149"/>
      <c r="L1069" s="149"/>
      <c r="M1069" s="149"/>
      <c r="N1069" s="149"/>
      <c r="O1069" s="149"/>
      <c r="P1069" s="149"/>
      <c r="Q1069" s="149"/>
      <c r="R1069" s="149"/>
      <c r="S1069" s="149"/>
      <c r="T1069" s="149"/>
      <c r="U1069" s="149"/>
      <c r="V1069" s="149"/>
      <c r="W1069" s="149"/>
      <c r="X1069" s="149"/>
      <c r="Y1069" s="149"/>
      <c r="Z1069" s="149"/>
      <c r="AA1069" s="149"/>
      <c r="AB1069" s="149"/>
      <c r="AC1069" s="149"/>
      <c r="AD1069" s="149"/>
      <c r="AE1069" s="149"/>
      <c r="AF1069" s="149"/>
      <c r="AG1069" s="149"/>
      <c r="AH1069" s="149"/>
      <c r="AI1069" s="149"/>
      <c r="AJ1069" s="149"/>
      <c r="AK1069" s="149"/>
      <c r="AL1069" s="149"/>
      <c r="AM1069" s="149"/>
      <c r="AN1069" s="149"/>
      <c r="AO1069" s="149"/>
      <c r="AP1069" s="149"/>
    </row>
    <row r="1070" ht="18.75" customHeight="1">
      <c r="A1070" s="149"/>
      <c r="B1070" s="149"/>
      <c r="C1070" s="304"/>
      <c r="D1070" s="149"/>
      <c r="E1070" s="149"/>
      <c r="F1070" s="149"/>
      <c r="G1070" s="149"/>
      <c r="H1070" s="149"/>
      <c r="I1070" s="149"/>
      <c r="J1070" s="149"/>
      <c r="K1070" s="149"/>
      <c r="L1070" s="149"/>
      <c r="M1070" s="149"/>
      <c r="N1070" s="149"/>
      <c r="O1070" s="149"/>
      <c r="P1070" s="149"/>
      <c r="Q1070" s="149"/>
      <c r="R1070" s="149"/>
      <c r="S1070" s="149"/>
      <c r="T1070" s="149"/>
      <c r="U1070" s="149"/>
      <c r="V1070" s="149"/>
      <c r="W1070" s="149"/>
      <c r="X1070" s="149"/>
      <c r="Y1070" s="149"/>
      <c r="Z1070" s="149"/>
      <c r="AA1070" s="149"/>
      <c r="AB1070" s="149"/>
      <c r="AC1070" s="149"/>
      <c r="AD1070" s="149"/>
      <c r="AE1070" s="149"/>
      <c r="AF1070" s="149"/>
      <c r="AG1070" s="149"/>
      <c r="AH1070" s="149"/>
      <c r="AI1070" s="149"/>
      <c r="AJ1070" s="149"/>
      <c r="AK1070" s="149"/>
      <c r="AL1070" s="149"/>
      <c r="AM1070" s="149"/>
      <c r="AN1070" s="149"/>
      <c r="AO1070" s="149"/>
      <c r="AP1070" s="149"/>
    </row>
    <row r="1071" ht="18.75" customHeight="1">
      <c r="A1071" s="149"/>
      <c r="B1071" s="149"/>
      <c r="C1071" s="304"/>
      <c r="D1071" s="149"/>
      <c r="E1071" s="149"/>
      <c r="F1071" s="149"/>
      <c r="G1071" s="149"/>
      <c r="H1071" s="149"/>
      <c r="I1071" s="149"/>
      <c r="J1071" s="149"/>
      <c r="K1071" s="149"/>
      <c r="L1071" s="149"/>
      <c r="M1071" s="149"/>
      <c r="N1071" s="149"/>
      <c r="O1071" s="149"/>
      <c r="P1071" s="149"/>
      <c r="Q1071" s="149"/>
      <c r="R1071" s="149"/>
      <c r="S1071" s="149"/>
      <c r="T1071" s="149"/>
      <c r="U1071" s="149"/>
      <c r="V1071" s="149"/>
      <c r="W1071" s="149"/>
      <c r="X1071" s="149"/>
      <c r="Y1071" s="149"/>
      <c r="Z1071" s="149"/>
      <c r="AA1071" s="149"/>
      <c r="AB1071" s="149"/>
      <c r="AC1071" s="149"/>
      <c r="AD1071" s="149"/>
      <c r="AE1071" s="149"/>
      <c r="AF1071" s="149"/>
      <c r="AG1071" s="149"/>
      <c r="AH1071" s="149"/>
      <c r="AI1071" s="149"/>
      <c r="AJ1071" s="149"/>
      <c r="AK1071" s="149"/>
      <c r="AL1071" s="149"/>
      <c r="AM1071" s="149"/>
      <c r="AN1071" s="149"/>
      <c r="AO1071" s="149"/>
      <c r="AP1071" s="149"/>
    </row>
    <row r="1072" ht="18.75" customHeight="1">
      <c r="A1072" s="149"/>
      <c r="B1072" s="149"/>
      <c r="C1072" s="304"/>
      <c r="D1072" s="149"/>
      <c r="E1072" s="149"/>
      <c r="F1072" s="149"/>
      <c r="G1072" s="149"/>
      <c r="H1072" s="149"/>
      <c r="I1072" s="149"/>
      <c r="J1072" s="149"/>
      <c r="K1072" s="149"/>
      <c r="L1072" s="149"/>
      <c r="M1072" s="149"/>
      <c r="N1072" s="149"/>
      <c r="O1072" s="149"/>
      <c r="P1072" s="149"/>
      <c r="Q1072" s="149"/>
      <c r="R1072" s="149"/>
      <c r="S1072" s="149"/>
      <c r="T1072" s="149"/>
      <c r="U1072" s="149"/>
      <c r="V1072" s="149"/>
      <c r="W1072" s="149"/>
      <c r="X1072" s="149"/>
      <c r="Y1072" s="149"/>
      <c r="Z1072" s="149"/>
      <c r="AA1072" s="149"/>
      <c r="AB1072" s="149"/>
      <c r="AC1072" s="149"/>
      <c r="AD1072" s="149"/>
      <c r="AE1072" s="149"/>
      <c r="AF1072" s="149"/>
      <c r="AG1072" s="149"/>
      <c r="AH1072" s="149"/>
      <c r="AI1072" s="149"/>
      <c r="AJ1072" s="149"/>
      <c r="AK1072" s="149"/>
      <c r="AL1072" s="149"/>
      <c r="AM1072" s="149"/>
      <c r="AN1072" s="149"/>
      <c r="AO1072" s="149"/>
      <c r="AP1072" s="149"/>
    </row>
    <row r="1073" ht="18.75" customHeight="1">
      <c r="A1073" s="149"/>
      <c r="B1073" s="149"/>
      <c r="C1073" s="304"/>
      <c r="D1073" s="149"/>
      <c r="E1073" s="149"/>
      <c r="F1073" s="149"/>
      <c r="G1073" s="149"/>
      <c r="H1073" s="149"/>
      <c r="I1073" s="149"/>
      <c r="J1073" s="149"/>
      <c r="K1073" s="149"/>
      <c r="L1073" s="149"/>
      <c r="M1073" s="149"/>
      <c r="N1073" s="149"/>
      <c r="O1073" s="149"/>
      <c r="P1073" s="149"/>
      <c r="Q1073" s="149"/>
      <c r="R1073" s="149"/>
      <c r="S1073" s="149"/>
      <c r="T1073" s="149"/>
      <c r="U1073" s="149"/>
      <c r="V1073" s="149"/>
      <c r="W1073" s="149"/>
      <c r="X1073" s="149"/>
      <c r="Y1073" s="149"/>
      <c r="Z1073" s="149"/>
      <c r="AA1073" s="149"/>
      <c r="AB1073" s="149"/>
      <c r="AC1073" s="149"/>
      <c r="AD1073" s="149"/>
      <c r="AE1073" s="149"/>
      <c r="AF1073" s="149"/>
      <c r="AG1073" s="149"/>
      <c r="AH1073" s="149"/>
      <c r="AI1073" s="149"/>
      <c r="AJ1073" s="149"/>
      <c r="AK1073" s="149"/>
      <c r="AL1073" s="149"/>
      <c r="AM1073" s="149"/>
      <c r="AN1073" s="149"/>
      <c r="AO1073" s="149"/>
      <c r="AP1073" s="149"/>
    </row>
    <row r="1074" ht="18.75" customHeight="1">
      <c r="A1074" s="149"/>
      <c r="B1074" s="149"/>
      <c r="C1074" s="304"/>
      <c r="D1074" s="149"/>
      <c r="E1074" s="149"/>
      <c r="F1074" s="149"/>
      <c r="G1074" s="149"/>
      <c r="H1074" s="149"/>
      <c r="I1074" s="149"/>
      <c r="J1074" s="149"/>
      <c r="K1074" s="149"/>
      <c r="L1074" s="149"/>
      <c r="M1074" s="149"/>
      <c r="N1074" s="149"/>
      <c r="O1074" s="149"/>
      <c r="P1074" s="149"/>
      <c r="Q1074" s="149"/>
      <c r="R1074" s="149"/>
      <c r="S1074" s="149"/>
      <c r="T1074" s="149"/>
      <c r="U1074" s="149"/>
      <c r="V1074" s="149"/>
      <c r="W1074" s="149"/>
      <c r="X1074" s="149"/>
      <c r="Y1074" s="149"/>
      <c r="Z1074" s="149"/>
      <c r="AA1074" s="149"/>
      <c r="AB1074" s="149"/>
      <c r="AC1074" s="149"/>
      <c r="AD1074" s="149"/>
      <c r="AE1074" s="149"/>
      <c r="AF1074" s="149"/>
      <c r="AG1074" s="149"/>
      <c r="AH1074" s="149"/>
      <c r="AI1074" s="149"/>
      <c r="AJ1074" s="149"/>
      <c r="AK1074" s="149"/>
      <c r="AL1074" s="149"/>
      <c r="AM1074" s="149"/>
      <c r="AN1074" s="149"/>
      <c r="AO1074" s="149"/>
      <c r="AP1074" s="149"/>
    </row>
    <row r="1075" ht="18.75" customHeight="1">
      <c r="A1075" s="149"/>
      <c r="B1075" s="149"/>
      <c r="C1075" s="304"/>
      <c r="D1075" s="149"/>
      <c r="E1075" s="149"/>
      <c r="F1075" s="149"/>
      <c r="G1075" s="149"/>
      <c r="H1075" s="149"/>
      <c r="I1075" s="149"/>
      <c r="J1075" s="149"/>
      <c r="K1075" s="149"/>
      <c r="L1075" s="149"/>
      <c r="M1075" s="149"/>
      <c r="N1075" s="149"/>
      <c r="O1075" s="149"/>
      <c r="P1075" s="149"/>
      <c r="Q1075" s="149"/>
      <c r="R1075" s="149"/>
      <c r="S1075" s="149"/>
      <c r="T1075" s="149"/>
      <c r="U1075" s="149"/>
      <c r="V1075" s="149"/>
      <c r="W1075" s="149"/>
      <c r="X1075" s="149"/>
      <c r="Y1075" s="149"/>
      <c r="Z1075" s="149"/>
      <c r="AA1075" s="149"/>
      <c r="AB1075" s="149"/>
      <c r="AC1075" s="149"/>
      <c r="AD1075" s="149"/>
      <c r="AE1075" s="149"/>
      <c r="AF1075" s="149"/>
      <c r="AG1075" s="149"/>
      <c r="AH1075" s="149"/>
      <c r="AI1075" s="149"/>
      <c r="AJ1075" s="149"/>
      <c r="AK1075" s="149"/>
      <c r="AL1075" s="149"/>
      <c r="AM1075" s="149"/>
      <c r="AN1075" s="149"/>
      <c r="AO1075" s="149"/>
      <c r="AP1075" s="149"/>
    </row>
    <row r="1076" ht="18.75" customHeight="1">
      <c r="A1076" s="149"/>
      <c r="B1076" s="149"/>
      <c r="C1076" s="304"/>
      <c r="D1076" s="149"/>
      <c r="E1076" s="149"/>
      <c r="F1076" s="149"/>
      <c r="G1076" s="149"/>
      <c r="H1076" s="149"/>
      <c r="I1076" s="149"/>
      <c r="J1076" s="149"/>
      <c r="K1076" s="149"/>
      <c r="L1076" s="149"/>
      <c r="M1076" s="149"/>
      <c r="N1076" s="149"/>
      <c r="O1076" s="149"/>
      <c r="P1076" s="149"/>
      <c r="Q1076" s="149"/>
      <c r="R1076" s="149"/>
      <c r="S1076" s="149"/>
      <c r="T1076" s="149"/>
      <c r="U1076" s="149"/>
      <c r="V1076" s="149"/>
      <c r="W1076" s="149"/>
      <c r="X1076" s="149"/>
      <c r="Y1076" s="149"/>
      <c r="Z1076" s="149"/>
      <c r="AA1076" s="149"/>
      <c r="AB1076" s="149"/>
      <c r="AC1076" s="149"/>
      <c r="AD1076" s="149"/>
      <c r="AE1076" s="149"/>
      <c r="AF1076" s="149"/>
      <c r="AG1076" s="149"/>
      <c r="AH1076" s="149"/>
      <c r="AI1076" s="149"/>
      <c r="AJ1076" s="149"/>
      <c r="AK1076" s="149"/>
      <c r="AL1076" s="149"/>
      <c r="AM1076" s="149"/>
      <c r="AN1076" s="149"/>
      <c r="AO1076" s="149"/>
      <c r="AP1076" s="149"/>
    </row>
    <row r="1077" ht="18.75" customHeight="1">
      <c r="A1077" s="149"/>
      <c r="B1077" s="149"/>
      <c r="C1077" s="304"/>
      <c r="D1077" s="149"/>
      <c r="E1077" s="149"/>
      <c r="F1077" s="149"/>
      <c r="G1077" s="149"/>
      <c r="H1077" s="149"/>
      <c r="I1077" s="149"/>
      <c r="J1077" s="149"/>
      <c r="K1077" s="149"/>
      <c r="L1077" s="149"/>
      <c r="M1077" s="149"/>
      <c r="N1077" s="149"/>
      <c r="O1077" s="149"/>
      <c r="P1077" s="149"/>
      <c r="Q1077" s="149"/>
      <c r="R1077" s="149"/>
      <c r="S1077" s="149"/>
      <c r="T1077" s="149"/>
      <c r="U1077" s="149"/>
      <c r="V1077" s="149"/>
      <c r="W1077" s="149"/>
      <c r="X1077" s="149"/>
      <c r="Y1077" s="149"/>
      <c r="Z1077" s="149"/>
      <c r="AA1077" s="149"/>
      <c r="AB1077" s="149"/>
      <c r="AC1077" s="149"/>
      <c r="AD1077" s="149"/>
      <c r="AE1077" s="149"/>
      <c r="AF1077" s="149"/>
      <c r="AG1077" s="149"/>
      <c r="AH1077" s="149"/>
      <c r="AI1077" s="149"/>
      <c r="AJ1077" s="149"/>
      <c r="AK1077" s="149"/>
      <c r="AL1077" s="149"/>
      <c r="AM1077" s="149"/>
      <c r="AN1077" s="149"/>
      <c r="AO1077" s="149"/>
      <c r="AP1077" s="149"/>
    </row>
    <row r="1078" ht="18.75" customHeight="1">
      <c r="A1078" s="149"/>
      <c r="B1078" s="149"/>
      <c r="C1078" s="304"/>
      <c r="D1078" s="149"/>
      <c r="E1078" s="149"/>
      <c r="F1078" s="149"/>
      <c r="G1078" s="149"/>
      <c r="H1078" s="149"/>
      <c r="I1078" s="149"/>
      <c r="J1078" s="149"/>
      <c r="K1078" s="149"/>
      <c r="L1078" s="149"/>
      <c r="M1078" s="149"/>
      <c r="N1078" s="149"/>
      <c r="O1078" s="149"/>
      <c r="P1078" s="149"/>
      <c r="Q1078" s="149"/>
      <c r="R1078" s="149"/>
      <c r="S1078" s="149"/>
      <c r="T1078" s="149"/>
      <c r="U1078" s="149"/>
      <c r="V1078" s="149"/>
      <c r="W1078" s="149"/>
      <c r="X1078" s="149"/>
      <c r="Y1078" s="149"/>
      <c r="Z1078" s="149"/>
      <c r="AA1078" s="149"/>
      <c r="AB1078" s="149"/>
      <c r="AC1078" s="149"/>
      <c r="AD1078" s="149"/>
      <c r="AE1078" s="149"/>
      <c r="AF1078" s="149"/>
      <c r="AG1078" s="149"/>
      <c r="AH1078" s="149"/>
      <c r="AI1078" s="149"/>
      <c r="AJ1078" s="149"/>
      <c r="AK1078" s="149"/>
      <c r="AL1078" s="149"/>
      <c r="AM1078" s="149"/>
      <c r="AN1078" s="149"/>
      <c r="AO1078" s="149"/>
      <c r="AP1078" s="149"/>
    </row>
    <row r="1079" ht="18.75" customHeight="1">
      <c r="A1079" s="149"/>
      <c r="B1079" s="149"/>
      <c r="C1079" s="304"/>
      <c r="D1079" s="149"/>
      <c r="E1079" s="149"/>
      <c r="F1079" s="149"/>
      <c r="G1079" s="149"/>
      <c r="H1079" s="149"/>
      <c r="I1079" s="149"/>
      <c r="J1079" s="149"/>
      <c r="K1079" s="149"/>
      <c r="L1079" s="149"/>
      <c r="M1079" s="149"/>
      <c r="N1079" s="149"/>
      <c r="O1079" s="149"/>
      <c r="P1079" s="149"/>
      <c r="Q1079" s="149"/>
      <c r="R1079" s="149"/>
      <c r="S1079" s="149"/>
      <c r="T1079" s="149"/>
      <c r="U1079" s="149"/>
      <c r="V1079" s="149"/>
      <c r="W1079" s="149"/>
      <c r="X1079" s="149"/>
      <c r="Y1079" s="149"/>
      <c r="Z1079" s="149"/>
      <c r="AA1079" s="149"/>
      <c r="AB1079" s="149"/>
      <c r="AC1079" s="149"/>
      <c r="AD1079" s="149"/>
      <c r="AE1079" s="149"/>
      <c r="AF1079" s="149"/>
      <c r="AG1079" s="149"/>
      <c r="AH1079" s="149"/>
      <c r="AI1079" s="149"/>
      <c r="AJ1079" s="149"/>
      <c r="AK1079" s="149"/>
      <c r="AL1079" s="149"/>
      <c r="AM1079" s="149"/>
      <c r="AN1079" s="149"/>
      <c r="AO1079" s="149"/>
      <c r="AP1079" s="149"/>
    </row>
    <row r="1080" ht="18.75" customHeight="1">
      <c r="A1080" s="149"/>
      <c r="B1080" s="149"/>
      <c r="C1080" s="304"/>
      <c r="D1080" s="149"/>
      <c r="E1080" s="149"/>
      <c r="F1080" s="149"/>
      <c r="G1080" s="149"/>
      <c r="H1080" s="149"/>
      <c r="I1080" s="149"/>
      <c r="J1080" s="149"/>
      <c r="K1080" s="149"/>
      <c r="L1080" s="149"/>
      <c r="M1080" s="149"/>
      <c r="N1080" s="149"/>
      <c r="O1080" s="149"/>
      <c r="P1080" s="149"/>
      <c r="Q1080" s="149"/>
      <c r="R1080" s="149"/>
      <c r="S1080" s="149"/>
      <c r="T1080" s="149"/>
      <c r="U1080" s="149"/>
      <c r="V1080" s="149"/>
      <c r="W1080" s="149"/>
      <c r="X1080" s="149"/>
      <c r="Y1080" s="149"/>
      <c r="Z1080" s="149"/>
      <c r="AA1080" s="149"/>
      <c r="AB1080" s="149"/>
      <c r="AC1080" s="149"/>
      <c r="AD1080" s="149"/>
      <c r="AE1080" s="149"/>
      <c r="AF1080" s="149"/>
      <c r="AG1080" s="149"/>
      <c r="AH1080" s="149"/>
      <c r="AI1080" s="149"/>
      <c r="AJ1080" s="149"/>
      <c r="AK1080" s="149"/>
      <c r="AL1080" s="149"/>
      <c r="AM1080" s="149"/>
      <c r="AN1080" s="149"/>
      <c r="AO1080" s="149"/>
      <c r="AP1080" s="149"/>
    </row>
    <row r="1081" ht="18.75" customHeight="1">
      <c r="A1081" s="149"/>
      <c r="B1081" s="149"/>
      <c r="C1081" s="304"/>
      <c r="D1081" s="149"/>
      <c r="E1081" s="149"/>
      <c r="F1081" s="149"/>
      <c r="G1081" s="149"/>
      <c r="H1081" s="149"/>
      <c r="I1081" s="149"/>
      <c r="J1081" s="149"/>
      <c r="K1081" s="149"/>
      <c r="L1081" s="149"/>
      <c r="M1081" s="149"/>
      <c r="N1081" s="149"/>
      <c r="O1081" s="149"/>
      <c r="P1081" s="149"/>
      <c r="Q1081" s="149"/>
      <c r="R1081" s="149"/>
      <c r="S1081" s="149"/>
      <c r="T1081" s="149"/>
      <c r="U1081" s="149"/>
      <c r="V1081" s="149"/>
      <c r="W1081" s="149"/>
      <c r="X1081" s="149"/>
      <c r="Y1081" s="149"/>
      <c r="Z1081" s="149"/>
      <c r="AA1081" s="149"/>
      <c r="AB1081" s="149"/>
      <c r="AC1081" s="149"/>
      <c r="AD1081" s="149"/>
      <c r="AE1081" s="149"/>
      <c r="AF1081" s="149"/>
      <c r="AG1081" s="149"/>
      <c r="AH1081" s="149"/>
      <c r="AI1081" s="149"/>
      <c r="AJ1081" s="149"/>
      <c r="AK1081" s="149"/>
      <c r="AL1081" s="149"/>
      <c r="AM1081" s="149"/>
      <c r="AN1081" s="149"/>
      <c r="AO1081" s="149"/>
      <c r="AP1081" s="149"/>
    </row>
    <row r="1082" ht="18.75" customHeight="1">
      <c r="A1082" s="149"/>
      <c r="B1082" s="149"/>
      <c r="C1082" s="304"/>
      <c r="D1082" s="149"/>
      <c r="E1082" s="149"/>
      <c r="F1082" s="149"/>
      <c r="G1082" s="149"/>
      <c r="H1082" s="149"/>
      <c r="I1082" s="149"/>
      <c r="J1082" s="149"/>
      <c r="K1082" s="149"/>
      <c r="L1082" s="149"/>
      <c r="M1082" s="149"/>
      <c r="N1082" s="149"/>
      <c r="O1082" s="149"/>
      <c r="P1082" s="149"/>
      <c r="Q1082" s="149"/>
      <c r="R1082" s="149"/>
      <c r="S1082" s="149"/>
      <c r="T1082" s="149"/>
      <c r="U1082" s="149"/>
      <c r="V1082" s="149"/>
      <c r="W1082" s="149"/>
      <c r="X1082" s="149"/>
      <c r="Y1082" s="149"/>
      <c r="Z1082" s="149"/>
      <c r="AA1082" s="149"/>
      <c r="AB1082" s="149"/>
      <c r="AC1082" s="149"/>
      <c r="AD1082" s="149"/>
      <c r="AE1082" s="149"/>
      <c r="AF1082" s="149"/>
      <c r="AG1082" s="149"/>
      <c r="AH1082" s="149"/>
      <c r="AI1082" s="149"/>
      <c r="AJ1082" s="149"/>
      <c r="AK1082" s="149"/>
      <c r="AL1082" s="149"/>
      <c r="AM1082" s="149"/>
      <c r="AN1082" s="149"/>
      <c r="AO1082" s="149"/>
      <c r="AP1082" s="149"/>
    </row>
    <row r="1083" ht="18.75" customHeight="1">
      <c r="A1083" s="149"/>
      <c r="B1083" s="149"/>
      <c r="C1083" s="304"/>
      <c r="D1083" s="149"/>
      <c r="E1083" s="149"/>
      <c r="F1083" s="149"/>
      <c r="G1083" s="149"/>
      <c r="H1083" s="149"/>
      <c r="I1083" s="149"/>
      <c r="J1083" s="149"/>
      <c r="K1083" s="149"/>
      <c r="L1083" s="149"/>
      <c r="M1083" s="149"/>
      <c r="N1083" s="149"/>
      <c r="O1083" s="149"/>
      <c r="P1083" s="149"/>
      <c r="Q1083" s="149"/>
      <c r="R1083" s="149"/>
      <c r="S1083" s="149"/>
      <c r="T1083" s="149"/>
      <c r="U1083" s="149"/>
      <c r="V1083" s="149"/>
      <c r="W1083" s="149"/>
      <c r="X1083" s="149"/>
      <c r="Y1083" s="149"/>
      <c r="Z1083" s="149"/>
      <c r="AA1083" s="149"/>
      <c r="AB1083" s="149"/>
      <c r="AC1083" s="149"/>
      <c r="AD1083" s="149"/>
      <c r="AE1083" s="149"/>
      <c r="AF1083" s="149"/>
      <c r="AG1083" s="149"/>
      <c r="AH1083" s="149"/>
      <c r="AI1083" s="149"/>
      <c r="AJ1083" s="149"/>
      <c r="AK1083" s="149"/>
      <c r="AL1083" s="149"/>
      <c r="AM1083" s="149"/>
      <c r="AN1083" s="149"/>
      <c r="AO1083" s="149"/>
      <c r="AP1083" s="149"/>
    </row>
    <row r="1084" ht="18.75" customHeight="1">
      <c r="A1084" s="149"/>
      <c r="B1084" s="149"/>
      <c r="C1084" s="304"/>
      <c r="D1084" s="149"/>
      <c r="E1084" s="149"/>
      <c r="F1084" s="149"/>
      <c r="G1084" s="149"/>
      <c r="H1084" s="149"/>
      <c r="I1084" s="149"/>
      <c r="J1084" s="149"/>
      <c r="K1084" s="149"/>
      <c r="L1084" s="149"/>
      <c r="M1084" s="149"/>
      <c r="N1084" s="149"/>
      <c r="O1084" s="149"/>
      <c r="P1084" s="149"/>
      <c r="Q1084" s="149"/>
      <c r="R1084" s="149"/>
      <c r="S1084" s="149"/>
      <c r="T1084" s="149"/>
      <c r="U1084" s="149"/>
      <c r="V1084" s="149"/>
      <c r="W1084" s="149"/>
      <c r="X1084" s="149"/>
      <c r="Y1084" s="149"/>
      <c r="Z1084" s="149"/>
      <c r="AA1084" s="149"/>
      <c r="AB1084" s="149"/>
      <c r="AC1084" s="149"/>
      <c r="AD1084" s="149"/>
      <c r="AE1084" s="149"/>
      <c r="AF1084" s="149"/>
      <c r="AG1084" s="149"/>
      <c r="AH1084" s="149"/>
      <c r="AI1084" s="149"/>
      <c r="AJ1084" s="149"/>
      <c r="AK1084" s="149"/>
      <c r="AL1084" s="149"/>
      <c r="AM1084" s="149"/>
      <c r="AN1084" s="149"/>
      <c r="AO1084" s="149"/>
      <c r="AP1084" s="149"/>
    </row>
    <row r="1085" ht="18.75" customHeight="1">
      <c r="A1085" s="149"/>
      <c r="B1085" s="149"/>
      <c r="C1085" s="304"/>
      <c r="D1085" s="149"/>
      <c r="E1085" s="149"/>
      <c r="F1085" s="149"/>
      <c r="G1085" s="149"/>
      <c r="H1085" s="149"/>
      <c r="I1085" s="149"/>
      <c r="J1085" s="149"/>
      <c r="K1085" s="149"/>
      <c r="L1085" s="149"/>
      <c r="M1085" s="149"/>
      <c r="N1085" s="149"/>
      <c r="O1085" s="149"/>
      <c r="P1085" s="149"/>
      <c r="Q1085" s="149"/>
      <c r="R1085" s="149"/>
      <c r="S1085" s="149"/>
      <c r="T1085" s="149"/>
      <c r="U1085" s="149"/>
      <c r="V1085" s="149"/>
      <c r="W1085" s="149"/>
      <c r="X1085" s="149"/>
      <c r="Y1085" s="149"/>
      <c r="Z1085" s="149"/>
      <c r="AA1085" s="149"/>
      <c r="AB1085" s="149"/>
      <c r="AC1085" s="149"/>
      <c r="AD1085" s="149"/>
      <c r="AE1085" s="149"/>
      <c r="AF1085" s="149"/>
      <c r="AG1085" s="149"/>
      <c r="AH1085" s="149"/>
      <c r="AI1085" s="149"/>
      <c r="AJ1085" s="149"/>
      <c r="AK1085" s="149"/>
      <c r="AL1085" s="149"/>
      <c r="AM1085" s="149"/>
      <c r="AN1085" s="149"/>
      <c r="AO1085" s="149"/>
      <c r="AP1085" s="149"/>
    </row>
    <row r="1086" ht="18.75" customHeight="1">
      <c r="A1086" s="149"/>
      <c r="B1086" s="149"/>
      <c r="C1086" s="304"/>
      <c r="D1086" s="149"/>
      <c r="E1086" s="149"/>
      <c r="F1086" s="149"/>
      <c r="G1086" s="149"/>
      <c r="H1086" s="149"/>
      <c r="I1086" s="149"/>
      <c r="J1086" s="149"/>
      <c r="K1086" s="149"/>
      <c r="L1086" s="149"/>
      <c r="M1086" s="149"/>
      <c r="N1086" s="149"/>
      <c r="O1086" s="149"/>
      <c r="P1086" s="149"/>
      <c r="Q1086" s="149"/>
      <c r="R1086" s="149"/>
      <c r="S1086" s="149"/>
      <c r="T1086" s="149"/>
      <c r="U1086" s="149"/>
      <c r="V1086" s="149"/>
      <c r="W1086" s="149"/>
      <c r="X1086" s="149"/>
      <c r="Y1086" s="149"/>
      <c r="Z1086" s="149"/>
      <c r="AA1086" s="149"/>
      <c r="AB1086" s="149"/>
      <c r="AC1086" s="149"/>
      <c r="AD1086" s="149"/>
      <c r="AE1086" s="149"/>
      <c r="AF1086" s="149"/>
      <c r="AG1086" s="149"/>
      <c r="AH1086" s="149"/>
      <c r="AI1086" s="149"/>
      <c r="AJ1086" s="149"/>
      <c r="AK1086" s="149"/>
      <c r="AL1086" s="149"/>
      <c r="AM1086" s="149"/>
      <c r="AN1086" s="149"/>
      <c r="AO1086" s="149"/>
      <c r="AP1086" s="149"/>
    </row>
    <row r="1087" ht="18.75" customHeight="1">
      <c r="A1087" s="149"/>
      <c r="B1087" s="149"/>
      <c r="C1087" s="304"/>
      <c r="D1087" s="149"/>
      <c r="E1087" s="149"/>
      <c r="F1087" s="149"/>
      <c r="G1087" s="149"/>
      <c r="H1087" s="149"/>
      <c r="I1087" s="149"/>
      <c r="J1087" s="149"/>
      <c r="K1087" s="149"/>
      <c r="L1087" s="149"/>
      <c r="M1087" s="149"/>
      <c r="N1087" s="149"/>
      <c r="O1087" s="149"/>
      <c r="P1087" s="149"/>
      <c r="Q1087" s="149"/>
      <c r="R1087" s="149"/>
      <c r="S1087" s="149"/>
      <c r="T1087" s="149"/>
      <c r="U1087" s="149"/>
      <c r="V1087" s="149"/>
      <c r="W1087" s="149"/>
      <c r="X1087" s="149"/>
      <c r="Y1087" s="149"/>
      <c r="Z1087" s="149"/>
      <c r="AA1087" s="149"/>
      <c r="AB1087" s="149"/>
      <c r="AC1087" s="149"/>
      <c r="AD1087" s="149"/>
      <c r="AE1087" s="149"/>
      <c r="AF1087" s="149"/>
      <c r="AG1087" s="149"/>
      <c r="AH1087" s="149"/>
      <c r="AI1087" s="149"/>
      <c r="AJ1087" s="149"/>
      <c r="AK1087" s="149"/>
      <c r="AL1087" s="149"/>
      <c r="AM1087" s="149"/>
      <c r="AN1087" s="149"/>
      <c r="AO1087" s="149"/>
      <c r="AP1087" s="149"/>
    </row>
    <row r="1088" ht="18.75" customHeight="1">
      <c r="A1088" s="149"/>
      <c r="B1088" s="149"/>
      <c r="C1088" s="304"/>
      <c r="D1088" s="149"/>
      <c r="E1088" s="149"/>
      <c r="F1088" s="149"/>
      <c r="G1088" s="149"/>
      <c r="H1088" s="149"/>
      <c r="I1088" s="149"/>
      <c r="J1088" s="149"/>
      <c r="K1088" s="149"/>
      <c r="L1088" s="149"/>
      <c r="M1088" s="149"/>
      <c r="N1088" s="149"/>
      <c r="O1088" s="149"/>
      <c r="P1088" s="149"/>
      <c r="Q1088" s="149"/>
      <c r="R1088" s="149"/>
      <c r="S1088" s="149"/>
      <c r="T1088" s="149"/>
      <c r="U1088" s="149"/>
      <c r="V1088" s="149"/>
      <c r="W1088" s="149"/>
      <c r="X1088" s="149"/>
      <c r="Y1088" s="149"/>
      <c r="Z1088" s="149"/>
      <c r="AA1088" s="149"/>
      <c r="AB1088" s="149"/>
      <c r="AC1088" s="149"/>
      <c r="AD1088" s="149"/>
      <c r="AE1088" s="149"/>
      <c r="AF1088" s="149"/>
      <c r="AG1088" s="149"/>
      <c r="AH1088" s="149"/>
      <c r="AI1088" s="149"/>
      <c r="AJ1088" s="149"/>
      <c r="AK1088" s="149"/>
      <c r="AL1088" s="149"/>
      <c r="AM1088" s="149"/>
      <c r="AN1088" s="149"/>
      <c r="AO1088" s="149"/>
      <c r="AP1088" s="149"/>
    </row>
    <row r="1089" ht="18.75" customHeight="1">
      <c r="A1089" s="149"/>
      <c r="B1089" s="149"/>
      <c r="C1089" s="304"/>
      <c r="D1089" s="149"/>
      <c r="E1089" s="149"/>
      <c r="F1089" s="149"/>
      <c r="G1089" s="149"/>
      <c r="H1089" s="149"/>
      <c r="I1089" s="149"/>
      <c r="J1089" s="149"/>
      <c r="K1089" s="149"/>
      <c r="L1089" s="149"/>
      <c r="M1089" s="149"/>
      <c r="N1089" s="149"/>
      <c r="O1089" s="149"/>
      <c r="P1089" s="149"/>
      <c r="Q1089" s="149"/>
      <c r="R1089" s="149"/>
      <c r="S1089" s="149"/>
      <c r="T1089" s="149"/>
      <c r="U1089" s="149"/>
      <c r="V1089" s="149"/>
      <c r="W1089" s="149"/>
      <c r="X1089" s="149"/>
      <c r="Y1089" s="149"/>
      <c r="Z1089" s="149"/>
      <c r="AA1089" s="149"/>
      <c r="AB1089" s="149"/>
      <c r="AC1089" s="149"/>
      <c r="AD1089" s="149"/>
      <c r="AE1089" s="149"/>
      <c r="AF1089" s="149"/>
      <c r="AG1089" s="149"/>
      <c r="AH1089" s="149"/>
      <c r="AI1089" s="149"/>
      <c r="AJ1089" s="149"/>
      <c r="AK1089" s="149"/>
      <c r="AL1089" s="149"/>
      <c r="AM1089" s="149"/>
      <c r="AN1089" s="149"/>
      <c r="AO1089" s="149"/>
      <c r="AP1089" s="149"/>
    </row>
    <row r="1090" ht="18.75" customHeight="1">
      <c r="A1090" s="149"/>
      <c r="B1090" s="149"/>
      <c r="C1090" s="304"/>
      <c r="D1090" s="149"/>
      <c r="E1090" s="149"/>
      <c r="F1090" s="149"/>
      <c r="G1090" s="149"/>
      <c r="H1090" s="149"/>
      <c r="I1090" s="149"/>
      <c r="J1090" s="149"/>
      <c r="K1090" s="149"/>
      <c r="L1090" s="149"/>
      <c r="M1090" s="149"/>
      <c r="N1090" s="149"/>
      <c r="O1090" s="149"/>
      <c r="P1090" s="149"/>
      <c r="Q1090" s="149"/>
      <c r="R1090" s="149"/>
      <c r="S1090" s="149"/>
      <c r="T1090" s="149"/>
      <c r="U1090" s="149"/>
      <c r="V1090" s="149"/>
      <c r="W1090" s="149"/>
      <c r="X1090" s="149"/>
      <c r="Y1090" s="149"/>
      <c r="Z1090" s="149"/>
      <c r="AA1090" s="149"/>
      <c r="AB1090" s="149"/>
      <c r="AC1090" s="149"/>
      <c r="AD1090" s="149"/>
      <c r="AE1090" s="149"/>
      <c r="AF1090" s="149"/>
      <c r="AG1090" s="149"/>
      <c r="AH1090" s="149"/>
      <c r="AI1090" s="149"/>
      <c r="AJ1090" s="149"/>
      <c r="AK1090" s="149"/>
      <c r="AL1090" s="149"/>
      <c r="AM1090" s="149"/>
      <c r="AN1090" s="149"/>
      <c r="AO1090" s="149"/>
      <c r="AP1090" s="149"/>
    </row>
    <row r="1091" ht="18.75" customHeight="1">
      <c r="A1091" s="149"/>
      <c r="B1091" s="149"/>
      <c r="C1091" s="304"/>
      <c r="D1091" s="149"/>
      <c r="E1091" s="149"/>
      <c r="F1091" s="149"/>
      <c r="G1091" s="149"/>
      <c r="H1091" s="149"/>
      <c r="I1091" s="149"/>
      <c r="J1091" s="149"/>
      <c r="K1091" s="149"/>
      <c r="L1091" s="149"/>
      <c r="M1091" s="149"/>
      <c r="N1091" s="149"/>
      <c r="O1091" s="149"/>
      <c r="P1091" s="149"/>
      <c r="Q1091" s="149"/>
      <c r="R1091" s="149"/>
      <c r="S1091" s="149"/>
      <c r="T1091" s="149"/>
      <c r="U1091" s="149"/>
      <c r="V1091" s="149"/>
      <c r="W1091" s="149"/>
      <c r="X1091" s="149"/>
      <c r="Y1091" s="149"/>
      <c r="Z1091" s="149"/>
      <c r="AA1091" s="149"/>
      <c r="AB1091" s="149"/>
      <c r="AC1091" s="149"/>
      <c r="AD1091" s="149"/>
      <c r="AE1091" s="149"/>
      <c r="AF1091" s="149"/>
      <c r="AG1091" s="149"/>
      <c r="AH1091" s="149"/>
      <c r="AI1091" s="149"/>
      <c r="AJ1091" s="149"/>
      <c r="AK1091" s="149"/>
      <c r="AL1091" s="149"/>
      <c r="AM1091" s="149"/>
      <c r="AN1091" s="149"/>
      <c r="AO1091" s="149"/>
      <c r="AP1091" s="149"/>
    </row>
    <row r="1092" ht="18.75" customHeight="1">
      <c r="A1092" s="149"/>
      <c r="B1092" s="149"/>
      <c r="C1092" s="304"/>
      <c r="D1092" s="149"/>
      <c r="E1092" s="149"/>
      <c r="F1092" s="149"/>
      <c r="G1092" s="149"/>
      <c r="H1092" s="149"/>
      <c r="I1092" s="149"/>
      <c r="J1092" s="149"/>
      <c r="K1092" s="149"/>
      <c r="L1092" s="149"/>
      <c r="M1092" s="149"/>
      <c r="N1092" s="149"/>
      <c r="O1092" s="149"/>
      <c r="P1092" s="149"/>
      <c r="Q1092" s="149"/>
      <c r="R1092" s="149"/>
      <c r="S1092" s="149"/>
      <c r="T1092" s="149"/>
      <c r="U1092" s="149"/>
      <c r="V1092" s="149"/>
      <c r="W1092" s="149"/>
      <c r="X1092" s="149"/>
      <c r="Y1092" s="149"/>
      <c r="Z1092" s="149"/>
      <c r="AA1092" s="149"/>
      <c r="AB1092" s="149"/>
      <c r="AC1092" s="149"/>
      <c r="AD1092" s="149"/>
      <c r="AE1092" s="149"/>
      <c r="AF1092" s="149"/>
      <c r="AG1092" s="149"/>
      <c r="AH1092" s="149"/>
      <c r="AI1092" s="149"/>
      <c r="AJ1092" s="149"/>
      <c r="AK1092" s="149"/>
      <c r="AL1092" s="149"/>
      <c r="AM1092" s="149"/>
      <c r="AN1092" s="149"/>
      <c r="AO1092" s="149"/>
      <c r="AP1092" s="149"/>
    </row>
    <row r="1093" ht="18.75" customHeight="1">
      <c r="A1093" s="149"/>
      <c r="B1093" s="149"/>
      <c r="C1093" s="304"/>
      <c r="D1093" s="149"/>
      <c r="E1093" s="149"/>
      <c r="F1093" s="149"/>
      <c r="G1093" s="149"/>
      <c r="H1093" s="149"/>
      <c r="I1093" s="149"/>
      <c r="J1093" s="149"/>
      <c r="K1093" s="149"/>
      <c r="L1093" s="149"/>
      <c r="M1093" s="149"/>
      <c r="N1093" s="149"/>
      <c r="O1093" s="149"/>
      <c r="P1093" s="149"/>
      <c r="Q1093" s="149"/>
      <c r="R1093" s="149"/>
      <c r="S1093" s="149"/>
      <c r="T1093" s="149"/>
      <c r="U1093" s="149"/>
      <c r="V1093" s="149"/>
      <c r="W1093" s="149"/>
      <c r="X1093" s="149"/>
      <c r="Y1093" s="149"/>
      <c r="Z1093" s="149"/>
      <c r="AA1093" s="149"/>
      <c r="AB1093" s="149"/>
      <c r="AC1093" s="149"/>
      <c r="AD1093" s="149"/>
      <c r="AE1093" s="149"/>
      <c r="AF1093" s="149"/>
      <c r="AG1093" s="149"/>
      <c r="AH1093" s="149"/>
      <c r="AI1093" s="149"/>
      <c r="AJ1093" s="149"/>
      <c r="AK1093" s="149"/>
      <c r="AL1093" s="149"/>
      <c r="AM1093" s="149"/>
      <c r="AN1093" s="149"/>
      <c r="AO1093" s="149"/>
      <c r="AP1093" s="149"/>
    </row>
    <row r="1094" ht="18.75" customHeight="1">
      <c r="A1094" s="149"/>
      <c r="B1094" s="149"/>
      <c r="C1094" s="304"/>
      <c r="D1094" s="149"/>
      <c r="E1094" s="149"/>
      <c r="F1094" s="149"/>
      <c r="G1094" s="149"/>
      <c r="H1094" s="149"/>
      <c r="I1094" s="149"/>
      <c r="J1094" s="149"/>
      <c r="K1094" s="149"/>
      <c r="L1094" s="149"/>
      <c r="M1094" s="149"/>
      <c r="N1094" s="149"/>
      <c r="O1094" s="149"/>
      <c r="P1094" s="149"/>
      <c r="Q1094" s="149"/>
      <c r="R1094" s="149"/>
      <c r="S1094" s="149"/>
      <c r="T1094" s="149"/>
      <c r="U1094" s="149"/>
      <c r="V1094" s="149"/>
      <c r="W1094" s="149"/>
      <c r="X1094" s="149"/>
      <c r="Y1094" s="149"/>
      <c r="Z1094" s="149"/>
      <c r="AA1094" s="149"/>
      <c r="AB1094" s="149"/>
      <c r="AC1094" s="149"/>
      <c r="AD1094" s="149"/>
      <c r="AE1094" s="149"/>
      <c r="AF1094" s="149"/>
      <c r="AG1094" s="149"/>
      <c r="AH1094" s="149"/>
      <c r="AI1094" s="149"/>
      <c r="AJ1094" s="149"/>
      <c r="AK1094" s="149"/>
      <c r="AL1094" s="149"/>
      <c r="AM1094" s="149"/>
      <c r="AN1094" s="149"/>
      <c r="AO1094" s="149"/>
      <c r="AP1094" s="149"/>
    </row>
    <row r="1095" ht="18.75" customHeight="1">
      <c r="A1095" s="149"/>
      <c r="B1095" s="149"/>
      <c r="C1095" s="304"/>
      <c r="D1095" s="149"/>
      <c r="E1095" s="149"/>
      <c r="F1095" s="149"/>
      <c r="G1095" s="149"/>
      <c r="H1095" s="149"/>
      <c r="I1095" s="149"/>
      <c r="J1095" s="149"/>
      <c r="K1095" s="149"/>
      <c r="L1095" s="149"/>
      <c r="M1095" s="149"/>
      <c r="N1095" s="149"/>
      <c r="O1095" s="149"/>
      <c r="P1095" s="149"/>
      <c r="Q1095" s="149"/>
      <c r="R1095" s="149"/>
      <c r="S1095" s="149"/>
      <c r="T1095" s="149"/>
      <c r="U1095" s="149"/>
      <c r="V1095" s="149"/>
      <c r="W1095" s="149"/>
      <c r="X1095" s="149"/>
      <c r="Y1095" s="149"/>
      <c r="Z1095" s="149"/>
      <c r="AA1095" s="149"/>
      <c r="AB1095" s="149"/>
      <c r="AC1095" s="149"/>
      <c r="AD1095" s="149"/>
      <c r="AE1095" s="149"/>
      <c r="AF1095" s="149"/>
      <c r="AG1095" s="149"/>
      <c r="AH1095" s="149"/>
      <c r="AI1095" s="149"/>
      <c r="AJ1095" s="149"/>
      <c r="AK1095" s="149"/>
      <c r="AL1095" s="149"/>
      <c r="AM1095" s="149"/>
      <c r="AN1095" s="149"/>
      <c r="AO1095" s="149"/>
      <c r="AP1095" s="149"/>
    </row>
    <row r="1096" ht="18.75" customHeight="1">
      <c r="A1096" s="149"/>
      <c r="B1096" s="149"/>
      <c r="C1096" s="304"/>
      <c r="D1096" s="149"/>
      <c r="E1096" s="149"/>
      <c r="F1096" s="149"/>
      <c r="G1096" s="149"/>
      <c r="H1096" s="149"/>
      <c r="I1096" s="149"/>
      <c r="J1096" s="149"/>
      <c r="K1096" s="149"/>
      <c r="L1096" s="149"/>
      <c r="M1096" s="149"/>
      <c r="N1096" s="149"/>
      <c r="O1096" s="149"/>
      <c r="P1096" s="149"/>
      <c r="Q1096" s="149"/>
      <c r="R1096" s="149"/>
      <c r="S1096" s="149"/>
      <c r="T1096" s="149"/>
      <c r="U1096" s="149"/>
      <c r="V1096" s="149"/>
      <c r="W1096" s="149"/>
      <c r="X1096" s="149"/>
      <c r="Y1096" s="149"/>
      <c r="Z1096" s="149"/>
      <c r="AA1096" s="149"/>
      <c r="AB1096" s="149"/>
      <c r="AC1096" s="149"/>
      <c r="AD1096" s="149"/>
      <c r="AE1096" s="149"/>
      <c r="AF1096" s="149"/>
      <c r="AG1096" s="149"/>
      <c r="AH1096" s="149"/>
      <c r="AI1096" s="149"/>
      <c r="AJ1096" s="149"/>
      <c r="AK1096" s="149"/>
      <c r="AL1096" s="149"/>
      <c r="AM1096" s="149"/>
      <c r="AN1096" s="149"/>
      <c r="AO1096" s="149"/>
      <c r="AP1096" s="149"/>
    </row>
    <row r="1097" ht="18.75" customHeight="1">
      <c r="A1097" s="149"/>
      <c r="B1097" s="149"/>
      <c r="C1097" s="304"/>
      <c r="D1097" s="149"/>
      <c r="E1097" s="149"/>
      <c r="F1097" s="149"/>
      <c r="G1097" s="149"/>
      <c r="H1097" s="149"/>
      <c r="I1097" s="149"/>
      <c r="J1097" s="149"/>
      <c r="K1097" s="149"/>
      <c r="L1097" s="149"/>
      <c r="M1097" s="149"/>
      <c r="N1097" s="149"/>
      <c r="O1097" s="149"/>
      <c r="P1097" s="149"/>
      <c r="Q1097" s="149"/>
      <c r="R1097" s="149"/>
      <c r="S1097" s="149"/>
      <c r="T1097" s="149"/>
      <c r="U1097" s="149"/>
      <c r="V1097" s="149"/>
      <c r="W1097" s="149"/>
      <c r="X1097" s="149"/>
      <c r="Y1097" s="149"/>
      <c r="Z1097" s="149"/>
      <c r="AA1097" s="149"/>
      <c r="AB1097" s="149"/>
      <c r="AC1097" s="149"/>
      <c r="AD1097" s="149"/>
      <c r="AE1097" s="149"/>
      <c r="AF1097" s="149"/>
      <c r="AG1097" s="149"/>
      <c r="AH1097" s="149"/>
      <c r="AI1097" s="149"/>
      <c r="AJ1097" s="149"/>
      <c r="AK1097" s="149"/>
      <c r="AL1097" s="149"/>
      <c r="AM1097" s="149"/>
      <c r="AN1097" s="149"/>
      <c r="AO1097" s="149"/>
      <c r="AP1097" s="149"/>
    </row>
    <row r="1098" ht="18.75" customHeight="1">
      <c r="A1098" s="149"/>
      <c r="B1098" s="149"/>
      <c r="C1098" s="304"/>
      <c r="D1098" s="149"/>
      <c r="E1098" s="149"/>
      <c r="F1098" s="149"/>
      <c r="G1098" s="149"/>
      <c r="H1098" s="149"/>
      <c r="I1098" s="149"/>
      <c r="J1098" s="149"/>
      <c r="K1098" s="149"/>
      <c r="L1098" s="149"/>
      <c r="M1098" s="149"/>
      <c r="N1098" s="149"/>
      <c r="O1098" s="149"/>
      <c r="P1098" s="149"/>
      <c r="Q1098" s="149"/>
      <c r="R1098" s="149"/>
      <c r="S1098" s="149"/>
      <c r="T1098" s="149"/>
      <c r="U1098" s="149"/>
      <c r="V1098" s="149"/>
      <c r="W1098" s="149"/>
      <c r="X1098" s="149"/>
      <c r="Y1098" s="149"/>
      <c r="Z1098" s="149"/>
      <c r="AA1098" s="149"/>
      <c r="AB1098" s="149"/>
      <c r="AC1098" s="149"/>
      <c r="AD1098" s="149"/>
      <c r="AE1098" s="149"/>
      <c r="AF1098" s="149"/>
      <c r="AG1098" s="149"/>
      <c r="AH1098" s="149"/>
      <c r="AI1098" s="149"/>
      <c r="AJ1098" s="149"/>
      <c r="AK1098" s="149"/>
      <c r="AL1098" s="149"/>
      <c r="AM1098" s="149"/>
      <c r="AN1098" s="149"/>
      <c r="AO1098" s="149"/>
      <c r="AP1098" s="149"/>
    </row>
    <row r="1099" ht="18.75" customHeight="1">
      <c r="A1099" s="149"/>
      <c r="B1099" s="149"/>
      <c r="C1099" s="304"/>
      <c r="D1099" s="149"/>
      <c r="E1099" s="149"/>
      <c r="F1099" s="149"/>
      <c r="G1099" s="149"/>
      <c r="H1099" s="149"/>
      <c r="I1099" s="149"/>
      <c r="J1099" s="149"/>
      <c r="K1099" s="149"/>
      <c r="L1099" s="149"/>
      <c r="M1099" s="149"/>
      <c r="N1099" s="149"/>
      <c r="O1099" s="149"/>
      <c r="P1099" s="149"/>
      <c r="Q1099" s="149"/>
      <c r="R1099" s="149"/>
      <c r="S1099" s="149"/>
      <c r="T1099" s="149"/>
      <c r="U1099" s="149"/>
      <c r="V1099" s="149"/>
      <c r="W1099" s="149"/>
      <c r="X1099" s="149"/>
      <c r="Y1099" s="149"/>
      <c r="Z1099" s="149"/>
      <c r="AA1099" s="149"/>
      <c r="AB1099" s="149"/>
      <c r="AC1099" s="149"/>
      <c r="AD1099" s="149"/>
      <c r="AE1099" s="149"/>
      <c r="AF1099" s="149"/>
      <c r="AG1099" s="149"/>
      <c r="AH1099" s="149"/>
      <c r="AI1099" s="149"/>
      <c r="AJ1099" s="149"/>
      <c r="AK1099" s="149"/>
      <c r="AL1099" s="149"/>
      <c r="AM1099" s="149"/>
      <c r="AN1099" s="149"/>
      <c r="AO1099" s="149"/>
      <c r="AP1099" s="149"/>
    </row>
    <row r="1100" ht="18.75" customHeight="1">
      <c r="A1100" s="149"/>
      <c r="B1100" s="149"/>
      <c r="C1100" s="304"/>
      <c r="D1100" s="149"/>
      <c r="E1100" s="149"/>
      <c r="F1100" s="149"/>
      <c r="G1100" s="149"/>
      <c r="H1100" s="149"/>
      <c r="I1100" s="149"/>
      <c r="J1100" s="149"/>
      <c r="K1100" s="149"/>
      <c r="L1100" s="149"/>
      <c r="M1100" s="149"/>
      <c r="N1100" s="149"/>
      <c r="O1100" s="149"/>
      <c r="P1100" s="149"/>
      <c r="Q1100" s="149"/>
      <c r="R1100" s="149"/>
      <c r="S1100" s="149"/>
      <c r="T1100" s="149"/>
      <c r="U1100" s="149"/>
      <c r="V1100" s="149"/>
      <c r="W1100" s="149"/>
      <c r="X1100" s="149"/>
      <c r="Y1100" s="149"/>
      <c r="Z1100" s="149"/>
      <c r="AA1100" s="149"/>
      <c r="AB1100" s="149"/>
      <c r="AC1100" s="149"/>
      <c r="AD1100" s="149"/>
      <c r="AE1100" s="149"/>
      <c r="AF1100" s="149"/>
      <c r="AG1100" s="149"/>
      <c r="AH1100" s="149"/>
      <c r="AI1100" s="149"/>
      <c r="AJ1100" s="149"/>
      <c r="AK1100" s="149"/>
      <c r="AL1100" s="149"/>
      <c r="AM1100" s="149"/>
      <c r="AN1100" s="149"/>
      <c r="AO1100" s="149"/>
      <c r="AP1100" s="149"/>
    </row>
    <row r="1101" ht="18.75" customHeight="1">
      <c r="A1101" s="149"/>
      <c r="B1101" s="149"/>
      <c r="C1101" s="304"/>
      <c r="D1101" s="149"/>
      <c r="E1101" s="149"/>
      <c r="F1101" s="149"/>
      <c r="G1101" s="149"/>
      <c r="H1101" s="149"/>
      <c r="I1101" s="149"/>
      <c r="J1101" s="149"/>
      <c r="K1101" s="149"/>
      <c r="L1101" s="149"/>
      <c r="M1101" s="149"/>
      <c r="N1101" s="149"/>
      <c r="O1101" s="149"/>
      <c r="P1101" s="149"/>
      <c r="Q1101" s="149"/>
      <c r="R1101" s="149"/>
      <c r="S1101" s="149"/>
      <c r="T1101" s="149"/>
      <c r="U1101" s="149"/>
      <c r="V1101" s="149"/>
      <c r="W1101" s="149"/>
      <c r="X1101" s="149"/>
      <c r="Y1101" s="149"/>
      <c r="Z1101" s="149"/>
      <c r="AA1101" s="149"/>
      <c r="AB1101" s="149"/>
      <c r="AC1101" s="149"/>
      <c r="AD1101" s="149"/>
      <c r="AE1101" s="149"/>
      <c r="AF1101" s="149"/>
      <c r="AG1101" s="149"/>
      <c r="AH1101" s="149"/>
      <c r="AI1101" s="149"/>
      <c r="AJ1101" s="149"/>
      <c r="AK1101" s="149"/>
      <c r="AL1101" s="149"/>
      <c r="AM1101" s="149"/>
      <c r="AN1101" s="149"/>
      <c r="AO1101" s="149"/>
      <c r="AP1101" s="149"/>
    </row>
    <row r="1102" ht="18.75" customHeight="1">
      <c r="A1102" s="149"/>
      <c r="B1102" s="149"/>
      <c r="C1102" s="304"/>
      <c r="D1102" s="149"/>
      <c r="E1102" s="149"/>
      <c r="F1102" s="149"/>
      <c r="G1102" s="149"/>
      <c r="H1102" s="149"/>
      <c r="I1102" s="149"/>
      <c r="J1102" s="149"/>
      <c r="K1102" s="149"/>
      <c r="L1102" s="149"/>
      <c r="M1102" s="149"/>
      <c r="N1102" s="149"/>
      <c r="O1102" s="149"/>
      <c r="P1102" s="149"/>
      <c r="Q1102" s="149"/>
      <c r="R1102" s="149"/>
      <c r="S1102" s="149"/>
      <c r="T1102" s="149"/>
      <c r="U1102" s="149"/>
      <c r="V1102" s="149"/>
      <c r="W1102" s="149"/>
      <c r="X1102" s="149"/>
      <c r="Y1102" s="149"/>
      <c r="Z1102" s="149"/>
      <c r="AA1102" s="149"/>
      <c r="AB1102" s="149"/>
      <c r="AC1102" s="149"/>
      <c r="AD1102" s="149"/>
      <c r="AE1102" s="149"/>
      <c r="AF1102" s="149"/>
      <c r="AG1102" s="149"/>
      <c r="AH1102" s="149"/>
      <c r="AI1102" s="149"/>
      <c r="AJ1102" s="149"/>
      <c r="AK1102" s="149"/>
      <c r="AL1102" s="149"/>
      <c r="AM1102" s="149"/>
      <c r="AN1102" s="149"/>
      <c r="AO1102" s="149"/>
      <c r="AP1102" s="149"/>
    </row>
    <row r="1103" ht="18.75" customHeight="1">
      <c r="A1103" s="149"/>
      <c r="B1103" s="149"/>
      <c r="C1103" s="304"/>
      <c r="D1103" s="149"/>
      <c r="E1103" s="149"/>
      <c r="F1103" s="149"/>
      <c r="G1103" s="149"/>
      <c r="H1103" s="149"/>
      <c r="I1103" s="149"/>
      <c r="J1103" s="149"/>
      <c r="K1103" s="149"/>
      <c r="L1103" s="149"/>
      <c r="M1103" s="149"/>
      <c r="N1103" s="149"/>
      <c r="O1103" s="149"/>
      <c r="P1103" s="149"/>
      <c r="Q1103" s="149"/>
      <c r="R1103" s="149"/>
      <c r="S1103" s="149"/>
      <c r="T1103" s="149"/>
      <c r="U1103" s="149"/>
      <c r="V1103" s="149"/>
      <c r="W1103" s="149"/>
      <c r="X1103" s="149"/>
      <c r="Y1103" s="149"/>
      <c r="Z1103" s="149"/>
      <c r="AA1103" s="149"/>
      <c r="AB1103" s="149"/>
      <c r="AC1103" s="149"/>
      <c r="AD1103" s="149"/>
      <c r="AE1103" s="149"/>
      <c r="AF1103" s="149"/>
      <c r="AG1103" s="149"/>
      <c r="AH1103" s="149"/>
      <c r="AI1103" s="149"/>
      <c r="AJ1103" s="149"/>
      <c r="AK1103" s="149"/>
      <c r="AL1103" s="149"/>
      <c r="AM1103" s="149"/>
      <c r="AN1103" s="149"/>
      <c r="AO1103" s="149"/>
      <c r="AP1103" s="149"/>
    </row>
    <row r="1104" ht="18.75" customHeight="1">
      <c r="A1104" s="149"/>
      <c r="B1104" s="149"/>
      <c r="C1104" s="304"/>
      <c r="D1104" s="149"/>
      <c r="E1104" s="149"/>
      <c r="F1104" s="149"/>
      <c r="G1104" s="149"/>
      <c r="H1104" s="149"/>
      <c r="I1104" s="149"/>
      <c r="J1104" s="149"/>
      <c r="K1104" s="149"/>
      <c r="L1104" s="149"/>
      <c r="M1104" s="149"/>
      <c r="N1104" s="149"/>
      <c r="O1104" s="149"/>
      <c r="P1104" s="149"/>
      <c r="Q1104" s="149"/>
      <c r="R1104" s="149"/>
      <c r="S1104" s="149"/>
      <c r="T1104" s="149"/>
      <c r="U1104" s="149"/>
      <c r="V1104" s="149"/>
      <c r="W1104" s="149"/>
      <c r="X1104" s="149"/>
      <c r="Y1104" s="149"/>
      <c r="Z1104" s="149"/>
      <c r="AA1104" s="149"/>
      <c r="AB1104" s="149"/>
      <c r="AC1104" s="149"/>
      <c r="AD1104" s="149"/>
      <c r="AE1104" s="149"/>
      <c r="AF1104" s="149"/>
      <c r="AG1104" s="149"/>
      <c r="AH1104" s="149"/>
      <c r="AI1104" s="149"/>
      <c r="AJ1104" s="149"/>
      <c r="AK1104" s="149"/>
      <c r="AL1104" s="149"/>
      <c r="AM1104" s="149"/>
      <c r="AN1104" s="149"/>
      <c r="AO1104" s="149"/>
      <c r="AP1104" s="149"/>
    </row>
    <row r="1105" ht="18.75" customHeight="1">
      <c r="A1105" s="149"/>
      <c r="B1105" s="149"/>
      <c r="C1105" s="304"/>
      <c r="D1105" s="149"/>
      <c r="E1105" s="149"/>
      <c r="F1105" s="149"/>
      <c r="G1105" s="149"/>
      <c r="H1105" s="149"/>
      <c r="I1105" s="149"/>
      <c r="J1105" s="149"/>
      <c r="K1105" s="149"/>
      <c r="L1105" s="149"/>
      <c r="M1105" s="149"/>
      <c r="N1105" s="149"/>
      <c r="O1105" s="149"/>
      <c r="P1105" s="149"/>
      <c r="Q1105" s="149"/>
      <c r="R1105" s="149"/>
      <c r="S1105" s="149"/>
      <c r="T1105" s="149"/>
      <c r="U1105" s="149"/>
      <c r="V1105" s="149"/>
      <c r="W1105" s="149"/>
      <c r="X1105" s="149"/>
      <c r="Y1105" s="149"/>
      <c r="Z1105" s="149"/>
      <c r="AA1105" s="149"/>
      <c r="AB1105" s="149"/>
      <c r="AC1105" s="149"/>
      <c r="AD1105" s="149"/>
      <c r="AE1105" s="149"/>
      <c r="AF1105" s="149"/>
      <c r="AG1105" s="149"/>
      <c r="AH1105" s="149"/>
      <c r="AI1105" s="149"/>
      <c r="AJ1105" s="149"/>
      <c r="AK1105" s="149"/>
      <c r="AL1105" s="149"/>
      <c r="AM1105" s="149"/>
      <c r="AN1105" s="149"/>
      <c r="AO1105" s="149"/>
      <c r="AP1105" s="149"/>
    </row>
    <row r="1106" ht="18.75" customHeight="1">
      <c r="A1106" s="149"/>
      <c r="B1106" s="149"/>
      <c r="C1106" s="304"/>
      <c r="D1106" s="149"/>
      <c r="E1106" s="149"/>
      <c r="F1106" s="149"/>
      <c r="G1106" s="149"/>
      <c r="H1106" s="149"/>
      <c r="I1106" s="149"/>
      <c r="J1106" s="149"/>
      <c r="K1106" s="149"/>
      <c r="L1106" s="149"/>
      <c r="M1106" s="149"/>
      <c r="N1106" s="149"/>
      <c r="O1106" s="149"/>
      <c r="P1106" s="149"/>
      <c r="Q1106" s="149"/>
      <c r="R1106" s="149"/>
      <c r="S1106" s="149"/>
      <c r="T1106" s="149"/>
      <c r="U1106" s="149"/>
      <c r="V1106" s="149"/>
      <c r="W1106" s="149"/>
      <c r="X1106" s="149"/>
      <c r="Y1106" s="149"/>
      <c r="Z1106" s="149"/>
      <c r="AA1106" s="149"/>
      <c r="AB1106" s="149"/>
      <c r="AC1106" s="149"/>
      <c r="AD1106" s="149"/>
      <c r="AE1106" s="149"/>
      <c r="AF1106" s="149"/>
      <c r="AG1106" s="149"/>
      <c r="AH1106" s="149"/>
      <c r="AI1106" s="149"/>
      <c r="AJ1106" s="149"/>
      <c r="AK1106" s="149"/>
      <c r="AL1106" s="149"/>
      <c r="AM1106" s="149"/>
      <c r="AN1106" s="149"/>
      <c r="AO1106" s="149"/>
      <c r="AP1106" s="149"/>
    </row>
    <row r="1107" ht="18.75" customHeight="1">
      <c r="A1107" s="149"/>
      <c r="B1107" s="149"/>
      <c r="C1107" s="304"/>
      <c r="D1107" s="149"/>
      <c r="E1107" s="149"/>
      <c r="F1107" s="149"/>
      <c r="G1107" s="149"/>
      <c r="H1107" s="149"/>
      <c r="I1107" s="149"/>
      <c r="J1107" s="149"/>
      <c r="K1107" s="149"/>
      <c r="L1107" s="149"/>
      <c r="M1107" s="149"/>
      <c r="N1107" s="149"/>
      <c r="O1107" s="149"/>
      <c r="P1107" s="149"/>
      <c r="Q1107" s="149"/>
      <c r="R1107" s="149"/>
      <c r="S1107" s="149"/>
      <c r="T1107" s="149"/>
      <c r="U1107" s="149"/>
      <c r="V1107" s="149"/>
      <c r="W1107" s="149"/>
      <c r="X1107" s="149"/>
      <c r="Y1107" s="149"/>
      <c r="Z1107" s="149"/>
      <c r="AA1107" s="149"/>
      <c r="AB1107" s="149"/>
      <c r="AC1107" s="149"/>
      <c r="AD1107" s="149"/>
      <c r="AE1107" s="149"/>
      <c r="AF1107" s="149"/>
      <c r="AG1107" s="149"/>
      <c r="AH1107" s="149"/>
      <c r="AI1107" s="149"/>
      <c r="AJ1107" s="149"/>
      <c r="AK1107" s="149"/>
      <c r="AL1107" s="149"/>
      <c r="AM1107" s="149"/>
      <c r="AN1107" s="149"/>
      <c r="AO1107" s="149"/>
      <c r="AP1107" s="149"/>
    </row>
    <row r="1108" ht="18.75" customHeight="1">
      <c r="A1108" s="149"/>
      <c r="B1108" s="149"/>
      <c r="C1108" s="304"/>
      <c r="D1108" s="149"/>
      <c r="E1108" s="149"/>
      <c r="F1108" s="149"/>
      <c r="G1108" s="149"/>
      <c r="H1108" s="149"/>
      <c r="I1108" s="149"/>
      <c r="J1108" s="149"/>
      <c r="K1108" s="149"/>
      <c r="L1108" s="149"/>
      <c r="M1108" s="149"/>
      <c r="N1108" s="149"/>
      <c r="O1108" s="149"/>
      <c r="P1108" s="149"/>
      <c r="Q1108" s="149"/>
      <c r="R1108" s="149"/>
      <c r="S1108" s="149"/>
      <c r="T1108" s="149"/>
      <c r="U1108" s="149"/>
      <c r="V1108" s="149"/>
      <c r="W1108" s="149"/>
      <c r="X1108" s="149"/>
      <c r="Y1108" s="149"/>
      <c r="Z1108" s="149"/>
      <c r="AA1108" s="149"/>
      <c r="AB1108" s="149"/>
      <c r="AC1108" s="149"/>
      <c r="AD1108" s="149"/>
      <c r="AE1108" s="149"/>
      <c r="AF1108" s="149"/>
      <c r="AG1108" s="149"/>
      <c r="AH1108" s="149"/>
      <c r="AI1108" s="149"/>
      <c r="AJ1108" s="149"/>
      <c r="AK1108" s="149"/>
      <c r="AL1108" s="149"/>
      <c r="AM1108" s="149"/>
      <c r="AN1108" s="149"/>
      <c r="AO1108" s="149"/>
      <c r="AP1108" s="149"/>
    </row>
    <row r="1109" ht="18.75" customHeight="1">
      <c r="A1109" s="149"/>
      <c r="B1109" s="149"/>
      <c r="C1109" s="304"/>
      <c r="D1109" s="149"/>
      <c r="E1109" s="149"/>
      <c r="F1109" s="149"/>
      <c r="G1109" s="149"/>
      <c r="H1109" s="149"/>
      <c r="I1109" s="149"/>
      <c r="J1109" s="149"/>
      <c r="K1109" s="149"/>
      <c r="L1109" s="149"/>
      <c r="M1109" s="149"/>
      <c r="N1109" s="149"/>
      <c r="O1109" s="149"/>
      <c r="P1109" s="149"/>
      <c r="Q1109" s="149"/>
      <c r="R1109" s="149"/>
      <c r="S1109" s="149"/>
      <c r="T1109" s="149"/>
      <c r="U1109" s="149"/>
      <c r="V1109" s="149"/>
      <c r="W1109" s="149"/>
      <c r="X1109" s="149"/>
      <c r="Y1109" s="149"/>
      <c r="Z1109" s="149"/>
      <c r="AA1109" s="149"/>
      <c r="AB1109" s="149"/>
      <c r="AC1109" s="149"/>
      <c r="AD1109" s="149"/>
      <c r="AE1109" s="149"/>
      <c r="AF1109" s="149"/>
      <c r="AG1109" s="149"/>
      <c r="AH1109" s="149"/>
      <c r="AI1109" s="149"/>
      <c r="AJ1109" s="149"/>
      <c r="AK1109" s="149"/>
      <c r="AL1109" s="149"/>
      <c r="AM1109" s="149"/>
      <c r="AN1109" s="149"/>
      <c r="AO1109" s="149"/>
      <c r="AP1109" s="149"/>
    </row>
    <row r="1110" ht="18.75" customHeight="1">
      <c r="A1110" s="149"/>
      <c r="B1110" s="149"/>
      <c r="C1110" s="304"/>
      <c r="D1110" s="149"/>
      <c r="E1110" s="149"/>
      <c r="F1110" s="149"/>
      <c r="G1110" s="149"/>
      <c r="H1110" s="149"/>
      <c r="I1110" s="149"/>
      <c r="J1110" s="149"/>
      <c r="K1110" s="149"/>
      <c r="L1110" s="149"/>
      <c r="M1110" s="149"/>
      <c r="N1110" s="149"/>
      <c r="O1110" s="149"/>
      <c r="P1110" s="149"/>
      <c r="Q1110" s="149"/>
      <c r="R1110" s="149"/>
      <c r="S1110" s="149"/>
      <c r="T1110" s="149"/>
      <c r="U1110" s="149"/>
      <c r="V1110" s="149"/>
      <c r="W1110" s="149"/>
      <c r="X1110" s="149"/>
      <c r="Y1110" s="149"/>
      <c r="Z1110" s="149"/>
      <c r="AA1110" s="149"/>
      <c r="AB1110" s="149"/>
      <c r="AC1110" s="149"/>
      <c r="AD1110" s="149"/>
      <c r="AE1110" s="149"/>
      <c r="AF1110" s="149"/>
      <c r="AG1110" s="149"/>
      <c r="AH1110" s="149"/>
      <c r="AI1110" s="149"/>
      <c r="AJ1110" s="149"/>
      <c r="AK1110" s="149"/>
      <c r="AL1110" s="149"/>
      <c r="AM1110" s="149"/>
      <c r="AN1110" s="149"/>
      <c r="AO1110" s="149"/>
      <c r="AP1110" s="149"/>
    </row>
    <row r="1111" ht="18.75" customHeight="1">
      <c r="A1111" s="149"/>
      <c r="B1111" s="149"/>
      <c r="C1111" s="304"/>
      <c r="D1111" s="149"/>
      <c r="E1111" s="149"/>
      <c r="F1111" s="149"/>
      <c r="G1111" s="149"/>
      <c r="H1111" s="149"/>
      <c r="I1111" s="149"/>
      <c r="J1111" s="149"/>
      <c r="K1111" s="149"/>
      <c r="L1111" s="149"/>
      <c r="M1111" s="149"/>
      <c r="N1111" s="149"/>
      <c r="O1111" s="149"/>
      <c r="P1111" s="149"/>
      <c r="Q1111" s="149"/>
      <c r="R1111" s="149"/>
      <c r="S1111" s="149"/>
      <c r="T1111" s="149"/>
      <c r="U1111" s="149"/>
      <c r="V1111" s="149"/>
      <c r="W1111" s="149"/>
      <c r="X1111" s="149"/>
      <c r="Y1111" s="149"/>
      <c r="Z1111" s="149"/>
      <c r="AA1111" s="149"/>
      <c r="AB1111" s="149"/>
      <c r="AC1111" s="149"/>
      <c r="AD1111" s="149"/>
      <c r="AE1111" s="149"/>
      <c r="AF1111" s="149"/>
      <c r="AG1111" s="149"/>
      <c r="AH1111" s="149"/>
      <c r="AI1111" s="149"/>
      <c r="AJ1111" s="149"/>
      <c r="AK1111" s="149"/>
      <c r="AL1111" s="149"/>
      <c r="AM1111" s="149"/>
      <c r="AN1111" s="149"/>
      <c r="AO1111" s="149"/>
      <c r="AP1111" s="149"/>
    </row>
    <row r="1112" ht="18.75" customHeight="1">
      <c r="A1112" s="149"/>
      <c r="B1112" s="149"/>
      <c r="C1112" s="304"/>
      <c r="D1112" s="149"/>
      <c r="E1112" s="149"/>
      <c r="F1112" s="149"/>
      <c r="G1112" s="149"/>
      <c r="H1112" s="149"/>
      <c r="I1112" s="149"/>
      <c r="J1112" s="149"/>
      <c r="K1112" s="149"/>
      <c r="L1112" s="149"/>
      <c r="M1112" s="149"/>
      <c r="N1112" s="149"/>
      <c r="O1112" s="149"/>
      <c r="P1112" s="149"/>
      <c r="Q1112" s="149"/>
      <c r="R1112" s="149"/>
      <c r="S1112" s="149"/>
      <c r="T1112" s="149"/>
      <c r="U1112" s="149"/>
      <c r="V1112" s="149"/>
      <c r="W1112" s="149"/>
      <c r="X1112" s="149"/>
      <c r="Y1112" s="149"/>
      <c r="Z1112" s="149"/>
      <c r="AA1112" s="149"/>
      <c r="AB1112" s="149"/>
      <c r="AC1112" s="149"/>
      <c r="AD1112" s="149"/>
      <c r="AE1112" s="149"/>
      <c r="AF1112" s="149"/>
      <c r="AG1112" s="149"/>
      <c r="AH1112" s="149"/>
      <c r="AI1112" s="149"/>
      <c r="AJ1112" s="149"/>
      <c r="AK1112" s="149"/>
      <c r="AL1112" s="149"/>
      <c r="AM1112" s="149"/>
      <c r="AN1112" s="149"/>
      <c r="AO1112" s="149"/>
      <c r="AP1112" s="149"/>
    </row>
    <row r="1113" ht="18.75" customHeight="1">
      <c r="A1113" s="149"/>
      <c r="B1113" s="149"/>
      <c r="C1113" s="304"/>
      <c r="D1113" s="149"/>
      <c r="E1113" s="149"/>
      <c r="F1113" s="149"/>
      <c r="G1113" s="149"/>
      <c r="H1113" s="149"/>
      <c r="I1113" s="149"/>
      <c r="J1113" s="149"/>
      <c r="K1113" s="149"/>
      <c r="L1113" s="149"/>
      <c r="M1113" s="149"/>
      <c r="N1113" s="149"/>
      <c r="O1113" s="149"/>
      <c r="P1113" s="149"/>
      <c r="Q1113" s="149"/>
      <c r="R1113" s="149"/>
      <c r="S1113" s="149"/>
      <c r="T1113" s="149"/>
      <c r="U1113" s="149"/>
      <c r="V1113" s="149"/>
      <c r="W1113" s="149"/>
      <c r="X1113" s="149"/>
      <c r="Y1113" s="149"/>
      <c r="Z1113" s="149"/>
      <c r="AA1113" s="149"/>
      <c r="AB1113" s="149"/>
      <c r="AC1113" s="149"/>
      <c r="AD1113" s="149"/>
      <c r="AE1113" s="149"/>
      <c r="AF1113" s="149"/>
      <c r="AG1113" s="149"/>
      <c r="AH1113" s="149"/>
      <c r="AI1113" s="149"/>
      <c r="AJ1113" s="149"/>
      <c r="AK1113" s="149"/>
      <c r="AL1113" s="149"/>
      <c r="AM1113" s="149"/>
      <c r="AN1113" s="149"/>
      <c r="AO1113" s="149"/>
      <c r="AP1113" s="149"/>
    </row>
    <row r="1114" ht="18.75" customHeight="1">
      <c r="A1114" s="149"/>
      <c r="B1114" s="149"/>
      <c r="C1114" s="304"/>
      <c r="D1114" s="149"/>
      <c r="E1114" s="149"/>
      <c r="F1114" s="149"/>
      <c r="G1114" s="149"/>
      <c r="H1114" s="149"/>
      <c r="I1114" s="149"/>
      <c r="J1114" s="149"/>
      <c r="K1114" s="149"/>
      <c r="L1114" s="149"/>
      <c r="M1114" s="149"/>
      <c r="N1114" s="149"/>
      <c r="O1114" s="149"/>
      <c r="P1114" s="149"/>
      <c r="Q1114" s="149"/>
      <c r="R1114" s="149"/>
      <c r="S1114" s="149"/>
      <c r="T1114" s="149"/>
      <c r="U1114" s="149"/>
      <c r="V1114" s="149"/>
      <c r="W1114" s="149"/>
      <c r="X1114" s="149"/>
      <c r="Y1114" s="149"/>
      <c r="Z1114" s="149"/>
      <c r="AA1114" s="149"/>
      <c r="AB1114" s="149"/>
      <c r="AC1114" s="149"/>
      <c r="AD1114" s="149"/>
      <c r="AE1114" s="149"/>
      <c r="AF1114" s="149"/>
      <c r="AG1114" s="149"/>
      <c r="AH1114" s="149"/>
      <c r="AI1114" s="149"/>
      <c r="AJ1114" s="149"/>
      <c r="AK1114" s="149"/>
      <c r="AL1114" s="149"/>
      <c r="AM1114" s="149"/>
      <c r="AN1114" s="149"/>
      <c r="AO1114" s="149"/>
      <c r="AP1114" s="149"/>
    </row>
    <row r="1115" ht="18.75" customHeight="1">
      <c r="A1115" s="149"/>
      <c r="B1115" s="149"/>
      <c r="C1115" s="304"/>
      <c r="D1115" s="149"/>
      <c r="E1115" s="149"/>
      <c r="F1115" s="149"/>
      <c r="G1115" s="149"/>
      <c r="H1115" s="149"/>
      <c r="I1115" s="149"/>
      <c r="J1115" s="149"/>
      <c r="K1115" s="149"/>
      <c r="L1115" s="149"/>
      <c r="M1115" s="149"/>
      <c r="N1115" s="149"/>
      <c r="O1115" s="149"/>
      <c r="P1115" s="149"/>
      <c r="Q1115" s="149"/>
      <c r="R1115" s="149"/>
      <c r="S1115" s="149"/>
      <c r="T1115" s="149"/>
      <c r="U1115" s="149"/>
      <c r="V1115" s="149"/>
      <c r="W1115" s="149"/>
      <c r="X1115" s="149"/>
      <c r="Y1115" s="149"/>
      <c r="Z1115" s="149"/>
      <c r="AA1115" s="149"/>
      <c r="AB1115" s="149"/>
      <c r="AC1115" s="149"/>
      <c r="AD1115" s="149"/>
      <c r="AE1115" s="149"/>
      <c r="AF1115" s="149"/>
      <c r="AG1115" s="149"/>
      <c r="AH1115" s="149"/>
      <c r="AI1115" s="149"/>
      <c r="AJ1115" s="149"/>
      <c r="AK1115" s="149"/>
      <c r="AL1115" s="149"/>
      <c r="AM1115" s="149"/>
      <c r="AN1115" s="149"/>
      <c r="AO1115" s="149"/>
      <c r="AP1115" s="149"/>
    </row>
    <row r="1116" ht="18.75" customHeight="1">
      <c r="A1116" s="149"/>
      <c r="B1116" s="149"/>
      <c r="C1116" s="304"/>
      <c r="D1116" s="149"/>
      <c r="E1116" s="149"/>
      <c r="F1116" s="149"/>
      <c r="G1116" s="149"/>
      <c r="H1116" s="149"/>
      <c r="I1116" s="149"/>
      <c r="J1116" s="149"/>
      <c r="K1116" s="149"/>
      <c r="L1116" s="149"/>
      <c r="M1116" s="149"/>
      <c r="N1116" s="149"/>
      <c r="O1116" s="149"/>
      <c r="P1116" s="149"/>
      <c r="Q1116" s="149"/>
      <c r="R1116" s="149"/>
      <c r="S1116" s="149"/>
      <c r="T1116" s="149"/>
      <c r="U1116" s="149"/>
      <c r="V1116" s="149"/>
      <c r="W1116" s="149"/>
      <c r="X1116" s="149"/>
      <c r="Y1116" s="149"/>
      <c r="Z1116" s="149"/>
      <c r="AA1116" s="149"/>
      <c r="AB1116" s="149"/>
      <c r="AC1116" s="149"/>
      <c r="AD1116" s="149"/>
      <c r="AE1116" s="149"/>
      <c r="AF1116" s="149"/>
      <c r="AG1116" s="149"/>
      <c r="AH1116" s="149"/>
      <c r="AI1116" s="149"/>
      <c r="AJ1116" s="149"/>
      <c r="AK1116" s="149"/>
      <c r="AL1116" s="149"/>
      <c r="AM1116" s="149"/>
      <c r="AN1116" s="149"/>
      <c r="AO1116" s="149"/>
      <c r="AP1116" s="149"/>
    </row>
    <row r="1117" ht="18.75" customHeight="1">
      <c r="A1117" s="149"/>
      <c r="B1117" s="149"/>
      <c r="C1117" s="304"/>
      <c r="D1117" s="149"/>
      <c r="E1117" s="149"/>
      <c r="F1117" s="149"/>
      <c r="G1117" s="149"/>
      <c r="H1117" s="149"/>
      <c r="I1117" s="149"/>
      <c r="J1117" s="149"/>
      <c r="K1117" s="149"/>
      <c r="L1117" s="149"/>
      <c r="M1117" s="149"/>
      <c r="N1117" s="149"/>
      <c r="O1117" s="149"/>
      <c r="P1117" s="149"/>
      <c r="Q1117" s="149"/>
      <c r="R1117" s="149"/>
      <c r="S1117" s="149"/>
      <c r="T1117" s="149"/>
      <c r="U1117" s="149"/>
      <c r="V1117" s="149"/>
      <c r="W1117" s="149"/>
      <c r="X1117" s="149"/>
      <c r="Y1117" s="149"/>
      <c r="Z1117" s="149"/>
      <c r="AA1117" s="149"/>
      <c r="AB1117" s="149"/>
      <c r="AC1117" s="149"/>
      <c r="AD1117" s="149"/>
      <c r="AE1117" s="149"/>
      <c r="AF1117" s="149"/>
      <c r="AG1117" s="149"/>
      <c r="AH1117" s="149"/>
      <c r="AI1117" s="149"/>
      <c r="AJ1117" s="149"/>
      <c r="AK1117" s="149"/>
      <c r="AL1117" s="149"/>
      <c r="AM1117" s="149"/>
      <c r="AN1117" s="149"/>
      <c r="AO1117" s="149"/>
      <c r="AP1117" s="149"/>
    </row>
    <row r="1118" ht="18.75" customHeight="1">
      <c r="A1118" s="149"/>
      <c r="B1118" s="149"/>
      <c r="C1118" s="304"/>
      <c r="D1118" s="149"/>
      <c r="E1118" s="149"/>
      <c r="F1118" s="149"/>
      <c r="G1118" s="149"/>
      <c r="H1118" s="149"/>
      <c r="I1118" s="149"/>
      <c r="J1118" s="149"/>
      <c r="K1118" s="149"/>
      <c r="L1118" s="149"/>
      <c r="M1118" s="149"/>
      <c r="N1118" s="149"/>
      <c r="O1118" s="149"/>
      <c r="P1118" s="149"/>
      <c r="Q1118" s="149"/>
      <c r="R1118" s="149"/>
      <c r="S1118" s="149"/>
      <c r="T1118" s="149"/>
      <c r="U1118" s="149"/>
      <c r="V1118" s="149"/>
      <c r="W1118" s="149"/>
      <c r="X1118" s="149"/>
      <c r="Y1118" s="149"/>
      <c r="Z1118" s="149"/>
      <c r="AA1118" s="149"/>
      <c r="AB1118" s="149"/>
      <c r="AC1118" s="149"/>
      <c r="AD1118" s="149"/>
      <c r="AE1118" s="149"/>
      <c r="AF1118" s="149"/>
      <c r="AG1118" s="149"/>
      <c r="AH1118" s="149"/>
      <c r="AI1118" s="149"/>
      <c r="AJ1118" s="149"/>
      <c r="AK1118" s="149"/>
      <c r="AL1118" s="149"/>
      <c r="AM1118" s="149"/>
      <c r="AN1118" s="149"/>
      <c r="AO1118" s="149"/>
      <c r="AP1118" s="149"/>
    </row>
    <row r="1119" ht="18.75" customHeight="1">
      <c r="A1119" s="149"/>
      <c r="B1119" s="149"/>
      <c r="C1119" s="304"/>
      <c r="D1119" s="149"/>
      <c r="E1119" s="149"/>
      <c r="F1119" s="149"/>
      <c r="G1119" s="149"/>
      <c r="H1119" s="149"/>
      <c r="I1119" s="149"/>
      <c r="J1119" s="149"/>
      <c r="K1119" s="149"/>
      <c r="L1119" s="149"/>
      <c r="M1119" s="149"/>
      <c r="N1119" s="149"/>
      <c r="O1119" s="149"/>
      <c r="P1119" s="149"/>
      <c r="Q1119" s="149"/>
      <c r="R1119" s="149"/>
      <c r="S1119" s="149"/>
      <c r="T1119" s="149"/>
      <c r="U1119" s="149"/>
      <c r="V1119" s="149"/>
      <c r="W1119" s="149"/>
      <c r="X1119" s="149"/>
      <c r="Y1119" s="149"/>
      <c r="Z1119" s="149"/>
      <c r="AA1119" s="149"/>
      <c r="AB1119" s="149"/>
      <c r="AC1119" s="149"/>
      <c r="AD1119" s="149"/>
      <c r="AE1119" s="149"/>
      <c r="AF1119" s="149"/>
      <c r="AG1119" s="149"/>
      <c r="AH1119" s="149"/>
      <c r="AI1119" s="149"/>
      <c r="AJ1119" s="149"/>
      <c r="AK1119" s="149"/>
      <c r="AL1119" s="149"/>
      <c r="AM1119" s="149"/>
      <c r="AN1119" s="149"/>
      <c r="AO1119" s="149"/>
      <c r="AP1119" s="149"/>
    </row>
    <row r="1120" ht="18.75" customHeight="1">
      <c r="A1120" s="149"/>
      <c r="B1120" s="149"/>
      <c r="C1120" s="304"/>
      <c r="D1120" s="149"/>
      <c r="E1120" s="149"/>
      <c r="F1120" s="149"/>
      <c r="G1120" s="149"/>
      <c r="H1120" s="149"/>
      <c r="I1120" s="149"/>
      <c r="J1120" s="149"/>
      <c r="K1120" s="149"/>
      <c r="L1120" s="149"/>
      <c r="M1120" s="149"/>
      <c r="N1120" s="149"/>
      <c r="O1120" s="149"/>
      <c r="P1120" s="149"/>
      <c r="Q1120" s="149"/>
      <c r="R1120" s="149"/>
      <c r="S1120" s="149"/>
      <c r="T1120" s="149"/>
      <c r="U1120" s="149"/>
      <c r="V1120" s="149"/>
      <c r="W1120" s="149"/>
      <c r="X1120" s="149"/>
      <c r="Y1120" s="149"/>
      <c r="Z1120" s="149"/>
      <c r="AA1120" s="149"/>
      <c r="AB1120" s="149"/>
      <c r="AC1120" s="149"/>
      <c r="AD1120" s="149"/>
      <c r="AE1120" s="149"/>
      <c r="AF1120" s="149"/>
      <c r="AG1120" s="149"/>
      <c r="AH1120" s="149"/>
      <c r="AI1120" s="149"/>
      <c r="AJ1120" s="149"/>
      <c r="AK1120" s="149"/>
      <c r="AL1120" s="149"/>
      <c r="AM1120" s="149"/>
      <c r="AN1120" s="149"/>
      <c r="AO1120" s="149"/>
      <c r="AP1120" s="149"/>
    </row>
    <row r="1121" ht="18.75" customHeight="1">
      <c r="A1121" s="149"/>
      <c r="B1121" s="149"/>
      <c r="C1121" s="304"/>
      <c r="D1121" s="149"/>
      <c r="E1121" s="149"/>
      <c r="F1121" s="149"/>
      <c r="G1121" s="149"/>
      <c r="H1121" s="149"/>
      <c r="I1121" s="149"/>
      <c r="J1121" s="149"/>
      <c r="K1121" s="149"/>
      <c r="L1121" s="149"/>
      <c r="M1121" s="149"/>
      <c r="N1121" s="149"/>
      <c r="O1121" s="149"/>
      <c r="P1121" s="149"/>
      <c r="Q1121" s="149"/>
      <c r="R1121" s="149"/>
      <c r="S1121" s="149"/>
      <c r="T1121" s="149"/>
      <c r="U1121" s="149"/>
      <c r="V1121" s="149"/>
      <c r="W1121" s="149"/>
      <c r="X1121" s="149"/>
      <c r="Y1121" s="149"/>
      <c r="Z1121" s="149"/>
      <c r="AA1121" s="149"/>
      <c r="AB1121" s="149"/>
      <c r="AC1121" s="149"/>
      <c r="AD1121" s="149"/>
      <c r="AE1121" s="149"/>
      <c r="AF1121" s="149"/>
      <c r="AG1121" s="149"/>
      <c r="AH1121" s="149"/>
      <c r="AI1121" s="149"/>
      <c r="AJ1121" s="149"/>
      <c r="AK1121" s="149"/>
      <c r="AL1121" s="149"/>
      <c r="AM1121" s="149"/>
      <c r="AN1121" s="149"/>
      <c r="AO1121" s="149"/>
      <c r="AP1121" s="149"/>
    </row>
    <row r="1122" ht="18.75" customHeight="1">
      <c r="A1122" s="149"/>
      <c r="B1122" s="149"/>
      <c r="C1122" s="304"/>
      <c r="D1122" s="149"/>
      <c r="E1122" s="149"/>
      <c r="F1122" s="149"/>
      <c r="G1122" s="149"/>
      <c r="H1122" s="149"/>
      <c r="I1122" s="149"/>
      <c r="J1122" s="149"/>
      <c r="K1122" s="149"/>
      <c r="L1122" s="149"/>
      <c r="M1122" s="149"/>
      <c r="N1122" s="149"/>
      <c r="O1122" s="149"/>
      <c r="P1122" s="149"/>
      <c r="Q1122" s="149"/>
      <c r="R1122" s="149"/>
      <c r="S1122" s="149"/>
      <c r="T1122" s="149"/>
      <c r="U1122" s="149"/>
      <c r="V1122" s="149"/>
      <c r="W1122" s="149"/>
      <c r="X1122" s="149"/>
      <c r="Y1122" s="149"/>
      <c r="Z1122" s="149"/>
      <c r="AA1122" s="149"/>
      <c r="AB1122" s="149"/>
      <c r="AC1122" s="149"/>
      <c r="AD1122" s="149"/>
      <c r="AE1122" s="149"/>
      <c r="AF1122" s="149"/>
      <c r="AG1122" s="149"/>
      <c r="AH1122" s="149"/>
      <c r="AI1122" s="149"/>
      <c r="AJ1122" s="149"/>
      <c r="AK1122" s="149"/>
      <c r="AL1122" s="149"/>
      <c r="AM1122" s="149"/>
      <c r="AN1122" s="149"/>
      <c r="AO1122" s="149"/>
      <c r="AP1122" s="149"/>
    </row>
    <row r="1123" ht="18.75" customHeight="1">
      <c r="A1123" s="149"/>
      <c r="B1123" s="149"/>
      <c r="C1123" s="304"/>
      <c r="D1123" s="149"/>
      <c r="E1123" s="149"/>
      <c r="F1123" s="149"/>
      <c r="G1123" s="149"/>
      <c r="H1123" s="149"/>
      <c r="I1123" s="149"/>
      <c r="J1123" s="149"/>
      <c r="K1123" s="149"/>
      <c r="L1123" s="149"/>
      <c r="M1123" s="149"/>
      <c r="N1123" s="149"/>
      <c r="O1123" s="149"/>
      <c r="P1123" s="149"/>
      <c r="Q1123" s="149"/>
      <c r="R1123" s="149"/>
      <c r="S1123" s="149"/>
      <c r="T1123" s="149"/>
      <c r="U1123" s="149"/>
      <c r="V1123" s="149"/>
      <c r="W1123" s="149"/>
      <c r="X1123" s="149"/>
      <c r="Y1123" s="149"/>
      <c r="Z1123" s="149"/>
      <c r="AA1123" s="149"/>
      <c r="AB1123" s="149"/>
      <c r="AC1123" s="149"/>
      <c r="AD1123" s="149"/>
      <c r="AE1123" s="149"/>
      <c r="AF1123" s="149"/>
      <c r="AG1123" s="149"/>
      <c r="AH1123" s="149"/>
      <c r="AI1123" s="149"/>
      <c r="AJ1123" s="149"/>
      <c r="AK1123" s="149"/>
      <c r="AL1123" s="149"/>
      <c r="AM1123" s="149"/>
      <c r="AN1123" s="149"/>
      <c r="AO1123" s="149"/>
      <c r="AP1123" s="149"/>
    </row>
    <row r="1124" ht="18.75" customHeight="1">
      <c r="A1124" s="149"/>
      <c r="B1124" s="149"/>
      <c r="C1124" s="304"/>
      <c r="D1124" s="149"/>
      <c r="E1124" s="149"/>
      <c r="F1124" s="149"/>
      <c r="G1124" s="149"/>
      <c r="H1124" s="149"/>
      <c r="I1124" s="149"/>
      <c r="J1124" s="149"/>
      <c r="K1124" s="149"/>
      <c r="L1124" s="149"/>
      <c r="M1124" s="149"/>
      <c r="N1124" s="149"/>
      <c r="O1124" s="149"/>
      <c r="P1124" s="149"/>
      <c r="Q1124" s="149"/>
      <c r="R1124" s="149"/>
      <c r="S1124" s="149"/>
      <c r="T1124" s="149"/>
      <c r="U1124" s="149"/>
      <c r="V1124" s="149"/>
      <c r="W1124" s="149"/>
      <c r="X1124" s="149"/>
      <c r="Y1124" s="149"/>
      <c r="Z1124" s="149"/>
      <c r="AA1124" s="149"/>
      <c r="AB1124" s="149"/>
      <c r="AC1124" s="149"/>
      <c r="AD1124" s="149"/>
      <c r="AE1124" s="149"/>
      <c r="AF1124" s="149"/>
      <c r="AG1124" s="149"/>
      <c r="AH1124" s="149"/>
      <c r="AI1124" s="149"/>
      <c r="AJ1124" s="149"/>
      <c r="AK1124" s="149"/>
      <c r="AL1124" s="149"/>
      <c r="AM1124" s="149"/>
      <c r="AN1124" s="149"/>
      <c r="AO1124" s="149"/>
      <c r="AP1124" s="149"/>
    </row>
    <row r="1125" ht="18.75" customHeight="1">
      <c r="A1125" s="149"/>
      <c r="B1125" s="149"/>
      <c r="C1125" s="304"/>
      <c r="D1125" s="149"/>
      <c r="E1125" s="149"/>
      <c r="F1125" s="149"/>
      <c r="G1125" s="149"/>
      <c r="H1125" s="149"/>
      <c r="I1125" s="149"/>
      <c r="J1125" s="149"/>
      <c r="K1125" s="149"/>
      <c r="L1125" s="149"/>
      <c r="M1125" s="149"/>
      <c r="N1125" s="149"/>
      <c r="O1125" s="149"/>
      <c r="P1125" s="149"/>
      <c r="Q1125" s="149"/>
      <c r="R1125" s="149"/>
      <c r="S1125" s="149"/>
      <c r="T1125" s="149"/>
      <c r="U1125" s="149"/>
      <c r="V1125" s="149"/>
      <c r="W1125" s="149"/>
      <c r="X1125" s="149"/>
      <c r="Y1125" s="149"/>
      <c r="Z1125" s="149"/>
      <c r="AA1125" s="149"/>
      <c r="AB1125" s="149"/>
      <c r="AC1125" s="149"/>
      <c r="AD1125" s="149"/>
      <c r="AE1125" s="149"/>
      <c r="AF1125" s="149"/>
      <c r="AG1125" s="149"/>
      <c r="AH1125" s="149"/>
      <c r="AI1125" s="149"/>
      <c r="AJ1125" s="149"/>
      <c r="AK1125" s="149"/>
      <c r="AL1125" s="149"/>
      <c r="AM1125" s="149"/>
      <c r="AN1125" s="149"/>
      <c r="AO1125" s="149"/>
      <c r="AP1125" s="149"/>
    </row>
    <row r="1126" ht="18.75" customHeight="1">
      <c r="A1126" s="149"/>
      <c r="B1126" s="149"/>
      <c r="C1126" s="304"/>
      <c r="D1126" s="149"/>
      <c r="E1126" s="149"/>
      <c r="F1126" s="149"/>
      <c r="G1126" s="149"/>
      <c r="H1126" s="149"/>
      <c r="I1126" s="149"/>
      <c r="J1126" s="149"/>
      <c r="K1126" s="149"/>
      <c r="L1126" s="149"/>
      <c r="M1126" s="149"/>
      <c r="N1126" s="149"/>
      <c r="O1126" s="149"/>
      <c r="P1126" s="149"/>
      <c r="Q1126" s="149"/>
      <c r="R1126" s="149"/>
      <c r="S1126" s="149"/>
      <c r="T1126" s="149"/>
      <c r="U1126" s="149"/>
      <c r="V1126" s="149"/>
      <c r="W1126" s="149"/>
      <c r="X1126" s="149"/>
      <c r="Y1126" s="149"/>
      <c r="Z1126" s="149"/>
      <c r="AA1126" s="149"/>
      <c r="AB1126" s="149"/>
      <c r="AC1126" s="149"/>
      <c r="AD1126" s="149"/>
      <c r="AE1126" s="149"/>
      <c r="AF1126" s="149"/>
      <c r="AG1126" s="149"/>
      <c r="AH1126" s="149"/>
      <c r="AI1126" s="149"/>
      <c r="AJ1126" s="149"/>
      <c r="AK1126" s="149"/>
      <c r="AL1126" s="149"/>
      <c r="AM1126" s="149"/>
      <c r="AN1126" s="149"/>
      <c r="AO1126" s="149"/>
      <c r="AP1126" s="149"/>
    </row>
    <row r="1127" ht="18.75" customHeight="1">
      <c r="A1127" s="149"/>
      <c r="B1127" s="149"/>
      <c r="C1127" s="304"/>
      <c r="D1127" s="149"/>
      <c r="E1127" s="149"/>
      <c r="F1127" s="149"/>
      <c r="G1127" s="149"/>
      <c r="H1127" s="149"/>
      <c r="I1127" s="149"/>
      <c r="J1127" s="149"/>
      <c r="K1127" s="149"/>
      <c r="L1127" s="149"/>
      <c r="M1127" s="149"/>
      <c r="N1127" s="149"/>
      <c r="O1127" s="149"/>
      <c r="P1127" s="149"/>
      <c r="Q1127" s="149"/>
      <c r="R1127" s="149"/>
      <c r="S1127" s="149"/>
      <c r="T1127" s="149"/>
      <c r="U1127" s="149"/>
      <c r="V1127" s="149"/>
      <c r="W1127" s="149"/>
      <c r="X1127" s="149"/>
      <c r="Y1127" s="149"/>
      <c r="Z1127" s="149"/>
      <c r="AA1127" s="149"/>
      <c r="AB1127" s="149"/>
      <c r="AC1127" s="149"/>
      <c r="AD1127" s="149"/>
      <c r="AE1127" s="149"/>
      <c r="AF1127" s="149"/>
      <c r="AG1127" s="149"/>
      <c r="AH1127" s="149"/>
      <c r="AI1127" s="149"/>
      <c r="AJ1127" s="149"/>
      <c r="AK1127" s="149"/>
      <c r="AL1127" s="149"/>
      <c r="AM1127" s="149"/>
      <c r="AN1127" s="149"/>
      <c r="AO1127" s="149"/>
      <c r="AP1127" s="149"/>
    </row>
    <row r="1128" ht="18.75" customHeight="1">
      <c r="A1128" s="149"/>
      <c r="B1128" s="149"/>
      <c r="C1128" s="304"/>
      <c r="D1128" s="149"/>
      <c r="E1128" s="149"/>
      <c r="F1128" s="149"/>
      <c r="G1128" s="149"/>
      <c r="H1128" s="149"/>
      <c r="I1128" s="149"/>
      <c r="J1128" s="149"/>
      <c r="K1128" s="149"/>
      <c r="L1128" s="149"/>
      <c r="M1128" s="149"/>
      <c r="N1128" s="149"/>
      <c r="O1128" s="149"/>
      <c r="P1128" s="149"/>
      <c r="Q1128" s="149"/>
      <c r="R1128" s="149"/>
      <c r="S1128" s="149"/>
      <c r="T1128" s="149"/>
      <c r="U1128" s="149"/>
      <c r="V1128" s="149"/>
      <c r="W1128" s="149"/>
      <c r="X1128" s="149"/>
      <c r="Y1128" s="149"/>
      <c r="Z1128" s="149"/>
      <c r="AA1128" s="149"/>
      <c r="AB1128" s="149"/>
      <c r="AC1128" s="149"/>
      <c r="AD1128" s="149"/>
      <c r="AE1128" s="149"/>
      <c r="AF1128" s="149"/>
      <c r="AG1128" s="149"/>
      <c r="AH1128" s="149"/>
      <c r="AI1128" s="149"/>
      <c r="AJ1128" s="149"/>
      <c r="AK1128" s="149"/>
      <c r="AL1128" s="149"/>
      <c r="AM1128" s="149"/>
      <c r="AN1128" s="149"/>
      <c r="AO1128" s="149"/>
      <c r="AP1128" s="149"/>
    </row>
    <row r="1129" ht="18.75" customHeight="1">
      <c r="A1129" s="149"/>
      <c r="B1129" s="149"/>
      <c r="C1129" s="304"/>
      <c r="D1129" s="149"/>
      <c r="E1129" s="149"/>
      <c r="F1129" s="149"/>
      <c r="G1129" s="149"/>
      <c r="H1129" s="149"/>
      <c r="I1129" s="149"/>
      <c r="J1129" s="149"/>
      <c r="K1129" s="149"/>
      <c r="L1129" s="149"/>
      <c r="M1129" s="149"/>
      <c r="N1129" s="149"/>
      <c r="O1129" s="149"/>
      <c r="P1129" s="149"/>
      <c r="Q1129" s="149"/>
      <c r="R1129" s="149"/>
      <c r="S1129" s="149"/>
      <c r="T1129" s="149"/>
      <c r="U1129" s="149"/>
      <c r="V1129" s="149"/>
      <c r="W1129" s="149"/>
      <c r="X1129" s="149"/>
      <c r="Y1129" s="149"/>
      <c r="Z1129" s="149"/>
      <c r="AA1129" s="149"/>
      <c r="AB1129" s="149"/>
      <c r="AC1129" s="149"/>
      <c r="AD1129" s="149"/>
      <c r="AE1129" s="149"/>
      <c r="AF1129" s="149"/>
      <c r="AG1129" s="149"/>
      <c r="AH1129" s="149"/>
      <c r="AI1129" s="149"/>
      <c r="AJ1129" s="149"/>
      <c r="AK1129" s="149"/>
      <c r="AL1129" s="149"/>
      <c r="AM1129" s="149"/>
      <c r="AN1129" s="149"/>
      <c r="AO1129" s="149"/>
      <c r="AP1129" s="149"/>
    </row>
    <row r="1130" ht="18.75" customHeight="1">
      <c r="A1130" s="149"/>
      <c r="B1130" s="149"/>
      <c r="C1130" s="304"/>
      <c r="D1130" s="149"/>
      <c r="E1130" s="149"/>
      <c r="F1130" s="149"/>
      <c r="G1130" s="149"/>
      <c r="H1130" s="149"/>
      <c r="I1130" s="149"/>
      <c r="J1130" s="149"/>
      <c r="K1130" s="149"/>
      <c r="L1130" s="149"/>
      <c r="M1130" s="149"/>
      <c r="N1130" s="149"/>
      <c r="O1130" s="149"/>
      <c r="P1130" s="149"/>
      <c r="Q1130" s="149"/>
      <c r="R1130" s="149"/>
      <c r="S1130" s="149"/>
      <c r="T1130" s="149"/>
      <c r="U1130" s="149"/>
      <c r="V1130" s="149"/>
      <c r="W1130" s="149"/>
      <c r="X1130" s="149"/>
      <c r="Y1130" s="149"/>
      <c r="Z1130" s="149"/>
      <c r="AA1130" s="149"/>
      <c r="AB1130" s="149"/>
      <c r="AC1130" s="149"/>
      <c r="AD1130" s="149"/>
      <c r="AE1130" s="149"/>
      <c r="AF1130" s="149"/>
      <c r="AG1130" s="149"/>
      <c r="AH1130" s="149"/>
      <c r="AI1130" s="149"/>
      <c r="AJ1130" s="149"/>
      <c r="AK1130" s="149"/>
      <c r="AL1130" s="149"/>
      <c r="AM1130" s="149"/>
      <c r="AN1130" s="149"/>
      <c r="AO1130" s="149"/>
      <c r="AP1130" s="149"/>
    </row>
    <row r="1131" ht="18.75" customHeight="1">
      <c r="A1131" s="149"/>
      <c r="B1131" s="149"/>
      <c r="C1131" s="304"/>
      <c r="D1131" s="149"/>
      <c r="E1131" s="149"/>
      <c r="F1131" s="149"/>
      <c r="G1131" s="149"/>
      <c r="H1131" s="149"/>
      <c r="I1131" s="149"/>
      <c r="J1131" s="149"/>
      <c r="K1131" s="149"/>
      <c r="L1131" s="149"/>
      <c r="M1131" s="149"/>
      <c r="N1131" s="149"/>
      <c r="O1131" s="149"/>
      <c r="P1131" s="149"/>
      <c r="Q1131" s="149"/>
      <c r="R1131" s="149"/>
      <c r="S1131" s="149"/>
      <c r="T1131" s="149"/>
      <c r="U1131" s="149"/>
      <c r="V1131" s="149"/>
      <c r="W1131" s="149"/>
      <c r="X1131" s="149"/>
      <c r="Y1131" s="149"/>
      <c r="Z1131" s="149"/>
      <c r="AA1131" s="149"/>
      <c r="AB1131" s="149"/>
      <c r="AC1131" s="149"/>
      <c r="AD1131" s="149"/>
      <c r="AE1131" s="149"/>
      <c r="AF1131" s="149"/>
      <c r="AG1131" s="149"/>
      <c r="AH1131" s="149"/>
      <c r="AI1131" s="149"/>
      <c r="AJ1131" s="149"/>
      <c r="AK1131" s="149"/>
      <c r="AL1131" s="149"/>
      <c r="AM1131" s="149"/>
      <c r="AN1131" s="149"/>
      <c r="AO1131" s="149"/>
      <c r="AP1131" s="149"/>
    </row>
    <row r="1132" ht="18.75" customHeight="1">
      <c r="A1132" s="149"/>
      <c r="B1132" s="149"/>
      <c r="C1132" s="304"/>
      <c r="D1132" s="149"/>
      <c r="E1132" s="149"/>
      <c r="F1132" s="149"/>
      <c r="G1132" s="149"/>
      <c r="H1132" s="149"/>
      <c r="I1132" s="149"/>
      <c r="J1132" s="149"/>
      <c r="K1132" s="149"/>
      <c r="L1132" s="149"/>
      <c r="M1132" s="149"/>
      <c r="N1132" s="149"/>
      <c r="O1132" s="149"/>
      <c r="P1132" s="149"/>
      <c r="Q1132" s="149"/>
      <c r="R1132" s="149"/>
      <c r="S1132" s="149"/>
      <c r="T1132" s="149"/>
      <c r="U1132" s="149"/>
      <c r="V1132" s="149"/>
      <c r="W1132" s="149"/>
      <c r="X1132" s="149"/>
      <c r="Y1132" s="149"/>
      <c r="Z1132" s="149"/>
      <c r="AA1132" s="149"/>
      <c r="AB1132" s="149"/>
      <c r="AC1132" s="149"/>
      <c r="AD1132" s="149"/>
      <c r="AE1132" s="149"/>
      <c r="AF1132" s="149"/>
      <c r="AG1132" s="149"/>
      <c r="AH1132" s="149"/>
      <c r="AI1132" s="149"/>
      <c r="AJ1132" s="149"/>
      <c r="AK1132" s="149"/>
      <c r="AL1132" s="149"/>
      <c r="AM1132" s="149"/>
      <c r="AN1132" s="149"/>
      <c r="AO1132" s="149"/>
      <c r="AP1132" s="149"/>
    </row>
    <row r="1133" ht="18.75" customHeight="1">
      <c r="A1133" s="149"/>
      <c r="B1133" s="149"/>
      <c r="C1133" s="304"/>
      <c r="D1133" s="149"/>
      <c r="E1133" s="149"/>
      <c r="F1133" s="149"/>
      <c r="G1133" s="149"/>
      <c r="H1133" s="149"/>
      <c r="I1133" s="149"/>
      <c r="J1133" s="149"/>
      <c r="K1133" s="149"/>
      <c r="L1133" s="149"/>
      <c r="M1133" s="149"/>
      <c r="N1133" s="149"/>
      <c r="O1133" s="149"/>
      <c r="P1133" s="149"/>
      <c r="Q1133" s="149"/>
      <c r="R1133" s="149"/>
      <c r="S1133" s="149"/>
      <c r="T1133" s="149"/>
      <c r="U1133" s="149"/>
      <c r="V1133" s="149"/>
      <c r="W1133" s="149"/>
      <c r="X1133" s="149"/>
      <c r="Y1133" s="149"/>
      <c r="Z1133" s="149"/>
      <c r="AA1133" s="149"/>
      <c r="AB1133" s="149"/>
      <c r="AC1133" s="149"/>
      <c r="AD1133" s="149"/>
      <c r="AE1133" s="149"/>
      <c r="AF1133" s="149"/>
      <c r="AG1133" s="149"/>
      <c r="AH1133" s="149"/>
      <c r="AI1133" s="149"/>
      <c r="AJ1133" s="149"/>
      <c r="AK1133" s="149"/>
      <c r="AL1133" s="149"/>
      <c r="AM1133" s="149"/>
      <c r="AN1133" s="149"/>
      <c r="AO1133" s="149"/>
      <c r="AP1133" s="149"/>
    </row>
    <row r="1134" ht="18.75" customHeight="1">
      <c r="A1134" s="149"/>
      <c r="B1134" s="149"/>
      <c r="C1134" s="304"/>
      <c r="D1134" s="149"/>
      <c r="E1134" s="149"/>
      <c r="F1134" s="149"/>
      <c r="G1134" s="149"/>
      <c r="H1134" s="149"/>
      <c r="I1134" s="149"/>
      <c r="J1134" s="149"/>
      <c r="K1134" s="149"/>
      <c r="L1134" s="149"/>
      <c r="M1134" s="149"/>
      <c r="N1134" s="149"/>
      <c r="O1134" s="149"/>
      <c r="P1134" s="149"/>
      <c r="Q1134" s="149"/>
      <c r="R1134" s="149"/>
      <c r="S1134" s="149"/>
      <c r="T1134" s="149"/>
      <c r="U1134" s="149"/>
      <c r="V1134" s="149"/>
      <c r="W1134" s="149"/>
      <c r="X1134" s="149"/>
      <c r="Y1134" s="149"/>
      <c r="Z1134" s="149"/>
      <c r="AA1134" s="149"/>
      <c r="AB1134" s="149"/>
      <c r="AC1134" s="149"/>
      <c r="AD1134" s="149"/>
      <c r="AE1134" s="149"/>
      <c r="AF1134" s="149"/>
      <c r="AG1134" s="149"/>
      <c r="AH1134" s="149"/>
      <c r="AI1134" s="149"/>
      <c r="AJ1134" s="149"/>
      <c r="AK1134" s="149"/>
      <c r="AL1134" s="149"/>
      <c r="AM1134" s="149"/>
      <c r="AN1134" s="149"/>
      <c r="AO1134" s="149"/>
      <c r="AP1134" s="149"/>
    </row>
    <row r="1135" ht="18.75" customHeight="1">
      <c r="A1135" s="149"/>
      <c r="B1135" s="149"/>
      <c r="C1135" s="304"/>
      <c r="D1135" s="149"/>
      <c r="E1135" s="149"/>
      <c r="F1135" s="149"/>
      <c r="G1135" s="149"/>
      <c r="H1135" s="149"/>
      <c r="I1135" s="149"/>
      <c r="J1135" s="149"/>
      <c r="K1135" s="149"/>
      <c r="L1135" s="149"/>
      <c r="M1135" s="149"/>
      <c r="N1135" s="149"/>
      <c r="O1135" s="149"/>
      <c r="P1135" s="149"/>
      <c r="Q1135" s="149"/>
      <c r="R1135" s="149"/>
      <c r="S1135" s="149"/>
      <c r="T1135" s="149"/>
      <c r="U1135" s="149"/>
      <c r="V1135" s="149"/>
      <c r="W1135" s="149"/>
      <c r="X1135" s="149"/>
      <c r="Y1135" s="149"/>
      <c r="Z1135" s="149"/>
      <c r="AA1135" s="149"/>
      <c r="AB1135" s="149"/>
      <c r="AC1135" s="149"/>
      <c r="AD1135" s="149"/>
      <c r="AE1135" s="149"/>
      <c r="AF1135" s="149"/>
      <c r="AG1135" s="149"/>
      <c r="AH1135" s="149"/>
      <c r="AI1135" s="149"/>
      <c r="AJ1135" s="149"/>
      <c r="AK1135" s="149"/>
      <c r="AL1135" s="149"/>
      <c r="AM1135" s="149"/>
      <c r="AN1135" s="149"/>
      <c r="AO1135" s="149"/>
      <c r="AP1135" s="149"/>
    </row>
    <row r="1136" ht="18.75" customHeight="1">
      <c r="A1136" s="149"/>
      <c r="B1136" s="149"/>
      <c r="C1136" s="304"/>
      <c r="D1136" s="149"/>
      <c r="E1136" s="149"/>
      <c r="F1136" s="149"/>
      <c r="G1136" s="149"/>
      <c r="H1136" s="149"/>
      <c r="I1136" s="149"/>
      <c r="J1136" s="149"/>
      <c r="K1136" s="149"/>
      <c r="L1136" s="149"/>
      <c r="M1136" s="149"/>
      <c r="N1136" s="149"/>
      <c r="O1136" s="149"/>
      <c r="P1136" s="149"/>
      <c r="Q1136" s="149"/>
      <c r="R1136" s="149"/>
      <c r="S1136" s="149"/>
      <c r="T1136" s="149"/>
      <c r="U1136" s="149"/>
      <c r="V1136" s="149"/>
      <c r="W1136" s="149"/>
      <c r="X1136" s="149"/>
      <c r="Y1136" s="149"/>
      <c r="Z1136" s="149"/>
      <c r="AA1136" s="149"/>
      <c r="AB1136" s="149"/>
      <c r="AC1136" s="149"/>
      <c r="AD1136" s="149"/>
      <c r="AE1136" s="149"/>
      <c r="AF1136" s="149"/>
      <c r="AG1136" s="149"/>
      <c r="AH1136" s="149"/>
      <c r="AI1136" s="149"/>
      <c r="AJ1136" s="149"/>
      <c r="AK1136" s="149"/>
      <c r="AL1136" s="149"/>
      <c r="AM1136" s="149"/>
      <c r="AN1136" s="149"/>
      <c r="AO1136" s="149"/>
      <c r="AP1136" s="149"/>
    </row>
    <row r="1137" ht="18.75" customHeight="1">
      <c r="A1137" s="149"/>
      <c r="B1137" s="149"/>
      <c r="C1137" s="304"/>
      <c r="D1137" s="149"/>
      <c r="E1137" s="149"/>
      <c r="F1137" s="149"/>
      <c r="G1137" s="149"/>
      <c r="H1137" s="149"/>
      <c r="I1137" s="149"/>
      <c r="J1137" s="149"/>
      <c r="K1137" s="149"/>
      <c r="L1137" s="149"/>
      <c r="M1137" s="149"/>
      <c r="N1137" s="149"/>
      <c r="O1137" s="149"/>
      <c r="P1137" s="149"/>
      <c r="Q1137" s="149"/>
      <c r="R1137" s="149"/>
      <c r="S1137" s="149"/>
      <c r="T1137" s="149"/>
      <c r="U1137" s="149"/>
      <c r="V1137" s="149"/>
      <c r="W1137" s="149"/>
      <c r="X1137" s="149"/>
      <c r="Y1137" s="149"/>
      <c r="Z1137" s="149"/>
      <c r="AA1137" s="149"/>
      <c r="AB1137" s="149"/>
      <c r="AC1137" s="149"/>
      <c r="AD1137" s="149"/>
      <c r="AE1137" s="149"/>
      <c r="AF1137" s="149"/>
      <c r="AG1137" s="149"/>
      <c r="AH1137" s="149"/>
      <c r="AI1137" s="149"/>
      <c r="AJ1137" s="149"/>
      <c r="AK1137" s="149"/>
      <c r="AL1137" s="149"/>
      <c r="AM1137" s="149"/>
      <c r="AN1137" s="149"/>
      <c r="AO1137" s="149"/>
      <c r="AP1137" s="149"/>
    </row>
    <row r="1138" ht="18.75" customHeight="1">
      <c r="A1138" s="149"/>
      <c r="B1138" s="149"/>
      <c r="C1138" s="304"/>
      <c r="D1138" s="149"/>
      <c r="E1138" s="149"/>
      <c r="F1138" s="149"/>
      <c r="G1138" s="149"/>
      <c r="H1138" s="149"/>
      <c r="I1138" s="149"/>
      <c r="J1138" s="149"/>
      <c r="K1138" s="149"/>
      <c r="L1138" s="149"/>
      <c r="M1138" s="149"/>
      <c r="N1138" s="149"/>
      <c r="O1138" s="149"/>
      <c r="P1138" s="149"/>
      <c r="Q1138" s="149"/>
      <c r="R1138" s="149"/>
      <c r="S1138" s="149"/>
      <c r="T1138" s="149"/>
      <c r="U1138" s="149"/>
      <c r="V1138" s="149"/>
      <c r="W1138" s="149"/>
      <c r="X1138" s="149"/>
      <c r="Y1138" s="149"/>
      <c r="Z1138" s="149"/>
      <c r="AA1138" s="149"/>
      <c r="AB1138" s="149"/>
      <c r="AC1138" s="149"/>
      <c r="AD1138" s="149"/>
      <c r="AE1138" s="149"/>
      <c r="AF1138" s="149"/>
      <c r="AG1138" s="149"/>
      <c r="AH1138" s="149"/>
      <c r="AI1138" s="149"/>
      <c r="AJ1138" s="149"/>
      <c r="AK1138" s="149"/>
      <c r="AL1138" s="149"/>
      <c r="AM1138" s="149"/>
      <c r="AN1138" s="149"/>
      <c r="AO1138" s="149"/>
      <c r="AP1138" s="149"/>
    </row>
    <row r="1139" ht="18.75" customHeight="1">
      <c r="A1139" s="149"/>
      <c r="B1139" s="149"/>
      <c r="C1139" s="304"/>
      <c r="D1139" s="149"/>
      <c r="E1139" s="149"/>
      <c r="F1139" s="149"/>
      <c r="G1139" s="149"/>
      <c r="H1139" s="149"/>
      <c r="I1139" s="149"/>
      <c r="J1139" s="149"/>
      <c r="K1139" s="149"/>
      <c r="L1139" s="149"/>
      <c r="M1139" s="149"/>
      <c r="N1139" s="149"/>
      <c r="O1139" s="149"/>
      <c r="P1139" s="149"/>
      <c r="Q1139" s="149"/>
      <c r="R1139" s="149"/>
      <c r="S1139" s="149"/>
      <c r="T1139" s="149"/>
      <c r="U1139" s="149"/>
      <c r="V1139" s="149"/>
      <c r="W1139" s="149"/>
      <c r="X1139" s="149"/>
      <c r="Y1139" s="149"/>
      <c r="Z1139" s="149"/>
      <c r="AA1139" s="149"/>
      <c r="AB1139" s="149"/>
      <c r="AC1139" s="149"/>
      <c r="AD1139" s="149"/>
      <c r="AE1139" s="149"/>
      <c r="AF1139" s="149"/>
      <c r="AG1139" s="149"/>
      <c r="AH1139" s="149"/>
      <c r="AI1139" s="149"/>
      <c r="AJ1139" s="149"/>
      <c r="AK1139" s="149"/>
      <c r="AL1139" s="149"/>
      <c r="AM1139" s="149"/>
      <c r="AN1139" s="149"/>
      <c r="AO1139" s="149"/>
      <c r="AP1139" s="149"/>
    </row>
    <row r="1140" ht="18.75" customHeight="1">
      <c r="A1140" s="149"/>
      <c r="B1140" s="149"/>
      <c r="C1140" s="304"/>
      <c r="D1140" s="149"/>
      <c r="E1140" s="149"/>
      <c r="F1140" s="149"/>
      <c r="G1140" s="149"/>
      <c r="H1140" s="149"/>
      <c r="I1140" s="149"/>
      <c r="J1140" s="149"/>
      <c r="K1140" s="149"/>
      <c r="L1140" s="149"/>
      <c r="M1140" s="149"/>
      <c r="N1140" s="149"/>
      <c r="O1140" s="149"/>
      <c r="P1140" s="149"/>
      <c r="Q1140" s="149"/>
      <c r="R1140" s="149"/>
      <c r="S1140" s="149"/>
      <c r="T1140" s="149"/>
      <c r="U1140" s="149"/>
      <c r="V1140" s="149"/>
      <c r="W1140" s="149"/>
      <c r="X1140" s="149"/>
      <c r="Y1140" s="149"/>
      <c r="Z1140" s="149"/>
      <c r="AA1140" s="149"/>
      <c r="AB1140" s="149"/>
      <c r="AC1140" s="149"/>
      <c r="AD1140" s="149"/>
      <c r="AE1140" s="149"/>
      <c r="AF1140" s="149"/>
      <c r="AG1140" s="149"/>
      <c r="AH1140" s="149"/>
      <c r="AI1140" s="149"/>
      <c r="AJ1140" s="149"/>
      <c r="AK1140" s="149"/>
      <c r="AL1140" s="149"/>
      <c r="AM1140" s="149"/>
      <c r="AN1140" s="149"/>
      <c r="AO1140" s="149"/>
      <c r="AP1140" s="149"/>
    </row>
    <row r="1141" ht="18.75" customHeight="1">
      <c r="A1141" s="149"/>
      <c r="B1141" s="149"/>
      <c r="C1141" s="304"/>
      <c r="D1141" s="149"/>
      <c r="E1141" s="149"/>
      <c r="F1141" s="149"/>
      <c r="G1141" s="149"/>
      <c r="H1141" s="149"/>
      <c r="I1141" s="149"/>
      <c r="J1141" s="149"/>
      <c r="K1141" s="149"/>
      <c r="L1141" s="149"/>
      <c r="M1141" s="149"/>
      <c r="N1141" s="149"/>
      <c r="O1141" s="149"/>
      <c r="P1141" s="149"/>
      <c r="Q1141" s="149"/>
      <c r="R1141" s="149"/>
      <c r="S1141" s="149"/>
      <c r="T1141" s="149"/>
      <c r="U1141" s="149"/>
      <c r="V1141" s="149"/>
      <c r="W1141" s="149"/>
      <c r="X1141" s="149"/>
      <c r="Y1141" s="149"/>
      <c r="Z1141" s="149"/>
      <c r="AA1141" s="149"/>
      <c r="AB1141" s="149"/>
      <c r="AC1141" s="149"/>
      <c r="AD1141" s="149"/>
      <c r="AE1141" s="149"/>
      <c r="AF1141" s="149"/>
      <c r="AG1141" s="149"/>
      <c r="AH1141" s="149"/>
      <c r="AI1141" s="149"/>
      <c r="AJ1141" s="149"/>
      <c r="AK1141" s="149"/>
      <c r="AL1141" s="149"/>
      <c r="AM1141" s="149"/>
      <c r="AN1141" s="149"/>
      <c r="AO1141" s="149"/>
      <c r="AP1141" s="149"/>
    </row>
    <row r="1142" ht="18.75" customHeight="1">
      <c r="A1142" s="149"/>
      <c r="B1142" s="149"/>
      <c r="C1142" s="304"/>
      <c r="D1142" s="149"/>
      <c r="E1142" s="149"/>
      <c r="F1142" s="149"/>
      <c r="G1142" s="149"/>
      <c r="H1142" s="149"/>
      <c r="I1142" s="149"/>
      <c r="J1142" s="149"/>
      <c r="K1142" s="149"/>
      <c r="L1142" s="149"/>
      <c r="M1142" s="149"/>
      <c r="N1142" s="149"/>
      <c r="O1142" s="149"/>
      <c r="P1142" s="149"/>
      <c r="Q1142" s="149"/>
      <c r="R1142" s="149"/>
      <c r="S1142" s="149"/>
      <c r="T1142" s="149"/>
      <c r="U1142" s="149"/>
      <c r="V1142" s="149"/>
      <c r="W1142" s="149"/>
      <c r="X1142" s="149"/>
      <c r="Y1142" s="149"/>
      <c r="Z1142" s="149"/>
      <c r="AA1142" s="149"/>
      <c r="AB1142" s="149"/>
      <c r="AC1142" s="149"/>
      <c r="AD1142" s="149"/>
      <c r="AE1142" s="149"/>
      <c r="AF1142" s="149"/>
      <c r="AG1142" s="149"/>
      <c r="AH1142" s="149"/>
      <c r="AI1142" s="149"/>
      <c r="AJ1142" s="149"/>
      <c r="AK1142" s="149"/>
      <c r="AL1142" s="149"/>
      <c r="AM1142" s="149"/>
      <c r="AN1142" s="149"/>
      <c r="AO1142" s="149"/>
      <c r="AP1142" s="149"/>
    </row>
    <row r="1143" ht="18.75" customHeight="1">
      <c r="A1143" s="149"/>
      <c r="B1143" s="149"/>
      <c r="C1143" s="304"/>
      <c r="D1143" s="149"/>
      <c r="E1143" s="149"/>
      <c r="F1143" s="149"/>
      <c r="G1143" s="149"/>
      <c r="H1143" s="149"/>
      <c r="I1143" s="149"/>
      <c r="J1143" s="149"/>
      <c r="K1143" s="149"/>
      <c r="L1143" s="149"/>
      <c r="M1143" s="149"/>
      <c r="N1143" s="149"/>
      <c r="O1143" s="149"/>
      <c r="P1143" s="149"/>
      <c r="Q1143" s="149"/>
      <c r="R1143" s="149"/>
      <c r="S1143" s="149"/>
      <c r="T1143" s="149"/>
      <c r="U1143" s="149"/>
      <c r="V1143" s="149"/>
      <c r="W1143" s="149"/>
      <c r="X1143" s="149"/>
      <c r="Y1143" s="149"/>
      <c r="Z1143" s="149"/>
      <c r="AA1143" s="149"/>
      <c r="AB1143" s="149"/>
      <c r="AC1143" s="149"/>
      <c r="AD1143" s="149"/>
      <c r="AE1143" s="149"/>
      <c r="AF1143" s="149"/>
      <c r="AG1143" s="149"/>
      <c r="AH1143" s="149"/>
      <c r="AI1143" s="149"/>
      <c r="AJ1143" s="149"/>
      <c r="AK1143" s="149"/>
      <c r="AL1143" s="149"/>
      <c r="AM1143" s="149"/>
      <c r="AN1143" s="149"/>
      <c r="AO1143" s="149"/>
      <c r="AP1143" s="149"/>
    </row>
    <row r="1144" ht="18.75" customHeight="1">
      <c r="A1144" s="149"/>
      <c r="B1144" s="149"/>
      <c r="C1144" s="304"/>
      <c r="D1144" s="149"/>
      <c r="E1144" s="149"/>
      <c r="F1144" s="149"/>
      <c r="G1144" s="149"/>
      <c r="H1144" s="149"/>
      <c r="I1144" s="149"/>
      <c r="J1144" s="149"/>
      <c r="K1144" s="149"/>
      <c r="L1144" s="149"/>
      <c r="M1144" s="149"/>
      <c r="N1144" s="149"/>
      <c r="O1144" s="149"/>
      <c r="P1144" s="149"/>
      <c r="Q1144" s="149"/>
      <c r="R1144" s="149"/>
      <c r="S1144" s="149"/>
      <c r="T1144" s="149"/>
      <c r="U1144" s="149"/>
      <c r="V1144" s="149"/>
      <c r="W1144" s="149"/>
      <c r="X1144" s="149"/>
      <c r="Y1144" s="149"/>
      <c r="Z1144" s="149"/>
      <c r="AA1144" s="149"/>
      <c r="AB1144" s="149"/>
      <c r="AC1144" s="149"/>
      <c r="AD1144" s="149"/>
      <c r="AE1144" s="149"/>
      <c r="AF1144" s="149"/>
      <c r="AG1144" s="149"/>
      <c r="AH1144" s="149"/>
      <c r="AI1144" s="149"/>
      <c r="AJ1144" s="149"/>
      <c r="AK1144" s="149"/>
      <c r="AL1144" s="149"/>
      <c r="AM1144" s="149"/>
      <c r="AN1144" s="149"/>
      <c r="AO1144" s="149"/>
      <c r="AP1144" s="149"/>
    </row>
    <row r="1145" ht="18.75" customHeight="1">
      <c r="A1145" s="149"/>
      <c r="B1145" s="149"/>
      <c r="C1145" s="304"/>
      <c r="D1145" s="149"/>
      <c r="E1145" s="149"/>
      <c r="F1145" s="149"/>
      <c r="G1145" s="149"/>
      <c r="H1145" s="149"/>
      <c r="I1145" s="149"/>
      <c r="J1145" s="149"/>
      <c r="K1145" s="149"/>
      <c r="L1145" s="149"/>
      <c r="M1145" s="149"/>
      <c r="N1145" s="149"/>
      <c r="O1145" s="149"/>
      <c r="P1145" s="149"/>
      <c r="Q1145" s="149"/>
      <c r="R1145" s="149"/>
      <c r="S1145" s="149"/>
      <c r="T1145" s="149"/>
      <c r="U1145" s="149"/>
      <c r="V1145" s="149"/>
      <c r="W1145" s="149"/>
      <c r="X1145" s="149"/>
      <c r="Y1145" s="149"/>
      <c r="Z1145" s="149"/>
      <c r="AA1145" s="149"/>
      <c r="AB1145" s="149"/>
      <c r="AC1145" s="149"/>
      <c r="AD1145" s="149"/>
      <c r="AE1145" s="149"/>
      <c r="AF1145" s="149"/>
      <c r="AG1145" s="149"/>
      <c r="AH1145" s="149"/>
      <c r="AI1145" s="149"/>
      <c r="AJ1145" s="149"/>
      <c r="AK1145" s="149"/>
      <c r="AL1145" s="149"/>
      <c r="AM1145" s="149"/>
      <c r="AN1145" s="149"/>
      <c r="AO1145" s="149"/>
      <c r="AP1145" s="149"/>
    </row>
    <row r="1146" ht="18.75" customHeight="1">
      <c r="A1146" s="149"/>
      <c r="B1146" s="149"/>
      <c r="C1146" s="304"/>
      <c r="D1146" s="149"/>
      <c r="E1146" s="149"/>
      <c r="F1146" s="149"/>
      <c r="G1146" s="149"/>
      <c r="H1146" s="149"/>
      <c r="I1146" s="149"/>
      <c r="J1146" s="149"/>
      <c r="K1146" s="149"/>
      <c r="L1146" s="149"/>
      <c r="M1146" s="149"/>
      <c r="N1146" s="149"/>
      <c r="O1146" s="149"/>
      <c r="P1146" s="149"/>
      <c r="Q1146" s="149"/>
      <c r="R1146" s="149"/>
      <c r="S1146" s="149"/>
      <c r="T1146" s="149"/>
      <c r="U1146" s="149"/>
      <c r="V1146" s="149"/>
      <c r="W1146" s="149"/>
      <c r="X1146" s="149"/>
      <c r="Y1146" s="149"/>
      <c r="Z1146" s="149"/>
      <c r="AA1146" s="149"/>
      <c r="AB1146" s="149"/>
      <c r="AC1146" s="149"/>
      <c r="AD1146" s="149"/>
      <c r="AE1146" s="149"/>
      <c r="AF1146" s="149"/>
      <c r="AG1146" s="149"/>
      <c r="AH1146" s="149"/>
      <c r="AI1146" s="149"/>
      <c r="AJ1146" s="149"/>
      <c r="AK1146" s="149"/>
      <c r="AL1146" s="149"/>
      <c r="AM1146" s="149"/>
      <c r="AN1146" s="149"/>
      <c r="AO1146" s="149"/>
      <c r="AP1146" s="149"/>
    </row>
    <row r="1147" ht="18.75" customHeight="1">
      <c r="A1147" s="149"/>
      <c r="B1147" s="149"/>
      <c r="C1147" s="304"/>
      <c r="D1147" s="149"/>
      <c r="E1147" s="149"/>
      <c r="F1147" s="149"/>
      <c r="G1147" s="149"/>
      <c r="H1147" s="149"/>
      <c r="I1147" s="149"/>
      <c r="J1147" s="149"/>
      <c r="K1147" s="149"/>
      <c r="L1147" s="149"/>
      <c r="M1147" s="149"/>
      <c r="N1147" s="149"/>
      <c r="O1147" s="149"/>
      <c r="P1147" s="149"/>
      <c r="Q1147" s="149"/>
      <c r="R1147" s="149"/>
      <c r="S1147" s="149"/>
      <c r="T1147" s="149"/>
      <c r="U1147" s="149"/>
      <c r="V1147" s="149"/>
      <c r="W1147" s="149"/>
      <c r="X1147" s="149"/>
      <c r="Y1147" s="149"/>
      <c r="Z1147" s="149"/>
      <c r="AA1147" s="149"/>
      <c r="AB1147" s="149"/>
      <c r="AC1147" s="149"/>
      <c r="AD1147" s="149"/>
      <c r="AE1147" s="149"/>
      <c r="AF1147" s="149"/>
      <c r="AG1147" s="149"/>
      <c r="AH1147" s="149"/>
      <c r="AI1147" s="149"/>
      <c r="AJ1147" s="149"/>
      <c r="AK1147" s="149"/>
      <c r="AL1147" s="149"/>
      <c r="AM1147" s="149"/>
      <c r="AN1147" s="149"/>
      <c r="AO1147" s="149"/>
      <c r="AP1147" s="149"/>
    </row>
    <row r="1148" ht="18.75" customHeight="1">
      <c r="A1148" s="149"/>
      <c r="B1148" s="149"/>
      <c r="C1148" s="304"/>
      <c r="D1148" s="149"/>
      <c r="E1148" s="149"/>
      <c r="F1148" s="149"/>
      <c r="G1148" s="149"/>
      <c r="H1148" s="149"/>
      <c r="I1148" s="149"/>
      <c r="J1148" s="149"/>
      <c r="K1148" s="149"/>
      <c r="L1148" s="149"/>
      <c r="M1148" s="149"/>
      <c r="N1148" s="149"/>
      <c r="O1148" s="149"/>
      <c r="P1148" s="149"/>
      <c r="Q1148" s="149"/>
      <c r="R1148" s="149"/>
      <c r="S1148" s="149"/>
      <c r="T1148" s="149"/>
      <c r="U1148" s="149"/>
      <c r="V1148" s="149"/>
      <c r="W1148" s="149"/>
      <c r="X1148" s="149"/>
      <c r="Y1148" s="149"/>
      <c r="Z1148" s="149"/>
      <c r="AA1148" s="149"/>
      <c r="AB1148" s="149"/>
      <c r="AC1148" s="149"/>
      <c r="AD1148" s="149"/>
      <c r="AE1148" s="149"/>
      <c r="AF1148" s="149"/>
      <c r="AG1148" s="149"/>
      <c r="AH1148" s="149"/>
      <c r="AI1148" s="149"/>
      <c r="AJ1148" s="149"/>
      <c r="AK1148" s="149"/>
      <c r="AL1148" s="149"/>
      <c r="AM1148" s="149"/>
      <c r="AN1148" s="149"/>
      <c r="AO1148" s="149"/>
      <c r="AP1148" s="149"/>
    </row>
    <row r="1149" ht="18.75" customHeight="1">
      <c r="A1149" s="149"/>
      <c r="B1149" s="149"/>
      <c r="C1149" s="304"/>
      <c r="D1149" s="149"/>
      <c r="E1149" s="149"/>
      <c r="F1149" s="149"/>
      <c r="G1149" s="149"/>
      <c r="H1149" s="149"/>
      <c r="I1149" s="149"/>
      <c r="J1149" s="149"/>
      <c r="K1149" s="149"/>
      <c r="L1149" s="149"/>
      <c r="M1149" s="149"/>
      <c r="N1149" s="149"/>
      <c r="O1149" s="149"/>
      <c r="P1149" s="149"/>
      <c r="Q1149" s="149"/>
      <c r="R1149" s="149"/>
      <c r="S1149" s="149"/>
      <c r="T1149" s="149"/>
      <c r="U1149" s="149"/>
      <c r="V1149" s="149"/>
      <c r="W1149" s="149"/>
      <c r="X1149" s="149"/>
      <c r="Y1149" s="149"/>
      <c r="Z1149" s="149"/>
      <c r="AA1149" s="149"/>
      <c r="AB1149" s="149"/>
      <c r="AC1149" s="149"/>
      <c r="AD1149" s="149"/>
      <c r="AE1149" s="149"/>
      <c r="AF1149" s="149"/>
      <c r="AG1149" s="149"/>
      <c r="AH1149" s="149"/>
      <c r="AI1149" s="149"/>
      <c r="AJ1149" s="149"/>
      <c r="AK1149" s="149"/>
      <c r="AL1149" s="149"/>
      <c r="AM1149" s="149"/>
      <c r="AN1149" s="149"/>
      <c r="AO1149" s="149"/>
      <c r="AP1149" s="149"/>
    </row>
    <row r="1150" ht="18.75" customHeight="1">
      <c r="A1150" s="149"/>
      <c r="B1150" s="149"/>
      <c r="C1150" s="304"/>
      <c r="D1150" s="149"/>
      <c r="E1150" s="149"/>
      <c r="F1150" s="149"/>
      <c r="G1150" s="149"/>
      <c r="H1150" s="149"/>
      <c r="I1150" s="149"/>
      <c r="J1150" s="149"/>
      <c r="K1150" s="149"/>
      <c r="L1150" s="149"/>
      <c r="M1150" s="149"/>
      <c r="N1150" s="149"/>
      <c r="O1150" s="149"/>
      <c r="P1150" s="149"/>
      <c r="Q1150" s="149"/>
      <c r="R1150" s="149"/>
      <c r="S1150" s="149"/>
      <c r="T1150" s="149"/>
      <c r="U1150" s="149"/>
      <c r="V1150" s="149"/>
      <c r="W1150" s="149"/>
      <c r="X1150" s="149"/>
      <c r="Y1150" s="149"/>
      <c r="Z1150" s="149"/>
      <c r="AA1150" s="149"/>
      <c r="AB1150" s="149"/>
      <c r="AC1150" s="149"/>
      <c r="AD1150" s="149"/>
      <c r="AE1150" s="149"/>
      <c r="AF1150" s="149"/>
      <c r="AG1150" s="149"/>
      <c r="AH1150" s="149"/>
      <c r="AI1150" s="149"/>
      <c r="AJ1150" s="149"/>
      <c r="AK1150" s="149"/>
      <c r="AL1150" s="149"/>
      <c r="AM1150" s="149"/>
      <c r="AN1150" s="149"/>
      <c r="AO1150" s="149"/>
      <c r="AP1150" s="149"/>
    </row>
    <row r="1151" ht="18.75" customHeight="1">
      <c r="A1151" s="149"/>
      <c r="B1151" s="149"/>
      <c r="C1151" s="304"/>
      <c r="D1151" s="149"/>
      <c r="E1151" s="149"/>
      <c r="F1151" s="149"/>
      <c r="G1151" s="149"/>
      <c r="H1151" s="149"/>
      <c r="I1151" s="149"/>
      <c r="J1151" s="149"/>
      <c r="K1151" s="149"/>
      <c r="L1151" s="149"/>
      <c r="M1151" s="149"/>
      <c r="N1151" s="149"/>
      <c r="O1151" s="149"/>
      <c r="P1151" s="149"/>
      <c r="Q1151" s="149"/>
      <c r="R1151" s="149"/>
      <c r="S1151" s="149"/>
      <c r="T1151" s="149"/>
      <c r="U1151" s="149"/>
      <c r="V1151" s="149"/>
      <c r="W1151" s="149"/>
      <c r="X1151" s="149"/>
      <c r="Y1151" s="149"/>
      <c r="Z1151" s="149"/>
      <c r="AA1151" s="149"/>
      <c r="AB1151" s="149"/>
      <c r="AC1151" s="149"/>
      <c r="AD1151" s="149"/>
      <c r="AE1151" s="149"/>
      <c r="AF1151" s="149"/>
      <c r="AG1151" s="149"/>
      <c r="AH1151" s="149"/>
      <c r="AI1151" s="149"/>
      <c r="AJ1151" s="149"/>
      <c r="AK1151" s="149"/>
      <c r="AL1151" s="149"/>
      <c r="AM1151" s="149"/>
      <c r="AN1151" s="149"/>
      <c r="AO1151" s="149"/>
      <c r="AP1151" s="149"/>
    </row>
    <row r="1152" ht="18.75" customHeight="1">
      <c r="A1152" s="149"/>
      <c r="B1152" s="149"/>
      <c r="C1152" s="304"/>
      <c r="D1152" s="149"/>
      <c r="E1152" s="149"/>
      <c r="F1152" s="149"/>
      <c r="G1152" s="149"/>
      <c r="H1152" s="149"/>
      <c r="I1152" s="149"/>
      <c r="J1152" s="149"/>
      <c r="K1152" s="149"/>
      <c r="L1152" s="149"/>
      <c r="M1152" s="149"/>
      <c r="N1152" s="149"/>
      <c r="O1152" s="149"/>
      <c r="P1152" s="149"/>
      <c r="Q1152" s="149"/>
      <c r="R1152" s="149"/>
      <c r="S1152" s="149"/>
      <c r="T1152" s="149"/>
      <c r="U1152" s="149"/>
      <c r="V1152" s="149"/>
      <c r="W1152" s="149"/>
      <c r="X1152" s="149"/>
      <c r="Y1152" s="149"/>
      <c r="Z1152" s="149"/>
      <c r="AA1152" s="149"/>
      <c r="AB1152" s="149"/>
      <c r="AC1152" s="149"/>
      <c r="AD1152" s="149"/>
      <c r="AE1152" s="149"/>
      <c r="AF1152" s="149"/>
      <c r="AG1152" s="149"/>
      <c r="AH1152" s="149"/>
      <c r="AI1152" s="149"/>
      <c r="AJ1152" s="149"/>
      <c r="AK1152" s="149"/>
      <c r="AL1152" s="149"/>
      <c r="AM1152" s="149"/>
      <c r="AN1152" s="149"/>
      <c r="AO1152" s="149"/>
      <c r="AP1152" s="149"/>
    </row>
    <row r="1153" ht="18.75" customHeight="1">
      <c r="A1153" s="149"/>
      <c r="B1153" s="149"/>
      <c r="C1153" s="304"/>
      <c r="D1153" s="149"/>
      <c r="E1153" s="149"/>
      <c r="F1153" s="149"/>
      <c r="G1153" s="149"/>
      <c r="H1153" s="149"/>
      <c r="I1153" s="149"/>
      <c r="J1153" s="149"/>
      <c r="K1153" s="149"/>
      <c r="L1153" s="149"/>
      <c r="M1153" s="149"/>
      <c r="N1153" s="149"/>
      <c r="O1153" s="149"/>
      <c r="P1153" s="149"/>
      <c r="Q1153" s="149"/>
      <c r="R1153" s="149"/>
      <c r="S1153" s="149"/>
      <c r="T1153" s="149"/>
      <c r="U1153" s="149"/>
      <c r="V1153" s="149"/>
      <c r="W1153" s="149"/>
      <c r="X1153" s="149"/>
      <c r="Y1153" s="149"/>
      <c r="Z1153" s="149"/>
      <c r="AA1153" s="149"/>
      <c r="AB1153" s="149"/>
      <c r="AC1153" s="149"/>
      <c r="AD1153" s="149"/>
      <c r="AE1153" s="149"/>
      <c r="AF1153" s="149"/>
      <c r="AG1153" s="149"/>
      <c r="AH1153" s="149"/>
      <c r="AI1153" s="149"/>
      <c r="AJ1153" s="149"/>
      <c r="AK1153" s="149"/>
      <c r="AL1153" s="149"/>
      <c r="AM1153" s="149"/>
      <c r="AN1153" s="149"/>
      <c r="AO1153" s="149"/>
      <c r="AP1153" s="149"/>
    </row>
    <row r="1154" ht="18.75" customHeight="1">
      <c r="A1154" s="149"/>
      <c r="B1154" s="149"/>
      <c r="C1154" s="304"/>
      <c r="D1154" s="149"/>
      <c r="E1154" s="149"/>
      <c r="F1154" s="149"/>
      <c r="G1154" s="149"/>
      <c r="H1154" s="149"/>
      <c r="I1154" s="149"/>
      <c r="J1154" s="149"/>
      <c r="K1154" s="149"/>
      <c r="L1154" s="149"/>
      <c r="M1154" s="149"/>
      <c r="N1154" s="149"/>
      <c r="O1154" s="149"/>
      <c r="P1154" s="149"/>
      <c r="Q1154" s="149"/>
      <c r="R1154" s="149"/>
      <c r="S1154" s="149"/>
      <c r="T1154" s="149"/>
      <c r="U1154" s="149"/>
      <c r="V1154" s="149"/>
      <c r="W1154" s="149"/>
      <c r="X1154" s="149"/>
      <c r="Y1154" s="149"/>
      <c r="Z1154" s="149"/>
      <c r="AA1154" s="149"/>
      <c r="AB1154" s="149"/>
      <c r="AC1154" s="149"/>
      <c r="AD1154" s="149"/>
      <c r="AE1154" s="149"/>
      <c r="AF1154" s="149"/>
      <c r="AG1154" s="149"/>
      <c r="AH1154" s="149"/>
      <c r="AI1154" s="149"/>
      <c r="AJ1154" s="149"/>
      <c r="AK1154" s="149"/>
      <c r="AL1154" s="149"/>
      <c r="AM1154" s="149"/>
      <c r="AN1154" s="149"/>
      <c r="AO1154" s="149"/>
      <c r="AP1154" s="149"/>
    </row>
    <row r="1155" ht="18.75" customHeight="1">
      <c r="A1155" s="149"/>
      <c r="B1155" s="149"/>
      <c r="C1155" s="304"/>
      <c r="D1155" s="149"/>
      <c r="E1155" s="149"/>
      <c r="F1155" s="149"/>
      <c r="G1155" s="149"/>
      <c r="H1155" s="149"/>
      <c r="I1155" s="149"/>
      <c r="J1155" s="149"/>
      <c r="K1155" s="149"/>
      <c r="L1155" s="149"/>
      <c r="M1155" s="149"/>
      <c r="N1155" s="149"/>
      <c r="O1155" s="149"/>
      <c r="P1155" s="149"/>
      <c r="Q1155" s="149"/>
      <c r="R1155" s="149"/>
      <c r="S1155" s="149"/>
      <c r="T1155" s="149"/>
      <c r="U1155" s="149"/>
      <c r="V1155" s="149"/>
      <c r="W1155" s="149"/>
      <c r="X1155" s="149"/>
      <c r="Y1155" s="149"/>
      <c r="Z1155" s="149"/>
      <c r="AA1155" s="149"/>
      <c r="AB1155" s="149"/>
      <c r="AC1155" s="149"/>
      <c r="AD1155" s="149"/>
      <c r="AE1155" s="149"/>
      <c r="AF1155" s="149"/>
      <c r="AG1155" s="149"/>
      <c r="AH1155" s="149"/>
      <c r="AI1155" s="149"/>
      <c r="AJ1155" s="149"/>
      <c r="AK1155" s="149"/>
      <c r="AL1155" s="149"/>
      <c r="AM1155" s="149"/>
      <c r="AN1155" s="149"/>
      <c r="AO1155" s="149"/>
      <c r="AP1155" s="149"/>
    </row>
    <row r="1156" ht="18.75" customHeight="1">
      <c r="A1156" s="149"/>
      <c r="B1156" s="149"/>
      <c r="C1156" s="304"/>
      <c r="D1156" s="149"/>
      <c r="E1156" s="149"/>
      <c r="F1156" s="149"/>
      <c r="G1156" s="149"/>
      <c r="H1156" s="149"/>
      <c r="I1156" s="149"/>
      <c r="J1156" s="149"/>
      <c r="K1156" s="149"/>
      <c r="L1156" s="149"/>
      <c r="M1156" s="149"/>
      <c r="N1156" s="149"/>
      <c r="O1156" s="149"/>
      <c r="P1156" s="149"/>
      <c r="Q1156" s="149"/>
      <c r="R1156" s="149"/>
      <c r="S1156" s="149"/>
      <c r="T1156" s="149"/>
      <c r="U1156" s="149"/>
      <c r="V1156" s="149"/>
      <c r="W1156" s="149"/>
      <c r="X1156" s="149"/>
      <c r="Y1156" s="149"/>
      <c r="Z1156" s="149"/>
      <c r="AA1156" s="149"/>
      <c r="AB1156" s="149"/>
      <c r="AC1156" s="149"/>
      <c r="AD1156" s="149"/>
      <c r="AE1156" s="149"/>
      <c r="AF1156" s="149"/>
      <c r="AG1156" s="149"/>
      <c r="AH1156" s="149"/>
      <c r="AI1156" s="149"/>
      <c r="AJ1156" s="149"/>
      <c r="AK1156" s="149"/>
      <c r="AL1156" s="149"/>
      <c r="AM1156" s="149"/>
      <c r="AN1156" s="149"/>
      <c r="AO1156" s="149"/>
      <c r="AP1156" s="149"/>
    </row>
    <row r="1157" ht="18.75" customHeight="1">
      <c r="A1157" s="149"/>
      <c r="B1157" s="149"/>
      <c r="C1157" s="304"/>
      <c r="D1157" s="149"/>
      <c r="E1157" s="149"/>
      <c r="F1157" s="149"/>
      <c r="G1157" s="149"/>
      <c r="H1157" s="149"/>
      <c r="I1157" s="149"/>
      <c r="J1157" s="149"/>
      <c r="K1157" s="149"/>
      <c r="L1157" s="149"/>
      <c r="M1157" s="149"/>
      <c r="N1157" s="149"/>
      <c r="O1157" s="149"/>
      <c r="P1157" s="149"/>
      <c r="Q1157" s="149"/>
      <c r="R1157" s="149"/>
      <c r="S1157" s="149"/>
      <c r="T1157" s="149"/>
      <c r="U1157" s="149"/>
      <c r="V1157" s="149"/>
      <c r="W1157" s="149"/>
      <c r="X1157" s="149"/>
      <c r="Y1157" s="149"/>
      <c r="Z1157" s="149"/>
      <c r="AA1157" s="149"/>
      <c r="AB1157" s="149"/>
      <c r="AC1157" s="149"/>
      <c r="AD1157" s="149"/>
      <c r="AE1157" s="149"/>
      <c r="AF1157" s="149"/>
      <c r="AG1157" s="149"/>
      <c r="AH1157" s="149"/>
      <c r="AI1157" s="149"/>
      <c r="AJ1157" s="149"/>
      <c r="AK1157" s="149"/>
      <c r="AL1157" s="149"/>
      <c r="AM1157" s="149"/>
      <c r="AN1157" s="149"/>
      <c r="AO1157" s="149"/>
      <c r="AP1157" s="149"/>
    </row>
    <row r="1158" ht="18.75" customHeight="1">
      <c r="A1158" s="149"/>
      <c r="B1158" s="149"/>
      <c r="C1158" s="304"/>
      <c r="D1158" s="149"/>
      <c r="E1158" s="149"/>
      <c r="F1158" s="149"/>
      <c r="G1158" s="149"/>
      <c r="H1158" s="149"/>
      <c r="I1158" s="149"/>
      <c r="J1158" s="149"/>
      <c r="K1158" s="149"/>
      <c r="L1158" s="149"/>
      <c r="M1158" s="149"/>
      <c r="N1158" s="149"/>
      <c r="O1158" s="149"/>
      <c r="P1158" s="149"/>
      <c r="Q1158" s="149"/>
      <c r="R1158" s="149"/>
      <c r="S1158" s="149"/>
      <c r="T1158" s="149"/>
      <c r="U1158" s="149"/>
      <c r="V1158" s="149"/>
      <c r="W1158" s="149"/>
      <c r="X1158" s="149"/>
      <c r="Y1158" s="149"/>
      <c r="Z1158" s="149"/>
      <c r="AA1158" s="149"/>
      <c r="AB1158" s="149"/>
      <c r="AC1158" s="149"/>
      <c r="AD1158" s="149"/>
      <c r="AE1158" s="149"/>
      <c r="AF1158" s="149"/>
      <c r="AG1158" s="149"/>
      <c r="AH1158" s="149"/>
      <c r="AI1158" s="149"/>
      <c r="AJ1158" s="149"/>
      <c r="AK1158" s="149"/>
      <c r="AL1158" s="149"/>
      <c r="AM1158" s="149"/>
      <c r="AN1158" s="149"/>
      <c r="AO1158" s="149"/>
      <c r="AP1158" s="149"/>
    </row>
    <row r="1159" ht="18.75" customHeight="1">
      <c r="A1159" s="149"/>
      <c r="B1159" s="149"/>
      <c r="C1159" s="304"/>
      <c r="D1159" s="149"/>
      <c r="E1159" s="149"/>
      <c r="F1159" s="149"/>
      <c r="G1159" s="149"/>
      <c r="H1159" s="149"/>
      <c r="I1159" s="149"/>
      <c r="J1159" s="149"/>
      <c r="K1159" s="149"/>
      <c r="L1159" s="149"/>
      <c r="M1159" s="149"/>
      <c r="N1159" s="149"/>
      <c r="O1159" s="149"/>
      <c r="P1159" s="149"/>
      <c r="Q1159" s="149"/>
      <c r="R1159" s="149"/>
      <c r="S1159" s="149"/>
      <c r="T1159" s="149"/>
      <c r="U1159" s="149"/>
      <c r="V1159" s="149"/>
      <c r="W1159" s="149"/>
      <c r="X1159" s="149"/>
      <c r="Y1159" s="149"/>
      <c r="Z1159" s="149"/>
      <c r="AA1159" s="149"/>
      <c r="AB1159" s="149"/>
      <c r="AC1159" s="149"/>
      <c r="AD1159" s="149"/>
      <c r="AE1159" s="149"/>
      <c r="AF1159" s="149"/>
      <c r="AG1159" s="149"/>
      <c r="AH1159" s="149"/>
      <c r="AI1159" s="149"/>
      <c r="AJ1159" s="149"/>
      <c r="AK1159" s="149"/>
      <c r="AL1159" s="149"/>
      <c r="AM1159" s="149"/>
      <c r="AN1159" s="149"/>
      <c r="AO1159" s="149"/>
      <c r="AP1159" s="149"/>
    </row>
    <row r="1160" ht="18.75" customHeight="1">
      <c r="A1160" s="149"/>
      <c r="B1160" s="149"/>
      <c r="C1160" s="304"/>
      <c r="D1160" s="149"/>
      <c r="E1160" s="149"/>
      <c r="F1160" s="149"/>
      <c r="G1160" s="149"/>
      <c r="H1160" s="149"/>
      <c r="I1160" s="149"/>
      <c r="J1160" s="149"/>
      <c r="K1160" s="149"/>
      <c r="L1160" s="149"/>
      <c r="M1160" s="149"/>
      <c r="N1160" s="149"/>
      <c r="O1160" s="149"/>
      <c r="P1160" s="149"/>
      <c r="Q1160" s="149"/>
      <c r="R1160" s="149"/>
      <c r="S1160" s="149"/>
      <c r="T1160" s="149"/>
      <c r="U1160" s="149"/>
      <c r="V1160" s="149"/>
      <c r="W1160" s="149"/>
      <c r="X1160" s="149"/>
      <c r="Y1160" s="149"/>
      <c r="Z1160" s="149"/>
      <c r="AA1160" s="149"/>
      <c r="AB1160" s="149"/>
      <c r="AC1160" s="149"/>
      <c r="AD1160" s="149"/>
      <c r="AE1160" s="149"/>
      <c r="AF1160" s="149"/>
      <c r="AG1160" s="149"/>
      <c r="AH1160" s="149"/>
      <c r="AI1160" s="149"/>
      <c r="AJ1160" s="149"/>
      <c r="AK1160" s="149"/>
      <c r="AL1160" s="149"/>
      <c r="AM1160" s="149"/>
      <c r="AN1160" s="149"/>
      <c r="AO1160" s="149"/>
      <c r="AP1160" s="149"/>
    </row>
    <row r="1161" ht="18.75" customHeight="1">
      <c r="A1161" s="149"/>
      <c r="B1161" s="149"/>
      <c r="C1161" s="304"/>
      <c r="D1161" s="149"/>
      <c r="E1161" s="149"/>
      <c r="F1161" s="149"/>
      <c r="G1161" s="149"/>
      <c r="H1161" s="149"/>
      <c r="I1161" s="149"/>
      <c r="J1161" s="149"/>
      <c r="K1161" s="149"/>
      <c r="L1161" s="149"/>
      <c r="M1161" s="149"/>
      <c r="N1161" s="149"/>
      <c r="O1161" s="149"/>
      <c r="P1161" s="149"/>
      <c r="Q1161" s="149"/>
      <c r="R1161" s="149"/>
      <c r="S1161" s="149"/>
      <c r="T1161" s="149"/>
      <c r="U1161" s="149"/>
      <c r="V1161" s="149"/>
      <c r="W1161" s="149"/>
      <c r="X1161" s="149"/>
      <c r="Y1161" s="149"/>
      <c r="Z1161" s="149"/>
      <c r="AA1161" s="149"/>
      <c r="AB1161" s="149"/>
      <c r="AC1161" s="149"/>
      <c r="AD1161" s="149"/>
      <c r="AE1161" s="149"/>
      <c r="AF1161" s="149"/>
      <c r="AG1161" s="149"/>
      <c r="AH1161" s="149"/>
      <c r="AI1161" s="149"/>
      <c r="AJ1161" s="149"/>
      <c r="AK1161" s="149"/>
      <c r="AL1161" s="149"/>
      <c r="AM1161" s="149"/>
      <c r="AN1161" s="149"/>
      <c r="AO1161" s="149"/>
      <c r="AP1161" s="149"/>
    </row>
    <row r="1162" ht="18.75" customHeight="1">
      <c r="A1162" s="149"/>
      <c r="B1162" s="149"/>
      <c r="C1162" s="304"/>
      <c r="D1162" s="149"/>
      <c r="E1162" s="149"/>
      <c r="F1162" s="149"/>
      <c r="G1162" s="149"/>
      <c r="H1162" s="149"/>
      <c r="I1162" s="149"/>
      <c r="J1162" s="149"/>
      <c r="K1162" s="149"/>
      <c r="L1162" s="149"/>
      <c r="M1162" s="149"/>
      <c r="N1162" s="149"/>
      <c r="O1162" s="149"/>
      <c r="P1162" s="149"/>
      <c r="Q1162" s="149"/>
      <c r="R1162" s="149"/>
      <c r="S1162" s="149"/>
      <c r="T1162" s="149"/>
      <c r="U1162" s="149"/>
      <c r="V1162" s="149"/>
      <c r="W1162" s="149"/>
      <c r="X1162" s="149"/>
      <c r="Y1162" s="149"/>
      <c r="Z1162" s="149"/>
      <c r="AA1162" s="149"/>
      <c r="AB1162" s="149"/>
      <c r="AC1162" s="149"/>
      <c r="AD1162" s="149"/>
      <c r="AE1162" s="149"/>
      <c r="AF1162" s="149"/>
      <c r="AG1162" s="149"/>
      <c r="AH1162" s="149"/>
      <c r="AI1162" s="149"/>
      <c r="AJ1162" s="149"/>
      <c r="AK1162" s="149"/>
      <c r="AL1162" s="149"/>
      <c r="AM1162" s="149"/>
      <c r="AN1162" s="149"/>
      <c r="AO1162" s="149"/>
      <c r="AP1162" s="149"/>
    </row>
    <row r="1163" ht="18.75" customHeight="1">
      <c r="A1163" s="149"/>
      <c r="B1163" s="149"/>
      <c r="C1163" s="304"/>
      <c r="D1163" s="149"/>
      <c r="E1163" s="149"/>
      <c r="F1163" s="149"/>
      <c r="G1163" s="149"/>
      <c r="H1163" s="149"/>
      <c r="I1163" s="149"/>
      <c r="J1163" s="149"/>
      <c r="K1163" s="149"/>
      <c r="L1163" s="149"/>
      <c r="M1163" s="149"/>
      <c r="N1163" s="149"/>
      <c r="O1163" s="149"/>
      <c r="P1163" s="149"/>
      <c r="Q1163" s="149"/>
      <c r="R1163" s="149"/>
      <c r="S1163" s="149"/>
      <c r="T1163" s="149"/>
      <c r="U1163" s="149"/>
      <c r="V1163" s="149"/>
      <c r="W1163" s="149"/>
      <c r="X1163" s="149"/>
      <c r="Y1163" s="149"/>
      <c r="Z1163" s="149"/>
      <c r="AA1163" s="149"/>
      <c r="AB1163" s="149"/>
      <c r="AC1163" s="149"/>
      <c r="AD1163" s="149"/>
      <c r="AE1163" s="149"/>
      <c r="AF1163" s="149"/>
      <c r="AG1163" s="149"/>
      <c r="AH1163" s="149"/>
      <c r="AI1163" s="149"/>
      <c r="AJ1163" s="149"/>
      <c r="AK1163" s="149"/>
      <c r="AL1163" s="149"/>
      <c r="AM1163" s="149"/>
      <c r="AN1163" s="149"/>
      <c r="AO1163" s="149"/>
      <c r="AP1163" s="149"/>
    </row>
    <row r="1164" ht="18.75" customHeight="1">
      <c r="A1164" s="149"/>
      <c r="B1164" s="149"/>
      <c r="C1164" s="304"/>
      <c r="D1164" s="149"/>
      <c r="E1164" s="149"/>
      <c r="F1164" s="149"/>
      <c r="G1164" s="149"/>
      <c r="H1164" s="149"/>
      <c r="I1164" s="149"/>
      <c r="J1164" s="149"/>
      <c r="K1164" s="149"/>
      <c r="L1164" s="149"/>
      <c r="M1164" s="149"/>
      <c r="N1164" s="149"/>
      <c r="O1164" s="149"/>
      <c r="P1164" s="149"/>
      <c r="Q1164" s="149"/>
      <c r="R1164" s="149"/>
      <c r="S1164" s="149"/>
      <c r="T1164" s="149"/>
      <c r="U1164" s="149"/>
      <c r="V1164" s="149"/>
      <c r="W1164" s="149"/>
      <c r="X1164" s="149"/>
      <c r="Y1164" s="149"/>
      <c r="Z1164" s="149"/>
      <c r="AA1164" s="149"/>
      <c r="AB1164" s="149"/>
      <c r="AC1164" s="149"/>
      <c r="AD1164" s="149"/>
      <c r="AE1164" s="149"/>
      <c r="AF1164" s="149"/>
      <c r="AG1164" s="149"/>
      <c r="AH1164" s="149"/>
      <c r="AI1164" s="149"/>
      <c r="AJ1164" s="149"/>
      <c r="AK1164" s="149"/>
      <c r="AL1164" s="149"/>
      <c r="AM1164" s="149"/>
      <c r="AN1164" s="149"/>
      <c r="AO1164" s="149"/>
      <c r="AP1164" s="149"/>
    </row>
    <row r="1165" ht="18.75" customHeight="1">
      <c r="A1165" s="149"/>
      <c r="B1165" s="149"/>
      <c r="C1165" s="304"/>
      <c r="D1165" s="149"/>
      <c r="E1165" s="149"/>
      <c r="F1165" s="149"/>
      <c r="G1165" s="149"/>
      <c r="H1165" s="149"/>
      <c r="I1165" s="149"/>
      <c r="J1165" s="149"/>
      <c r="K1165" s="149"/>
      <c r="L1165" s="149"/>
      <c r="M1165" s="149"/>
      <c r="N1165" s="149"/>
      <c r="O1165" s="149"/>
      <c r="P1165" s="149"/>
      <c r="Q1165" s="149"/>
      <c r="R1165" s="149"/>
      <c r="S1165" s="149"/>
      <c r="T1165" s="149"/>
      <c r="U1165" s="149"/>
      <c r="V1165" s="149"/>
      <c r="W1165" s="149"/>
      <c r="X1165" s="149"/>
      <c r="Y1165" s="149"/>
      <c r="Z1165" s="149"/>
      <c r="AA1165" s="149"/>
      <c r="AB1165" s="149"/>
      <c r="AC1165" s="149"/>
      <c r="AD1165" s="149"/>
      <c r="AE1165" s="149"/>
      <c r="AF1165" s="149"/>
      <c r="AG1165" s="149"/>
      <c r="AH1165" s="149"/>
      <c r="AI1165" s="149"/>
      <c r="AJ1165" s="149"/>
      <c r="AK1165" s="149"/>
      <c r="AL1165" s="149"/>
      <c r="AM1165" s="149"/>
      <c r="AN1165" s="149"/>
      <c r="AO1165" s="149"/>
      <c r="AP1165" s="149"/>
    </row>
    <row r="1166" ht="18.75" customHeight="1">
      <c r="A1166" s="149"/>
      <c r="B1166" s="149"/>
      <c r="C1166" s="304"/>
      <c r="D1166" s="149"/>
      <c r="E1166" s="149"/>
      <c r="F1166" s="149"/>
      <c r="G1166" s="149"/>
      <c r="H1166" s="149"/>
      <c r="I1166" s="149"/>
      <c r="J1166" s="149"/>
      <c r="K1166" s="149"/>
      <c r="L1166" s="149"/>
      <c r="M1166" s="149"/>
      <c r="N1166" s="149"/>
      <c r="O1166" s="149"/>
      <c r="P1166" s="149"/>
      <c r="Q1166" s="149"/>
      <c r="R1166" s="149"/>
      <c r="S1166" s="149"/>
      <c r="T1166" s="149"/>
      <c r="U1166" s="149"/>
      <c r="V1166" s="149"/>
      <c r="W1166" s="149"/>
      <c r="X1166" s="149"/>
      <c r="Y1166" s="149"/>
      <c r="Z1166" s="149"/>
      <c r="AA1166" s="149"/>
      <c r="AB1166" s="149"/>
      <c r="AC1166" s="149"/>
      <c r="AD1166" s="149"/>
      <c r="AE1166" s="149"/>
      <c r="AF1166" s="149"/>
      <c r="AG1166" s="149"/>
      <c r="AH1166" s="149"/>
      <c r="AI1166" s="149"/>
      <c r="AJ1166" s="149"/>
      <c r="AK1166" s="149"/>
      <c r="AL1166" s="149"/>
      <c r="AM1166" s="149"/>
      <c r="AN1166" s="149"/>
      <c r="AO1166" s="149"/>
      <c r="AP1166" s="149"/>
    </row>
    <row r="1167" ht="18.75" customHeight="1">
      <c r="A1167" s="149"/>
      <c r="B1167" s="149"/>
      <c r="C1167" s="304"/>
      <c r="D1167" s="149"/>
      <c r="E1167" s="149"/>
      <c r="F1167" s="149"/>
      <c r="G1167" s="149"/>
      <c r="H1167" s="149"/>
      <c r="I1167" s="149"/>
      <c r="J1167" s="149"/>
      <c r="K1167" s="149"/>
      <c r="L1167" s="149"/>
      <c r="M1167" s="149"/>
      <c r="N1167" s="149"/>
      <c r="O1167" s="149"/>
      <c r="P1167" s="149"/>
      <c r="Q1167" s="149"/>
      <c r="R1167" s="149"/>
      <c r="S1167" s="149"/>
      <c r="T1167" s="149"/>
      <c r="U1167" s="149"/>
      <c r="V1167" s="149"/>
      <c r="W1167" s="149"/>
      <c r="X1167" s="149"/>
      <c r="Y1167" s="149"/>
      <c r="Z1167" s="149"/>
      <c r="AA1167" s="149"/>
      <c r="AB1167" s="149"/>
      <c r="AC1167" s="149"/>
      <c r="AD1167" s="149"/>
      <c r="AE1167" s="149"/>
      <c r="AF1167" s="149"/>
      <c r="AG1167" s="149"/>
      <c r="AH1167" s="149"/>
      <c r="AI1167" s="149"/>
      <c r="AJ1167" s="149"/>
      <c r="AK1167" s="149"/>
      <c r="AL1167" s="149"/>
      <c r="AM1167" s="149"/>
      <c r="AN1167" s="149"/>
      <c r="AO1167" s="149"/>
      <c r="AP1167" s="149"/>
    </row>
    <row r="1168" ht="18.75" customHeight="1">
      <c r="A1168" s="149"/>
      <c r="B1168" s="149"/>
      <c r="C1168" s="304"/>
      <c r="D1168" s="149"/>
      <c r="E1168" s="149"/>
      <c r="F1168" s="149"/>
      <c r="G1168" s="149"/>
      <c r="H1168" s="149"/>
      <c r="I1168" s="149"/>
      <c r="J1168" s="149"/>
      <c r="K1168" s="149"/>
      <c r="L1168" s="149"/>
      <c r="M1168" s="149"/>
      <c r="N1168" s="149"/>
      <c r="O1168" s="149"/>
      <c r="P1168" s="149"/>
      <c r="Q1168" s="149"/>
      <c r="R1168" s="149"/>
      <c r="S1168" s="149"/>
      <c r="T1168" s="149"/>
      <c r="U1168" s="149"/>
      <c r="V1168" s="149"/>
      <c r="W1168" s="149"/>
      <c r="X1168" s="149"/>
      <c r="Y1168" s="149"/>
      <c r="Z1168" s="149"/>
      <c r="AA1168" s="149"/>
      <c r="AB1168" s="149"/>
      <c r="AC1168" s="149"/>
      <c r="AD1168" s="149"/>
      <c r="AE1168" s="149"/>
      <c r="AF1168" s="149"/>
      <c r="AG1168" s="149"/>
      <c r="AH1168" s="149"/>
      <c r="AI1168" s="149"/>
      <c r="AJ1168" s="149"/>
      <c r="AK1168" s="149"/>
      <c r="AL1168" s="149"/>
      <c r="AM1168" s="149"/>
      <c r="AN1168" s="149"/>
      <c r="AO1168" s="149"/>
      <c r="AP1168" s="149"/>
    </row>
    <row r="1169" ht="18.75" customHeight="1">
      <c r="A1169" s="149"/>
      <c r="B1169" s="149"/>
      <c r="C1169" s="304"/>
      <c r="D1169" s="149"/>
      <c r="E1169" s="149"/>
      <c r="F1169" s="149"/>
      <c r="G1169" s="149"/>
      <c r="H1169" s="149"/>
      <c r="I1169" s="149"/>
      <c r="J1169" s="149"/>
      <c r="K1169" s="149"/>
      <c r="L1169" s="149"/>
      <c r="M1169" s="149"/>
      <c r="N1169" s="149"/>
      <c r="O1169" s="149"/>
      <c r="P1169" s="149"/>
      <c r="Q1169" s="149"/>
      <c r="R1169" s="149"/>
      <c r="S1169" s="149"/>
      <c r="T1169" s="149"/>
      <c r="U1169" s="149"/>
      <c r="V1169" s="149"/>
      <c r="W1169" s="149"/>
      <c r="X1169" s="149"/>
      <c r="Y1169" s="149"/>
      <c r="Z1169" s="149"/>
      <c r="AA1169" s="149"/>
      <c r="AB1169" s="149"/>
      <c r="AC1169" s="149"/>
      <c r="AD1169" s="149"/>
      <c r="AE1169" s="149"/>
      <c r="AF1169" s="149"/>
      <c r="AG1169" s="149"/>
      <c r="AH1169" s="149"/>
      <c r="AI1169" s="149"/>
      <c r="AJ1169" s="149"/>
      <c r="AK1169" s="149"/>
      <c r="AL1169" s="149"/>
      <c r="AM1169" s="149"/>
      <c r="AN1169" s="149"/>
      <c r="AO1169" s="149"/>
      <c r="AP1169" s="149"/>
    </row>
    <row r="1170" ht="18.75" customHeight="1">
      <c r="A1170" s="149"/>
      <c r="B1170" s="149"/>
      <c r="C1170" s="304"/>
      <c r="D1170" s="149"/>
      <c r="E1170" s="149"/>
      <c r="F1170" s="149"/>
      <c r="G1170" s="149"/>
      <c r="H1170" s="149"/>
      <c r="I1170" s="149"/>
      <c r="J1170" s="149"/>
      <c r="K1170" s="149"/>
      <c r="L1170" s="149"/>
      <c r="M1170" s="149"/>
      <c r="N1170" s="149"/>
      <c r="O1170" s="149"/>
      <c r="P1170" s="149"/>
      <c r="Q1170" s="149"/>
      <c r="R1170" s="149"/>
      <c r="S1170" s="149"/>
      <c r="T1170" s="149"/>
      <c r="U1170" s="149"/>
      <c r="V1170" s="149"/>
      <c r="W1170" s="149"/>
      <c r="X1170" s="149"/>
      <c r="Y1170" s="149"/>
      <c r="Z1170" s="149"/>
      <c r="AA1170" s="149"/>
      <c r="AB1170" s="149"/>
      <c r="AC1170" s="149"/>
      <c r="AD1170" s="149"/>
      <c r="AE1170" s="149"/>
      <c r="AF1170" s="149"/>
      <c r="AG1170" s="149"/>
      <c r="AH1170" s="149"/>
      <c r="AI1170" s="149"/>
      <c r="AJ1170" s="149"/>
      <c r="AK1170" s="149"/>
      <c r="AL1170" s="149"/>
      <c r="AM1170" s="149"/>
      <c r="AN1170" s="149"/>
      <c r="AO1170" s="149"/>
      <c r="AP1170" s="149"/>
    </row>
    <row r="1171" ht="18.75" customHeight="1">
      <c r="A1171" s="149"/>
      <c r="B1171" s="149"/>
      <c r="C1171" s="304"/>
      <c r="D1171" s="149"/>
      <c r="E1171" s="149"/>
      <c r="F1171" s="149"/>
      <c r="G1171" s="149"/>
      <c r="H1171" s="149"/>
      <c r="I1171" s="149"/>
      <c r="J1171" s="149"/>
      <c r="K1171" s="149"/>
      <c r="L1171" s="149"/>
      <c r="M1171" s="149"/>
      <c r="N1171" s="149"/>
      <c r="O1171" s="149"/>
      <c r="P1171" s="149"/>
      <c r="Q1171" s="149"/>
      <c r="R1171" s="149"/>
      <c r="S1171" s="149"/>
      <c r="T1171" s="149"/>
      <c r="U1171" s="149"/>
      <c r="V1171" s="149"/>
      <c r="W1171" s="149"/>
      <c r="X1171" s="149"/>
      <c r="Y1171" s="149"/>
      <c r="Z1171" s="149"/>
      <c r="AA1171" s="149"/>
      <c r="AB1171" s="149"/>
      <c r="AC1171" s="149"/>
      <c r="AD1171" s="149"/>
      <c r="AE1171" s="149"/>
      <c r="AF1171" s="149"/>
      <c r="AG1171" s="149"/>
      <c r="AH1171" s="149"/>
      <c r="AI1171" s="149"/>
      <c r="AJ1171" s="149"/>
      <c r="AK1171" s="149"/>
      <c r="AL1171" s="149"/>
      <c r="AM1171" s="149"/>
      <c r="AN1171" s="149"/>
      <c r="AO1171" s="149"/>
      <c r="AP1171" s="149"/>
    </row>
    <row r="1172" ht="18.75" customHeight="1">
      <c r="A1172" s="149"/>
      <c r="B1172" s="149"/>
      <c r="C1172" s="304"/>
      <c r="D1172" s="149"/>
      <c r="E1172" s="149"/>
      <c r="F1172" s="149"/>
      <c r="G1172" s="149"/>
      <c r="H1172" s="149"/>
      <c r="I1172" s="149"/>
      <c r="J1172" s="149"/>
      <c r="K1172" s="149"/>
      <c r="L1172" s="149"/>
      <c r="M1172" s="149"/>
      <c r="N1172" s="149"/>
      <c r="O1172" s="149"/>
      <c r="P1172" s="149"/>
      <c r="Q1172" s="149"/>
      <c r="R1172" s="149"/>
      <c r="S1172" s="149"/>
      <c r="T1172" s="149"/>
      <c r="U1172" s="149"/>
      <c r="V1172" s="149"/>
      <c r="W1172" s="149"/>
      <c r="X1172" s="149"/>
      <c r="Y1172" s="149"/>
      <c r="Z1172" s="149"/>
      <c r="AA1172" s="149"/>
      <c r="AB1172" s="149"/>
      <c r="AC1172" s="149"/>
      <c r="AD1172" s="149"/>
      <c r="AE1172" s="149"/>
      <c r="AF1172" s="149"/>
      <c r="AG1172" s="149"/>
      <c r="AH1172" s="149"/>
      <c r="AI1172" s="149"/>
      <c r="AJ1172" s="149"/>
      <c r="AK1172" s="149"/>
      <c r="AL1172" s="149"/>
      <c r="AM1172" s="149"/>
      <c r="AN1172" s="149"/>
      <c r="AO1172" s="149"/>
      <c r="AP1172" s="149"/>
    </row>
    <row r="1173" ht="18.75" customHeight="1">
      <c r="A1173" s="149"/>
      <c r="B1173" s="149"/>
      <c r="C1173" s="304"/>
      <c r="D1173" s="149"/>
      <c r="E1173" s="149"/>
      <c r="F1173" s="149"/>
      <c r="G1173" s="149"/>
      <c r="H1173" s="149"/>
      <c r="I1173" s="149"/>
      <c r="J1173" s="149"/>
      <c r="K1173" s="149"/>
      <c r="L1173" s="149"/>
      <c r="M1173" s="149"/>
      <c r="N1173" s="149"/>
      <c r="O1173" s="149"/>
      <c r="P1173" s="149"/>
      <c r="Q1173" s="149"/>
      <c r="R1173" s="149"/>
      <c r="S1173" s="149"/>
      <c r="T1173" s="149"/>
      <c r="U1173" s="149"/>
      <c r="V1173" s="149"/>
      <c r="W1173" s="149"/>
      <c r="X1173" s="149"/>
      <c r="Y1173" s="149"/>
      <c r="Z1173" s="149"/>
      <c r="AA1173" s="149"/>
      <c r="AB1173" s="149"/>
      <c r="AC1173" s="149"/>
      <c r="AD1173" s="149"/>
      <c r="AE1173" s="149"/>
      <c r="AF1173" s="149"/>
      <c r="AG1173" s="149"/>
      <c r="AH1173" s="149"/>
      <c r="AI1173" s="149"/>
      <c r="AJ1173" s="149"/>
      <c r="AK1173" s="149"/>
      <c r="AL1173" s="149"/>
      <c r="AM1173" s="149"/>
      <c r="AN1173" s="149"/>
      <c r="AO1173" s="149"/>
      <c r="AP1173" s="149"/>
    </row>
    <row r="1174" ht="18.75" customHeight="1">
      <c r="A1174" s="149"/>
      <c r="B1174" s="149"/>
      <c r="C1174" s="304"/>
      <c r="D1174" s="149"/>
      <c r="E1174" s="149"/>
      <c r="F1174" s="149"/>
      <c r="G1174" s="149"/>
      <c r="H1174" s="149"/>
      <c r="I1174" s="149"/>
      <c r="J1174" s="149"/>
      <c r="K1174" s="149"/>
      <c r="L1174" s="149"/>
      <c r="M1174" s="149"/>
      <c r="N1174" s="149"/>
      <c r="O1174" s="149"/>
      <c r="P1174" s="149"/>
      <c r="Q1174" s="149"/>
      <c r="R1174" s="149"/>
      <c r="S1174" s="149"/>
      <c r="T1174" s="149"/>
      <c r="U1174" s="149"/>
      <c r="V1174" s="149"/>
      <c r="W1174" s="149"/>
      <c r="X1174" s="149"/>
      <c r="Y1174" s="149"/>
      <c r="Z1174" s="149"/>
      <c r="AA1174" s="149"/>
      <c r="AB1174" s="149"/>
      <c r="AC1174" s="149"/>
      <c r="AD1174" s="149"/>
      <c r="AE1174" s="149"/>
      <c r="AF1174" s="149"/>
      <c r="AG1174" s="149"/>
      <c r="AH1174" s="149"/>
      <c r="AI1174" s="149"/>
      <c r="AJ1174" s="149"/>
      <c r="AK1174" s="149"/>
      <c r="AL1174" s="149"/>
      <c r="AM1174" s="149"/>
      <c r="AN1174" s="149"/>
      <c r="AO1174" s="149"/>
      <c r="AP1174" s="149"/>
    </row>
    <row r="1175" ht="18.75" customHeight="1">
      <c r="A1175" s="149"/>
      <c r="B1175" s="149"/>
      <c r="C1175" s="304"/>
      <c r="D1175" s="149"/>
      <c r="E1175" s="149"/>
      <c r="F1175" s="149"/>
      <c r="G1175" s="149"/>
      <c r="H1175" s="149"/>
      <c r="I1175" s="149"/>
      <c r="J1175" s="149"/>
      <c r="K1175" s="149"/>
      <c r="L1175" s="149"/>
      <c r="M1175" s="149"/>
      <c r="N1175" s="149"/>
      <c r="O1175" s="149"/>
      <c r="P1175" s="149"/>
      <c r="Q1175" s="149"/>
      <c r="R1175" s="149"/>
      <c r="S1175" s="149"/>
      <c r="T1175" s="149"/>
      <c r="U1175" s="149"/>
      <c r="V1175" s="149"/>
      <c r="W1175" s="149"/>
      <c r="X1175" s="149"/>
      <c r="Y1175" s="149"/>
      <c r="Z1175" s="149"/>
      <c r="AA1175" s="149"/>
      <c r="AB1175" s="149"/>
      <c r="AC1175" s="149"/>
      <c r="AD1175" s="149"/>
      <c r="AE1175" s="149"/>
      <c r="AF1175" s="149"/>
      <c r="AG1175" s="149"/>
      <c r="AH1175" s="149"/>
      <c r="AI1175" s="149"/>
      <c r="AJ1175" s="149"/>
      <c r="AK1175" s="149"/>
      <c r="AL1175" s="149"/>
      <c r="AM1175" s="149"/>
      <c r="AN1175" s="149"/>
      <c r="AO1175" s="149"/>
      <c r="AP1175" s="149"/>
    </row>
    <row r="1176" ht="18.75" customHeight="1">
      <c r="A1176" s="149"/>
      <c r="B1176" s="149"/>
      <c r="C1176" s="304"/>
      <c r="D1176" s="149"/>
      <c r="E1176" s="149"/>
      <c r="F1176" s="149"/>
      <c r="G1176" s="149"/>
      <c r="H1176" s="149"/>
      <c r="I1176" s="149"/>
      <c r="J1176" s="149"/>
      <c r="K1176" s="149"/>
      <c r="L1176" s="149"/>
      <c r="M1176" s="149"/>
      <c r="N1176" s="149"/>
      <c r="O1176" s="149"/>
      <c r="P1176" s="149"/>
      <c r="Q1176" s="149"/>
      <c r="R1176" s="149"/>
      <c r="S1176" s="149"/>
      <c r="T1176" s="149"/>
      <c r="U1176" s="149"/>
      <c r="V1176" s="149"/>
      <c r="W1176" s="149"/>
      <c r="X1176" s="149"/>
      <c r="Y1176" s="149"/>
      <c r="Z1176" s="149"/>
      <c r="AA1176" s="149"/>
      <c r="AB1176" s="149"/>
      <c r="AC1176" s="149"/>
      <c r="AD1176" s="149"/>
      <c r="AE1176" s="149"/>
      <c r="AF1176" s="149"/>
      <c r="AG1176" s="149"/>
      <c r="AH1176" s="149"/>
      <c r="AI1176" s="149"/>
      <c r="AJ1176" s="149"/>
      <c r="AK1176" s="149"/>
      <c r="AL1176" s="149"/>
      <c r="AM1176" s="149"/>
      <c r="AN1176" s="149"/>
      <c r="AO1176" s="149"/>
      <c r="AP1176" s="149"/>
    </row>
    <row r="1177" ht="18.75" customHeight="1">
      <c r="A1177" s="149"/>
      <c r="B1177" s="149"/>
      <c r="C1177" s="304"/>
      <c r="D1177" s="149"/>
      <c r="E1177" s="149"/>
      <c r="F1177" s="149"/>
      <c r="G1177" s="149"/>
      <c r="H1177" s="149"/>
      <c r="I1177" s="149"/>
      <c r="J1177" s="149"/>
      <c r="K1177" s="149"/>
      <c r="L1177" s="149"/>
      <c r="M1177" s="149"/>
      <c r="N1177" s="149"/>
      <c r="O1177" s="149"/>
      <c r="P1177" s="149"/>
      <c r="Q1177" s="149"/>
      <c r="R1177" s="149"/>
      <c r="S1177" s="149"/>
      <c r="T1177" s="149"/>
      <c r="U1177" s="149"/>
      <c r="V1177" s="149"/>
      <c r="W1177" s="149"/>
      <c r="X1177" s="149"/>
      <c r="Y1177" s="149"/>
      <c r="Z1177" s="149"/>
      <c r="AA1177" s="149"/>
      <c r="AB1177" s="149"/>
      <c r="AC1177" s="149"/>
      <c r="AD1177" s="149"/>
      <c r="AE1177" s="149"/>
      <c r="AF1177" s="149"/>
      <c r="AG1177" s="149"/>
      <c r="AH1177" s="149"/>
      <c r="AI1177" s="149"/>
      <c r="AJ1177" s="149"/>
      <c r="AK1177" s="149"/>
      <c r="AL1177" s="149"/>
      <c r="AM1177" s="149"/>
      <c r="AN1177" s="149"/>
      <c r="AO1177" s="149"/>
      <c r="AP1177" s="149"/>
    </row>
    <row r="1178" ht="18.75" customHeight="1">
      <c r="A1178" s="149"/>
      <c r="B1178" s="149"/>
      <c r="C1178" s="304"/>
      <c r="D1178" s="149"/>
      <c r="E1178" s="149"/>
      <c r="F1178" s="149"/>
      <c r="G1178" s="149"/>
      <c r="H1178" s="149"/>
      <c r="I1178" s="149"/>
      <c r="J1178" s="149"/>
      <c r="K1178" s="149"/>
      <c r="L1178" s="149"/>
      <c r="M1178" s="149"/>
      <c r="N1178" s="149"/>
      <c r="O1178" s="149"/>
      <c r="P1178" s="149"/>
      <c r="Q1178" s="149"/>
      <c r="R1178" s="149"/>
      <c r="S1178" s="149"/>
      <c r="T1178" s="149"/>
      <c r="U1178" s="149"/>
      <c r="V1178" s="149"/>
      <c r="W1178" s="149"/>
      <c r="X1178" s="149"/>
      <c r="Y1178" s="149"/>
      <c r="Z1178" s="149"/>
      <c r="AA1178" s="149"/>
      <c r="AB1178" s="149"/>
      <c r="AC1178" s="149"/>
      <c r="AD1178" s="149"/>
      <c r="AE1178" s="149"/>
      <c r="AF1178" s="149"/>
      <c r="AG1178" s="149"/>
      <c r="AH1178" s="149"/>
      <c r="AI1178" s="149"/>
      <c r="AJ1178" s="149"/>
      <c r="AK1178" s="149"/>
      <c r="AL1178" s="149"/>
      <c r="AM1178" s="149"/>
      <c r="AN1178" s="149"/>
      <c r="AO1178" s="149"/>
      <c r="AP1178" s="149"/>
    </row>
    <row r="1179" ht="18.75" customHeight="1">
      <c r="A1179" s="149"/>
      <c r="B1179" s="149"/>
      <c r="C1179" s="304"/>
      <c r="D1179" s="149"/>
      <c r="E1179" s="149"/>
      <c r="F1179" s="149"/>
      <c r="G1179" s="149"/>
      <c r="H1179" s="149"/>
      <c r="I1179" s="149"/>
      <c r="J1179" s="149"/>
      <c r="K1179" s="149"/>
      <c r="L1179" s="149"/>
      <c r="M1179" s="149"/>
      <c r="N1179" s="149"/>
      <c r="O1179" s="149"/>
      <c r="P1179" s="149"/>
      <c r="Q1179" s="149"/>
      <c r="R1179" s="149"/>
      <c r="S1179" s="149"/>
      <c r="T1179" s="149"/>
      <c r="U1179" s="149"/>
      <c r="V1179" s="149"/>
      <c r="W1179" s="149"/>
      <c r="X1179" s="149"/>
      <c r="Y1179" s="149"/>
      <c r="Z1179" s="149"/>
      <c r="AA1179" s="149"/>
      <c r="AB1179" s="149"/>
      <c r="AC1179" s="149"/>
      <c r="AD1179" s="149"/>
      <c r="AE1179" s="149"/>
      <c r="AF1179" s="149"/>
      <c r="AG1179" s="149"/>
      <c r="AH1179" s="149"/>
      <c r="AI1179" s="149"/>
      <c r="AJ1179" s="149"/>
      <c r="AK1179" s="149"/>
      <c r="AL1179" s="149"/>
      <c r="AM1179" s="149"/>
      <c r="AN1179" s="149"/>
      <c r="AO1179" s="149"/>
      <c r="AP1179" s="149"/>
    </row>
    <row r="1180" ht="18.75" customHeight="1">
      <c r="A1180" s="149"/>
      <c r="B1180" s="149"/>
      <c r="C1180" s="304"/>
      <c r="D1180" s="149"/>
      <c r="E1180" s="149"/>
      <c r="F1180" s="149"/>
      <c r="G1180" s="149"/>
      <c r="H1180" s="149"/>
      <c r="I1180" s="149"/>
      <c r="J1180" s="149"/>
      <c r="K1180" s="149"/>
      <c r="L1180" s="149"/>
      <c r="M1180" s="149"/>
      <c r="N1180" s="149"/>
      <c r="O1180" s="149"/>
      <c r="P1180" s="149"/>
      <c r="Q1180" s="149"/>
      <c r="R1180" s="149"/>
      <c r="S1180" s="149"/>
      <c r="T1180" s="149"/>
      <c r="U1180" s="149"/>
      <c r="V1180" s="149"/>
      <c r="W1180" s="149"/>
      <c r="X1180" s="149"/>
      <c r="Y1180" s="149"/>
      <c r="Z1180" s="149"/>
      <c r="AA1180" s="149"/>
      <c r="AB1180" s="149"/>
      <c r="AC1180" s="149"/>
      <c r="AD1180" s="149"/>
      <c r="AE1180" s="149"/>
      <c r="AF1180" s="149"/>
      <c r="AG1180" s="149"/>
      <c r="AH1180" s="149"/>
      <c r="AI1180" s="149"/>
      <c r="AJ1180" s="149"/>
      <c r="AK1180" s="149"/>
      <c r="AL1180" s="149"/>
      <c r="AM1180" s="149"/>
      <c r="AN1180" s="149"/>
      <c r="AO1180" s="149"/>
      <c r="AP1180" s="149"/>
    </row>
    <row r="1181" ht="18.75" customHeight="1">
      <c r="A1181" s="149"/>
      <c r="B1181" s="149"/>
      <c r="C1181" s="304"/>
      <c r="D1181" s="149"/>
      <c r="E1181" s="149"/>
      <c r="F1181" s="149"/>
      <c r="G1181" s="149"/>
      <c r="H1181" s="149"/>
      <c r="I1181" s="149"/>
      <c r="J1181" s="149"/>
      <c r="K1181" s="149"/>
      <c r="L1181" s="149"/>
      <c r="M1181" s="149"/>
      <c r="N1181" s="149"/>
      <c r="O1181" s="149"/>
      <c r="P1181" s="149"/>
      <c r="Q1181" s="149"/>
      <c r="R1181" s="149"/>
      <c r="S1181" s="149"/>
      <c r="T1181" s="149"/>
      <c r="U1181" s="149"/>
      <c r="V1181" s="149"/>
      <c r="W1181" s="149"/>
      <c r="X1181" s="149"/>
      <c r="Y1181" s="149"/>
      <c r="Z1181" s="149"/>
      <c r="AA1181" s="149"/>
      <c r="AB1181" s="149"/>
      <c r="AC1181" s="149"/>
      <c r="AD1181" s="149"/>
      <c r="AE1181" s="149"/>
      <c r="AF1181" s="149"/>
      <c r="AG1181" s="149"/>
      <c r="AH1181" s="149"/>
      <c r="AI1181" s="149"/>
      <c r="AJ1181" s="149"/>
      <c r="AK1181" s="149"/>
      <c r="AL1181" s="149"/>
      <c r="AM1181" s="149"/>
      <c r="AN1181" s="149"/>
      <c r="AO1181" s="149"/>
      <c r="AP1181" s="149"/>
    </row>
    <row r="1182" ht="18.75" customHeight="1">
      <c r="A1182" s="149"/>
      <c r="B1182" s="149"/>
      <c r="C1182" s="304"/>
      <c r="D1182" s="149"/>
      <c r="E1182" s="149"/>
      <c r="F1182" s="149"/>
      <c r="G1182" s="149"/>
      <c r="H1182" s="149"/>
      <c r="I1182" s="149"/>
      <c r="J1182" s="149"/>
      <c r="K1182" s="149"/>
      <c r="L1182" s="149"/>
      <c r="M1182" s="149"/>
      <c r="N1182" s="149"/>
      <c r="O1182" s="149"/>
      <c r="P1182" s="149"/>
      <c r="Q1182" s="149"/>
      <c r="R1182" s="149"/>
      <c r="S1182" s="149"/>
      <c r="T1182" s="149"/>
      <c r="U1182" s="149"/>
      <c r="V1182" s="149"/>
      <c r="W1182" s="149"/>
      <c r="X1182" s="149"/>
      <c r="Y1182" s="149"/>
      <c r="Z1182" s="149"/>
      <c r="AA1182" s="149"/>
      <c r="AB1182" s="149"/>
      <c r="AC1182" s="149"/>
      <c r="AD1182" s="149"/>
      <c r="AE1182" s="149"/>
      <c r="AF1182" s="149"/>
      <c r="AG1182" s="149"/>
      <c r="AH1182" s="149"/>
      <c r="AI1182" s="149"/>
      <c r="AJ1182" s="149"/>
      <c r="AK1182" s="149"/>
      <c r="AL1182" s="149"/>
      <c r="AM1182" s="149"/>
      <c r="AN1182" s="149"/>
      <c r="AO1182" s="149"/>
      <c r="AP1182" s="149"/>
    </row>
    <row r="1183" ht="18.75" customHeight="1">
      <c r="A1183" s="149"/>
      <c r="B1183" s="149"/>
      <c r="C1183" s="304"/>
      <c r="D1183" s="149"/>
      <c r="E1183" s="149"/>
      <c r="F1183" s="149"/>
      <c r="G1183" s="149"/>
      <c r="H1183" s="149"/>
      <c r="I1183" s="149"/>
      <c r="J1183" s="149"/>
      <c r="K1183" s="149"/>
      <c r="L1183" s="149"/>
      <c r="M1183" s="149"/>
      <c r="N1183" s="149"/>
      <c r="O1183" s="149"/>
      <c r="P1183" s="149"/>
      <c r="Q1183" s="149"/>
      <c r="R1183" s="149"/>
      <c r="S1183" s="149"/>
      <c r="T1183" s="149"/>
      <c r="U1183" s="149"/>
      <c r="V1183" s="149"/>
      <c r="W1183" s="149"/>
      <c r="X1183" s="149"/>
      <c r="Y1183" s="149"/>
      <c r="Z1183" s="149"/>
      <c r="AA1183" s="149"/>
      <c r="AB1183" s="149"/>
      <c r="AC1183" s="149"/>
      <c r="AD1183" s="149"/>
      <c r="AE1183" s="149"/>
      <c r="AF1183" s="149"/>
      <c r="AG1183" s="149"/>
      <c r="AH1183" s="149"/>
      <c r="AI1183" s="149"/>
      <c r="AJ1183" s="149"/>
      <c r="AK1183" s="149"/>
      <c r="AL1183" s="149"/>
      <c r="AM1183" s="149"/>
      <c r="AN1183" s="149"/>
      <c r="AO1183" s="149"/>
      <c r="AP1183" s="149"/>
    </row>
    <row r="1184" ht="18.75" customHeight="1">
      <c r="A1184" s="149"/>
      <c r="B1184" s="149"/>
      <c r="C1184" s="304"/>
      <c r="D1184" s="149"/>
      <c r="E1184" s="149"/>
      <c r="F1184" s="149"/>
      <c r="G1184" s="149"/>
      <c r="H1184" s="149"/>
      <c r="I1184" s="149"/>
      <c r="J1184" s="149"/>
      <c r="K1184" s="149"/>
      <c r="L1184" s="149"/>
      <c r="M1184" s="149"/>
      <c r="N1184" s="149"/>
      <c r="O1184" s="149"/>
      <c r="P1184" s="149"/>
      <c r="Q1184" s="149"/>
      <c r="R1184" s="149"/>
      <c r="S1184" s="149"/>
      <c r="T1184" s="149"/>
      <c r="U1184" s="149"/>
      <c r="V1184" s="149"/>
      <c r="W1184" s="149"/>
      <c r="X1184" s="149"/>
      <c r="Y1184" s="149"/>
      <c r="Z1184" s="149"/>
      <c r="AA1184" s="149"/>
      <c r="AB1184" s="149"/>
      <c r="AC1184" s="149"/>
      <c r="AD1184" s="149"/>
      <c r="AE1184" s="149"/>
      <c r="AF1184" s="149"/>
      <c r="AG1184" s="149"/>
      <c r="AH1184" s="149"/>
      <c r="AI1184" s="149"/>
      <c r="AJ1184" s="149"/>
      <c r="AK1184" s="149"/>
      <c r="AL1184" s="149"/>
      <c r="AM1184" s="149"/>
      <c r="AN1184" s="149"/>
      <c r="AO1184" s="149"/>
      <c r="AP1184" s="149"/>
    </row>
    <row r="1185" ht="18.75" customHeight="1">
      <c r="A1185" s="149"/>
      <c r="B1185" s="149"/>
      <c r="C1185" s="304"/>
      <c r="D1185" s="149"/>
      <c r="E1185" s="149"/>
      <c r="F1185" s="149"/>
      <c r="G1185" s="149"/>
      <c r="H1185" s="149"/>
      <c r="I1185" s="149"/>
      <c r="J1185" s="149"/>
      <c r="K1185" s="149"/>
      <c r="L1185" s="149"/>
      <c r="M1185" s="149"/>
      <c r="N1185" s="149"/>
      <c r="O1185" s="149"/>
      <c r="P1185" s="149"/>
      <c r="Q1185" s="149"/>
      <c r="R1185" s="149"/>
      <c r="S1185" s="149"/>
      <c r="T1185" s="149"/>
      <c r="U1185" s="149"/>
      <c r="V1185" s="149"/>
      <c r="W1185" s="149"/>
      <c r="X1185" s="149"/>
      <c r="Y1185" s="149"/>
      <c r="Z1185" s="149"/>
      <c r="AA1185" s="149"/>
      <c r="AB1185" s="149"/>
      <c r="AC1185" s="149"/>
      <c r="AD1185" s="149"/>
      <c r="AE1185" s="149"/>
      <c r="AF1185" s="149"/>
      <c r="AG1185" s="149"/>
      <c r="AH1185" s="149"/>
      <c r="AI1185" s="149"/>
      <c r="AJ1185" s="149"/>
      <c r="AK1185" s="149"/>
      <c r="AL1185" s="149"/>
      <c r="AM1185" s="149"/>
      <c r="AN1185" s="149"/>
      <c r="AO1185" s="149"/>
      <c r="AP1185" s="149"/>
    </row>
    <row r="1186" ht="18.75" customHeight="1">
      <c r="A1186" s="149"/>
      <c r="B1186" s="149"/>
      <c r="C1186" s="304"/>
      <c r="D1186" s="149"/>
      <c r="E1186" s="149"/>
      <c r="F1186" s="149"/>
      <c r="G1186" s="149"/>
      <c r="H1186" s="149"/>
      <c r="I1186" s="149"/>
      <c r="J1186" s="149"/>
      <c r="K1186" s="149"/>
      <c r="L1186" s="149"/>
      <c r="M1186" s="149"/>
      <c r="N1186" s="149"/>
      <c r="O1186" s="149"/>
      <c r="P1186" s="149"/>
      <c r="Q1186" s="149"/>
      <c r="R1186" s="149"/>
      <c r="S1186" s="149"/>
      <c r="T1186" s="149"/>
      <c r="U1186" s="149"/>
      <c r="V1186" s="149"/>
      <c r="W1186" s="149"/>
      <c r="X1186" s="149"/>
      <c r="Y1186" s="149"/>
      <c r="Z1186" s="149"/>
      <c r="AA1186" s="149"/>
      <c r="AB1186" s="149"/>
      <c r="AC1186" s="149"/>
      <c r="AD1186" s="149"/>
      <c r="AE1186" s="149"/>
      <c r="AF1186" s="149"/>
      <c r="AG1186" s="149"/>
      <c r="AH1186" s="149"/>
      <c r="AI1186" s="149"/>
      <c r="AJ1186" s="149"/>
      <c r="AK1186" s="149"/>
      <c r="AL1186" s="149"/>
      <c r="AM1186" s="149"/>
      <c r="AN1186" s="149"/>
      <c r="AO1186" s="149"/>
      <c r="AP1186" s="149"/>
    </row>
    <row r="1187" ht="18.75" customHeight="1">
      <c r="A1187" s="149"/>
      <c r="B1187" s="149"/>
      <c r="C1187" s="304"/>
      <c r="D1187" s="149"/>
      <c r="E1187" s="149"/>
      <c r="F1187" s="149"/>
      <c r="G1187" s="149"/>
      <c r="H1187" s="149"/>
      <c r="I1187" s="149"/>
      <c r="J1187" s="149"/>
      <c r="K1187" s="149"/>
      <c r="L1187" s="149"/>
      <c r="M1187" s="149"/>
      <c r="N1187" s="149"/>
      <c r="O1187" s="149"/>
      <c r="P1187" s="149"/>
      <c r="Q1187" s="149"/>
      <c r="R1187" s="149"/>
      <c r="S1187" s="149"/>
      <c r="T1187" s="149"/>
      <c r="U1187" s="149"/>
      <c r="V1187" s="149"/>
      <c r="W1187" s="149"/>
      <c r="X1187" s="149"/>
      <c r="Y1187" s="149"/>
      <c r="Z1187" s="149"/>
      <c r="AA1187" s="149"/>
      <c r="AB1187" s="149"/>
      <c r="AC1187" s="149"/>
      <c r="AD1187" s="149"/>
      <c r="AE1187" s="149"/>
      <c r="AF1187" s="149"/>
      <c r="AG1187" s="149"/>
      <c r="AH1187" s="149"/>
      <c r="AI1187" s="149"/>
      <c r="AJ1187" s="149"/>
      <c r="AK1187" s="149"/>
      <c r="AL1187" s="149"/>
      <c r="AM1187" s="149"/>
      <c r="AN1187" s="149"/>
      <c r="AO1187" s="149"/>
      <c r="AP1187" s="149"/>
    </row>
    <row r="1188" ht="18.75" customHeight="1">
      <c r="A1188" s="149"/>
      <c r="B1188" s="149"/>
      <c r="C1188" s="304"/>
      <c r="D1188" s="149"/>
      <c r="E1188" s="149"/>
      <c r="F1188" s="149"/>
      <c r="G1188" s="149"/>
      <c r="H1188" s="149"/>
      <c r="I1188" s="149"/>
      <c r="J1188" s="149"/>
      <c r="K1188" s="149"/>
      <c r="L1188" s="149"/>
      <c r="M1188" s="149"/>
      <c r="N1188" s="149"/>
      <c r="O1188" s="149"/>
      <c r="P1188" s="149"/>
      <c r="Q1188" s="149"/>
      <c r="R1188" s="149"/>
      <c r="S1188" s="149"/>
      <c r="T1188" s="149"/>
      <c r="U1188" s="149"/>
      <c r="V1188" s="149"/>
      <c r="W1188" s="149"/>
      <c r="X1188" s="149"/>
      <c r="Y1188" s="149"/>
      <c r="Z1188" s="149"/>
      <c r="AA1188" s="149"/>
      <c r="AB1188" s="149"/>
      <c r="AC1188" s="149"/>
      <c r="AD1188" s="149"/>
      <c r="AE1188" s="149"/>
      <c r="AF1188" s="149"/>
      <c r="AG1188" s="149"/>
      <c r="AH1188" s="149"/>
      <c r="AI1188" s="149"/>
      <c r="AJ1188" s="149"/>
      <c r="AK1188" s="149"/>
      <c r="AL1188" s="149"/>
      <c r="AM1188" s="149"/>
      <c r="AN1188" s="149"/>
      <c r="AO1188" s="149"/>
      <c r="AP1188" s="149"/>
    </row>
    <row r="1189" ht="18.75" customHeight="1">
      <c r="A1189" s="149"/>
      <c r="B1189" s="149"/>
      <c r="C1189" s="304"/>
      <c r="D1189" s="149"/>
      <c r="E1189" s="149"/>
      <c r="F1189" s="149"/>
      <c r="G1189" s="149"/>
      <c r="H1189" s="149"/>
      <c r="I1189" s="149"/>
      <c r="J1189" s="149"/>
      <c r="K1189" s="149"/>
      <c r="L1189" s="149"/>
      <c r="M1189" s="149"/>
      <c r="N1189" s="149"/>
      <c r="O1189" s="149"/>
      <c r="P1189" s="149"/>
      <c r="Q1189" s="149"/>
      <c r="R1189" s="149"/>
      <c r="S1189" s="149"/>
      <c r="T1189" s="149"/>
      <c r="U1189" s="149"/>
      <c r="V1189" s="149"/>
      <c r="W1189" s="149"/>
      <c r="X1189" s="149"/>
      <c r="Y1189" s="149"/>
      <c r="Z1189" s="149"/>
      <c r="AA1189" s="149"/>
      <c r="AB1189" s="149"/>
      <c r="AC1189" s="149"/>
      <c r="AD1189" s="149"/>
      <c r="AE1189" s="149"/>
      <c r="AF1189" s="149"/>
      <c r="AG1189" s="149"/>
      <c r="AH1189" s="149"/>
      <c r="AI1189" s="149"/>
      <c r="AJ1189" s="149"/>
      <c r="AK1189" s="149"/>
      <c r="AL1189" s="149"/>
      <c r="AM1189" s="149"/>
      <c r="AN1189" s="149"/>
      <c r="AO1189" s="149"/>
      <c r="AP1189" s="149"/>
    </row>
    <row r="1190" ht="18.75" customHeight="1">
      <c r="A1190" s="149"/>
      <c r="B1190" s="149"/>
      <c r="C1190" s="304"/>
      <c r="D1190" s="149"/>
      <c r="E1190" s="149"/>
      <c r="F1190" s="149"/>
      <c r="G1190" s="149"/>
      <c r="H1190" s="149"/>
      <c r="I1190" s="149"/>
      <c r="J1190" s="149"/>
      <c r="K1190" s="149"/>
      <c r="L1190" s="149"/>
      <c r="M1190" s="149"/>
      <c r="N1190" s="149"/>
      <c r="O1190" s="149"/>
      <c r="P1190" s="149"/>
      <c r="Q1190" s="149"/>
      <c r="R1190" s="149"/>
      <c r="S1190" s="149"/>
      <c r="T1190" s="149"/>
      <c r="U1190" s="149"/>
      <c r="V1190" s="149"/>
      <c r="W1190" s="149"/>
      <c r="X1190" s="149"/>
      <c r="Y1190" s="149"/>
      <c r="Z1190" s="149"/>
      <c r="AA1190" s="149"/>
      <c r="AB1190" s="149"/>
      <c r="AC1190" s="149"/>
      <c r="AD1190" s="149"/>
      <c r="AE1190" s="149"/>
      <c r="AF1190" s="149"/>
      <c r="AG1190" s="149"/>
      <c r="AH1190" s="149"/>
      <c r="AI1190" s="149"/>
      <c r="AJ1190" s="149"/>
      <c r="AK1190" s="149"/>
      <c r="AL1190" s="149"/>
      <c r="AM1190" s="149"/>
      <c r="AN1190" s="149"/>
      <c r="AO1190" s="149"/>
      <c r="AP1190" s="149"/>
    </row>
    <row r="1191" ht="18.75" customHeight="1">
      <c r="A1191" s="149"/>
      <c r="B1191" s="149"/>
      <c r="C1191" s="304"/>
      <c r="D1191" s="149"/>
      <c r="E1191" s="149"/>
      <c r="F1191" s="149"/>
      <c r="G1191" s="149"/>
      <c r="H1191" s="149"/>
      <c r="I1191" s="149"/>
      <c r="J1191" s="149"/>
      <c r="K1191" s="149"/>
      <c r="L1191" s="149"/>
      <c r="M1191" s="149"/>
      <c r="N1191" s="149"/>
      <c r="O1191" s="149"/>
      <c r="P1191" s="149"/>
      <c r="Q1191" s="149"/>
      <c r="R1191" s="149"/>
      <c r="S1191" s="149"/>
      <c r="T1191" s="149"/>
      <c r="U1191" s="149"/>
      <c r="V1191" s="149"/>
      <c r="W1191" s="149"/>
      <c r="X1191" s="149"/>
      <c r="Y1191" s="149"/>
      <c r="Z1191" s="149"/>
      <c r="AA1191" s="149"/>
      <c r="AB1191" s="149"/>
      <c r="AC1191" s="149"/>
      <c r="AD1191" s="149"/>
      <c r="AE1191" s="149"/>
      <c r="AF1191" s="149"/>
      <c r="AG1191" s="149"/>
      <c r="AH1191" s="149"/>
      <c r="AI1191" s="149"/>
      <c r="AJ1191" s="149"/>
      <c r="AK1191" s="149"/>
      <c r="AL1191" s="149"/>
      <c r="AM1191" s="149"/>
      <c r="AN1191" s="149"/>
      <c r="AO1191" s="149"/>
      <c r="AP1191" s="149"/>
    </row>
    <row r="1192" ht="18.75" customHeight="1">
      <c r="A1192" s="149"/>
      <c r="B1192" s="149"/>
      <c r="C1192" s="304"/>
      <c r="D1192" s="149"/>
      <c r="E1192" s="149"/>
      <c r="F1192" s="149"/>
      <c r="G1192" s="149"/>
      <c r="H1192" s="149"/>
      <c r="I1192" s="149"/>
      <c r="J1192" s="149"/>
      <c r="K1192" s="149"/>
      <c r="L1192" s="149"/>
      <c r="M1192" s="149"/>
      <c r="N1192" s="149"/>
      <c r="O1192" s="149"/>
      <c r="P1192" s="149"/>
      <c r="Q1192" s="149"/>
      <c r="R1192" s="149"/>
      <c r="S1192" s="149"/>
      <c r="T1192" s="149"/>
      <c r="U1192" s="149"/>
      <c r="V1192" s="149"/>
      <c r="W1192" s="149"/>
      <c r="X1192" s="149"/>
      <c r="Y1192" s="149"/>
      <c r="Z1192" s="149"/>
      <c r="AA1192" s="149"/>
      <c r="AB1192" s="149"/>
      <c r="AC1192" s="149"/>
      <c r="AD1192" s="149"/>
      <c r="AE1192" s="149"/>
      <c r="AF1192" s="149"/>
      <c r="AG1192" s="149"/>
      <c r="AH1192" s="149"/>
      <c r="AI1192" s="149"/>
      <c r="AJ1192" s="149"/>
      <c r="AK1192" s="149"/>
      <c r="AL1192" s="149"/>
      <c r="AM1192" s="149"/>
      <c r="AN1192" s="149"/>
      <c r="AO1192" s="149"/>
      <c r="AP1192" s="149"/>
    </row>
    <row r="1193" ht="18.75" customHeight="1">
      <c r="A1193" s="149"/>
      <c r="B1193" s="149"/>
      <c r="C1193" s="304"/>
      <c r="D1193" s="149"/>
      <c r="E1193" s="149"/>
      <c r="F1193" s="149"/>
      <c r="G1193" s="149"/>
      <c r="H1193" s="149"/>
      <c r="I1193" s="149"/>
      <c r="J1193" s="149"/>
      <c r="K1193" s="149"/>
      <c r="L1193" s="149"/>
      <c r="M1193" s="149"/>
      <c r="N1193" s="149"/>
      <c r="O1193" s="149"/>
      <c r="P1193" s="149"/>
      <c r="Q1193" s="149"/>
      <c r="R1193" s="149"/>
      <c r="S1193" s="149"/>
      <c r="T1193" s="149"/>
      <c r="U1193" s="149"/>
      <c r="V1193" s="149"/>
      <c r="W1193" s="149"/>
      <c r="X1193" s="149"/>
      <c r="Y1193" s="149"/>
      <c r="Z1193" s="149"/>
      <c r="AA1193" s="149"/>
      <c r="AB1193" s="149"/>
      <c r="AC1193" s="149"/>
      <c r="AD1193" s="149"/>
      <c r="AE1193" s="149"/>
      <c r="AF1193" s="149"/>
      <c r="AG1193" s="149"/>
      <c r="AH1193" s="149"/>
      <c r="AI1193" s="149"/>
      <c r="AJ1193" s="149"/>
      <c r="AK1193" s="149"/>
      <c r="AL1193" s="149"/>
      <c r="AM1193" s="149"/>
      <c r="AN1193" s="149"/>
      <c r="AO1193" s="149"/>
      <c r="AP1193" s="149"/>
    </row>
    <row r="1194" ht="18.75" customHeight="1">
      <c r="A1194" s="149"/>
      <c r="B1194" s="149"/>
      <c r="C1194" s="304"/>
      <c r="D1194" s="149"/>
      <c r="E1194" s="149"/>
      <c r="F1194" s="149"/>
      <c r="G1194" s="149"/>
      <c r="H1194" s="149"/>
      <c r="I1194" s="149"/>
      <c r="J1194" s="149"/>
      <c r="K1194" s="149"/>
      <c r="L1194" s="149"/>
      <c r="M1194" s="149"/>
      <c r="N1194" s="149"/>
      <c r="O1194" s="149"/>
      <c r="P1194" s="149"/>
      <c r="Q1194" s="149"/>
      <c r="R1194" s="149"/>
      <c r="S1194" s="149"/>
      <c r="T1194" s="149"/>
      <c r="U1194" s="149"/>
      <c r="V1194" s="149"/>
      <c r="W1194" s="149"/>
      <c r="X1194" s="149"/>
      <c r="Y1194" s="149"/>
      <c r="Z1194" s="149"/>
      <c r="AA1194" s="149"/>
      <c r="AB1194" s="149"/>
      <c r="AC1194" s="149"/>
      <c r="AD1194" s="149"/>
      <c r="AE1194" s="149"/>
      <c r="AF1194" s="149"/>
      <c r="AG1194" s="149"/>
      <c r="AH1194" s="149"/>
      <c r="AI1194" s="149"/>
      <c r="AJ1194" s="149"/>
      <c r="AK1194" s="149"/>
      <c r="AL1194" s="149"/>
      <c r="AM1194" s="149"/>
      <c r="AN1194" s="149"/>
      <c r="AO1194" s="149"/>
      <c r="AP1194" s="149"/>
    </row>
    <row r="1195" ht="18.75" customHeight="1">
      <c r="A1195" s="149"/>
      <c r="B1195" s="149"/>
      <c r="C1195" s="304"/>
      <c r="D1195" s="149"/>
      <c r="E1195" s="149"/>
      <c r="F1195" s="149"/>
      <c r="G1195" s="149"/>
      <c r="H1195" s="149"/>
      <c r="I1195" s="149"/>
      <c r="J1195" s="149"/>
      <c r="K1195" s="149"/>
      <c r="L1195" s="149"/>
      <c r="M1195" s="149"/>
      <c r="N1195" s="149"/>
      <c r="O1195" s="149"/>
      <c r="P1195" s="149"/>
      <c r="Q1195" s="149"/>
      <c r="R1195" s="149"/>
      <c r="S1195" s="149"/>
      <c r="T1195" s="149"/>
      <c r="U1195" s="149"/>
      <c r="V1195" s="149"/>
      <c r="W1195" s="149"/>
      <c r="X1195" s="149"/>
      <c r="Y1195" s="149"/>
      <c r="Z1195" s="149"/>
      <c r="AA1195" s="149"/>
      <c r="AB1195" s="149"/>
      <c r="AC1195" s="149"/>
      <c r="AD1195" s="149"/>
      <c r="AE1195" s="149"/>
      <c r="AF1195" s="149"/>
      <c r="AG1195" s="149"/>
      <c r="AH1195" s="149"/>
      <c r="AI1195" s="149"/>
      <c r="AJ1195" s="149"/>
      <c r="AK1195" s="149"/>
      <c r="AL1195" s="149"/>
      <c r="AM1195" s="149"/>
      <c r="AN1195" s="149"/>
      <c r="AO1195" s="149"/>
      <c r="AP1195" s="149"/>
    </row>
    <row r="1196" ht="18.75" customHeight="1">
      <c r="A1196" s="149"/>
      <c r="B1196" s="149"/>
      <c r="C1196" s="304"/>
      <c r="D1196" s="149"/>
      <c r="E1196" s="149"/>
      <c r="F1196" s="149"/>
      <c r="G1196" s="149"/>
      <c r="H1196" s="149"/>
      <c r="I1196" s="149"/>
      <c r="J1196" s="149"/>
      <c r="K1196" s="149"/>
      <c r="L1196" s="149"/>
      <c r="M1196" s="149"/>
      <c r="N1196" s="149"/>
      <c r="O1196" s="149"/>
      <c r="P1196" s="149"/>
      <c r="Q1196" s="149"/>
      <c r="R1196" s="149"/>
      <c r="S1196" s="149"/>
      <c r="T1196" s="149"/>
      <c r="U1196" s="149"/>
      <c r="V1196" s="149"/>
      <c r="W1196" s="149"/>
      <c r="X1196" s="149"/>
      <c r="Y1196" s="149"/>
      <c r="Z1196" s="149"/>
      <c r="AA1196" s="149"/>
      <c r="AB1196" s="149"/>
      <c r="AC1196" s="149"/>
      <c r="AD1196" s="149"/>
      <c r="AE1196" s="149"/>
      <c r="AF1196" s="149"/>
      <c r="AG1196" s="149"/>
      <c r="AH1196" s="149"/>
      <c r="AI1196" s="149"/>
      <c r="AJ1196" s="149"/>
      <c r="AK1196" s="149"/>
      <c r="AL1196" s="149"/>
      <c r="AM1196" s="149"/>
      <c r="AN1196" s="149"/>
      <c r="AO1196" s="149"/>
      <c r="AP1196" s="149"/>
    </row>
    <row r="1197" ht="18.75" customHeight="1">
      <c r="A1197" s="149"/>
      <c r="B1197" s="149"/>
      <c r="C1197" s="304"/>
      <c r="D1197" s="149"/>
      <c r="E1197" s="149"/>
      <c r="F1197" s="149"/>
      <c r="G1197" s="149"/>
      <c r="H1197" s="149"/>
      <c r="I1197" s="149"/>
      <c r="J1197" s="149"/>
      <c r="K1197" s="149"/>
      <c r="L1197" s="149"/>
      <c r="M1197" s="149"/>
      <c r="N1197" s="149"/>
      <c r="O1197" s="149"/>
      <c r="P1197" s="149"/>
      <c r="Q1197" s="149"/>
      <c r="R1197" s="149"/>
      <c r="S1197" s="149"/>
      <c r="T1197" s="149"/>
      <c r="U1197" s="149"/>
      <c r="V1197" s="149"/>
      <c r="W1197" s="149"/>
      <c r="X1197" s="149"/>
      <c r="Y1197" s="149"/>
      <c r="Z1197" s="149"/>
      <c r="AA1197" s="149"/>
      <c r="AB1197" s="149"/>
      <c r="AC1197" s="149"/>
      <c r="AD1197" s="149"/>
      <c r="AE1197" s="149"/>
      <c r="AF1197" s="149"/>
      <c r="AG1197" s="149"/>
      <c r="AH1197" s="149"/>
      <c r="AI1197" s="149"/>
      <c r="AJ1197" s="149"/>
      <c r="AK1197" s="149"/>
      <c r="AL1197" s="149"/>
      <c r="AM1197" s="149"/>
      <c r="AN1197" s="149"/>
      <c r="AO1197" s="149"/>
      <c r="AP1197" s="149"/>
    </row>
    <row r="1198" ht="18.75" customHeight="1">
      <c r="A1198" s="149"/>
      <c r="B1198" s="149"/>
      <c r="C1198" s="304"/>
      <c r="D1198" s="149"/>
      <c r="E1198" s="149"/>
      <c r="F1198" s="149"/>
      <c r="G1198" s="149"/>
      <c r="H1198" s="149"/>
      <c r="I1198" s="149"/>
      <c r="J1198" s="149"/>
      <c r="K1198" s="149"/>
      <c r="L1198" s="149"/>
      <c r="M1198" s="149"/>
      <c r="N1198" s="149"/>
      <c r="O1198" s="149"/>
      <c r="P1198" s="149"/>
      <c r="Q1198" s="149"/>
      <c r="R1198" s="149"/>
      <c r="S1198" s="149"/>
      <c r="T1198" s="149"/>
      <c r="U1198" s="149"/>
      <c r="V1198" s="149"/>
      <c r="W1198" s="149"/>
      <c r="X1198" s="149"/>
      <c r="Y1198" s="149"/>
      <c r="Z1198" s="149"/>
      <c r="AA1198" s="149"/>
      <c r="AB1198" s="149"/>
      <c r="AC1198" s="149"/>
      <c r="AD1198" s="149"/>
      <c r="AE1198" s="149"/>
      <c r="AF1198" s="149"/>
      <c r="AG1198" s="149"/>
      <c r="AH1198" s="149"/>
      <c r="AI1198" s="149"/>
      <c r="AJ1198" s="149"/>
      <c r="AK1198" s="149"/>
      <c r="AL1198" s="149"/>
      <c r="AM1198" s="149"/>
      <c r="AN1198" s="149"/>
      <c r="AO1198" s="149"/>
      <c r="AP1198" s="149"/>
    </row>
    <row r="1199" ht="18.75" customHeight="1">
      <c r="A1199" s="149"/>
      <c r="B1199" s="149"/>
      <c r="C1199" s="304"/>
      <c r="D1199" s="149"/>
      <c r="E1199" s="149"/>
      <c r="F1199" s="149"/>
      <c r="G1199" s="149"/>
      <c r="H1199" s="149"/>
      <c r="I1199" s="149"/>
      <c r="J1199" s="149"/>
      <c r="K1199" s="149"/>
      <c r="L1199" s="149"/>
      <c r="M1199" s="149"/>
      <c r="N1199" s="149"/>
      <c r="O1199" s="149"/>
      <c r="P1199" s="149"/>
      <c r="Q1199" s="149"/>
      <c r="R1199" s="149"/>
      <c r="S1199" s="149"/>
      <c r="T1199" s="149"/>
      <c r="U1199" s="149"/>
      <c r="V1199" s="149"/>
      <c r="W1199" s="149"/>
      <c r="X1199" s="149"/>
      <c r="Y1199" s="149"/>
      <c r="Z1199" s="149"/>
      <c r="AA1199" s="149"/>
      <c r="AB1199" s="149"/>
      <c r="AC1199" s="149"/>
      <c r="AD1199" s="149"/>
      <c r="AE1199" s="149"/>
      <c r="AF1199" s="149"/>
      <c r="AG1199" s="149"/>
      <c r="AH1199" s="149"/>
      <c r="AI1199" s="149"/>
      <c r="AJ1199" s="149"/>
      <c r="AK1199" s="149"/>
      <c r="AL1199" s="149"/>
      <c r="AM1199" s="149"/>
      <c r="AN1199" s="149"/>
      <c r="AO1199" s="149"/>
      <c r="AP1199" s="149"/>
    </row>
    <row r="1200" ht="18.75" customHeight="1">
      <c r="A1200" s="149"/>
      <c r="B1200" s="149"/>
      <c r="C1200" s="304"/>
      <c r="D1200" s="149"/>
      <c r="E1200" s="149"/>
      <c r="F1200" s="149"/>
      <c r="G1200" s="149"/>
      <c r="H1200" s="149"/>
      <c r="I1200" s="149"/>
      <c r="J1200" s="149"/>
      <c r="K1200" s="149"/>
      <c r="L1200" s="149"/>
      <c r="M1200" s="149"/>
      <c r="N1200" s="149"/>
      <c r="O1200" s="149"/>
      <c r="P1200" s="149"/>
      <c r="Q1200" s="149"/>
      <c r="R1200" s="149"/>
      <c r="S1200" s="149"/>
      <c r="T1200" s="149"/>
      <c r="U1200" s="149"/>
      <c r="V1200" s="149"/>
      <c r="W1200" s="149"/>
      <c r="X1200" s="149"/>
      <c r="Y1200" s="149"/>
      <c r="Z1200" s="149"/>
      <c r="AA1200" s="149"/>
      <c r="AB1200" s="149"/>
      <c r="AC1200" s="149"/>
      <c r="AD1200" s="149"/>
      <c r="AE1200" s="149"/>
      <c r="AF1200" s="149"/>
      <c r="AG1200" s="149"/>
      <c r="AH1200" s="149"/>
      <c r="AI1200" s="149"/>
      <c r="AJ1200" s="149"/>
      <c r="AK1200" s="149"/>
      <c r="AL1200" s="149"/>
      <c r="AM1200" s="149"/>
      <c r="AN1200" s="149"/>
      <c r="AO1200" s="149"/>
      <c r="AP1200" s="149"/>
    </row>
    <row r="1201" ht="18.75" customHeight="1">
      <c r="A1201" s="149"/>
      <c r="B1201" s="149"/>
      <c r="C1201" s="304"/>
      <c r="D1201" s="149"/>
      <c r="E1201" s="149"/>
      <c r="F1201" s="149"/>
      <c r="G1201" s="149"/>
      <c r="H1201" s="149"/>
      <c r="I1201" s="149"/>
      <c r="J1201" s="149"/>
      <c r="K1201" s="149"/>
      <c r="L1201" s="149"/>
      <c r="M1201" s="149"/>
      <c r="N1201" s="149"/>
      <c r="O1201" s="149"/>
      <c r="P1201" s="149"/>
      <c r="Q1201" s="149"/>
      <c r="R1201" s="149"/>
      <c r="S1201" s="149"/>
      <c r="T1201" s="149"/>
      <c r="U1201" s="149"/>
      <c r="V1201" s="149"/>
      <c r="W1201" s="149"/>
      <c r="X1201" s="149"/>
      <c r="Y1201" s="149"/>
      <c r="Z1201" s="149"/>
      <c r="AA1201" s="149"/>
      <c r="AB1201" s="149"/>
      <c r="AC1201" s="149"/>
      <c r="AD1201" s="149"/>
      <c r="AE1201" s="149"/>
      <c r="AF1201" s="149"/>
      <c r="AG1201" s="149"/>
      <c r="AH1201" s="149"/>
      <c r="AI1201" s="149"/>
      <c r="AJ1201" s="149"/>
      <c r="AK1201" s="149"/>
      <c r="AL1201" s="149"/>
      <c r="AM1201" s="149"/>
      <c r="AN1201" s="149"/>
      <c r="AO1201" s="149"/>
      <c r="AP1201" s="149"/>
    </row>
    <row r="1202" ht="18.75" customHeight="1">
      <c r="A1202" s="149"/>
      <c r="B1202" s="149"/>
      <c r="C1202" s="304"/>
      <c r="D1202" s="149"/>
      <c r="E1202" s="149"/>
      <c r="F1202" s="149"/>
      <c r="G1202" s="149"/>
      <c r="H1202" s="149"/>
      <c r="I1202" s="149"/>
      <c r="J1202" s="149"/>
      <c r="K1202" s="149"/>
      <c r="L1202" s="149"/>
      <c r="M1202" s="149"/>
      <c r="N1202" s="149"/>
      <c r="O1202" s="149"/>
      <c r="P1202" s="149"/>
      <c r="Q1202" s="149"/>
      <c r="R1202" s="149"/>
      <c r="S1202" s="149"/>
      <c r="T1202" s="149"/>
      <c r="U1202" s="149"/>
      <c r="V1202" s="149"/>
      <c r="W1202" s="149"/>
      <c r="X1202" s="149"/>
      <c r="Y1202" s="149"/>
      <c r="Z1202" s="149"/>
      <c r="AA1202" s="149"/>
      <c r="AB1202" s="149"/>
      <c r="AC1202" s="149"/>
      <c r="AD1202" s="149"/>
      <c r="AE1202" s="149"/>
      <c r="AF1202" s="149"/>
      <c r="AG1202" s="149"/>
      <c r="AH1202" s="149"/>
      <c r="AI1202" s="149"/>
      <c r="AJ1202" s="149"/>
      <c r="AK1202" s="149"/>
      <c r="AL1202" s="149"/>
      <c r="AM1202" s="149"/>
      <c r="AN1202" s="149"/>
      <c r="AO1202" s="149"/>
      <c r="AP1202" s="149"/>
    </row>
    <row r="1203" ht="18.75" customHeight="1">
      <c r="A1203" s="149"/>
      <c r="B1203" s="149"/>
      <c r="C1203" s="304"/>
      <c r="D1203" s="149"/>
      <c r="E1203" s="149"/>
      <c r="F1203" s="149"/>
      <c r="G1203" s="149"/>
      <c r="H1203" s="149"/>
      <c r="I1203" s="149"/>
      <c r="J1203" s="149"/>
      <c r="K1203" s="149"/>
      <c r="L1203" s="149"/>
      <c r="M1203" s="149"/>
      <c r="N1203" s="149"/>
      <c r="O1203" s="149"/>
      <c r="P1203" s="149"/>
      <c r="Q1203" s="149"/>
      <c r="R1203" s="149"/>
      <c r="S1203" s="149"/>
      <c r="T1203" s="149"/>
      <c r="U1203" s="149"/>
      <c r="V1203" s="149"/>
      <c r="W1203" s="149"/>
      <c r="X1203" s="149"/>
      <c r="Y1203" s="149"/>
      <c r="Z1203" s="149"/>
      <c r="AA1203" s="149"/>
      <c r="AB1203" s="149"/>
      <c r="AC1203" s="149"/>
      <c r="AD1203" s="149"/>
      <c r="AE1203" s="149"/>
      <c r="AF1203" s="149"/>
      <c r="AG1203" s="149"/>
      <c r="AH1203" s="149"/>
      <c r="AI1203" s="149"/>
      <c r="AJ1203" s="149"/>
      <c r="AK1203" s="149"/>
      <c r="AL1203" s="149"/>
      <c r="AM1203" s="149"/>
      <c r="AN1203" s="149"/>
      <c r="AO1203" s="149"/>
      <c r="AP1203" s="149"/>
    </row>
    <row r="1204" ht="18.75" customHeight="1">
      <c r="A1204" s="149"/>
      <c r="B1204" s="149"/>
      <c r="C1204" s="304"/>
      <c r="D1204" s="149"/>
      <c r="E1204" s="149"/>
      <c r="F1204" s="149"/>
      <c r="G1204" s="149"/>
      <c r="H1204" s="149"/>
      <c r="I1204" s="149"/>
      <c r="J1204" s="149"/>
      <c r="K1204" s="149"/>
      <c r="L1204" s="149"/>
      <c r="M1204" s="149"/>
      <c r="N1204" s="149"/>
      <c r="O1204" s="149"/>
      <c r="P1204" s="149"/>
      <c r="Q1204" s="149"/>
      <c r="R1204" s="149"/>
      <c r="S1204" s="149"/>
      <c r="T1204" s="149"/>
      <c r="U1204" s="149"/>
      <c r="V1204" s="149"/>
      <c r="W1204" s="149"/>
      <c r="X1204" s="149"/>
      <c r="Y1204" s="149"/>
      <c r="Z1204" s="149"/>
      <c r="AA1204" s="149"/>
      <c r="AB1204" s="149"/>
      <c r="AC1204" s="149"/>
      <c r="AD1204" s="149"/>
      <c r="AE1204" s="149"/>
      <c r="AF1204" s="149"/>
      <c r="AG1204" s="149"/>
      <c r="AH1204" s="149"/>
      <c r="AI1204" s="149"/>
      <c r="AJ1204" s="149"/>
      <c r="AK1204" s="149"/>
      <c r="AL1204" s="149"/>
      <c r="AM1204" s="149"/>
      <c r="AN1204" s="149"/>
      <c r="AO1204" s="149"/>
      <c r="AP1204" s="149"/>
    </row>
    <row r="1205" ht="18.75" customHeight="1">
      <c r="A1205" s="149"/>
      <c r="B1205" s="149"/>
      <c r="C1205" s="304"/>
      <c r="D1205" s="149"/>
      <c r="E1205" s="149"/>
      <c r="F1205" s="149"/>
      <c r="G1205" s="149"/>
      <c r="H1205" s="149"/>
      <c r="I1205" s="149"/>
      <c r="J1205" s="149"/>
      <c r="K1205" s="149"/>
      <c r="L1205" s="149"/>
      <c r="M1205" s="149"/>
      <c r="N1205" s="149"/>
      <c r="O1205" s="149"/>
      <c r="P1205" s="149"/>
      <c r="Q1205" s="149"/>
      <c r="R1205" s="149"/>
      <c r="S1205" s="149"/>
      <c r="T1205" s="149"/>
      <c r="U1205" s="149"/>
      <c r="V1205" s="149"/>
      <c r="W1205" s="149"/>
      <c r="X1205" s="149"/>
      <c r="Y1205" s="149"/>
      <c r="Z1205" s="149"/>
      <c r="AA1205" s="149"/>
      <c r="AB1205" s="149"/>
      <c r="AC1205" s="149"/>
      <c r="AD1205" s="149"/>
      <c r="AE1205" s="149"/>
      <c r="AF1205" s="149"/>
      <c r="AG1205" s="149"/>
      <c r="AH1205" s="149"/>
      <c r="AI1205" s="149"/>
      <c r="AJ1205" s="149"/>
      <c r="AK1205" s="149"/>
      <c r="AL1205" s="149"/>
      <c r="AM1205" s="149"/>
      <c r="AN1205" s="149"/>
      <c r="AO1205" s="149"/>
      <c r="AP1205" s="149"/>
    </row>
    <row r="1206" ht="18.75" customHeight="1">
      <c r="A1206" s="149"/>
      <c r="B1206" s="149"/>
      <c r="C1206" s="304"/>
      <c r="D1206" s="149"/>
      <c r="E1206" s="149"/>
      <c r="F1206" s="149"/>
      <c r="G1206" s="149"/>
      <c r="H1206" s="149"/>
      <c r="I1206" s="149"/>
      <c r="J1206" s="149"/>
      <c r="K1206" s="149"/>
      <c r="L1206" s="149"/>
      <c r="M1206" s="149"/>
      <c r="N1206" s="149"/>
      <c r="O1206" s="149"/>
      <c r="P1206" s="149"/>
      <c r="Q1206" s="149"/>
      <c r="R1206" s="149"/>
      <c r="S1206" s="149"/>
      <c r="T1206" s="149"/>
      <c r="U1206" s="149"/>
      <c r="V1206" s="149"/>
      <c r="W1206" s="149"/>
      <c r="X1206" s="149"/>
      <c r="Y1206" s="149"/>
      <c r="Z1206" s="149"/>
      <c r="AA1206" s="149"/>
      <c r="AB1206" s="149"/>
      <c r="AC1206" s="149"/>
      <c r="AD1206" s="149"/>
      <c r="AE1206" s="149"/>
      <c r="AF1206" s="149"/>
      <c r="AG1206" s="149"/>
      <c r="AH1206" s="149"/>
      <c r="AI1206" s="149"/>
      <c r="AJ1206" s="149"/>
      <c r="AK1206" s="149"/>
      <c r="AL1206" s="149"/>
      <c r="AM1206" s="149"/>
      <c r="AN1206" s="149"/>
      <c r="AO1206" s="149"/>
      <c r="AP1206" s="149"/>
    </row>
    <row r="1207" ht="18.75" customHeight="1">
      <c r="A1207" s="149"/>
      <c r="B1207" s="149"/>
      <c r="C1207" s="304"/>
      <c r="D1207" s="149"/>
      <c r="E1207" s="149"/>
      <c r="F1207" s="149"/>
      <c r="G1207" s="149"/>
      <c r="H1207" s="149"/>
      <c r="I1207" s="149"/>
      <c r="J1207" s="149"/>
      <c r="K1207" s="149"/>
      <c r="L1207" s="149"/>
      <c r="M1207" s="149"/>
      <c r="N1207" s="149"/>
      <c r="O1207" s="149"/>
      <c r="P1207" s="149"/>
      <c r="Q1207" s="149"/>
      <c r="R1207" s="149"/>
      <c r="S1207" s="149"/>
      <c r="T1207" s="149"/>
      <c r="U1207" s="149"/>
      <c r="V1207" s="149"/>
      <c r="W1207" s="149"/>
      <c r="X1207" s="149"/>
      <c r="Y1207" s="149"/>
      <c r="Z1207" s="149"/>
      <c r="AA1207" s="149"/>
      <c r="AB1207" s="149"/>
      <c r="AC1207" s="149"/>
      <c r="AD1207" s="149"/>
      <c r="AE1207" s="149"/>
      <c r="AF1207" s="149"/>
      <c r="AG1207" s="149"/>
      <c r="AH1207" s="149"/>
      <c r="AI1207" s="149"/>
      <c r="AJ1207" s="149"/>
      <c r="AK1207" s="149"/>
      <c r="AL1207" s="149"/>
      <c r="AM1207" s="149"/>
      <c r="AN1207" s="149"/>
      <c r="AO1207" s="149"/>
      <c r="AP1207" s="149"/>
    </row>
    <row r="1208" ht="18.75" customHeight="1">
      <c r="A1208" s="149"/>
      <c r="B1208" s="149"/>
      <c r="C1208" s="304"/>
      <c r="D1208" s="149"/>
      <c r="E1208" s="149"/>
      <c r="F1208" s="149"/>
      <c r="G1208" s="149"/>
      <c r="H1208" s="149"/>
      <c r="I1208" s="149"/>
      <c r="J1208" s="149"/>
      <c r="K1208" s="149"/>
      <c r="L1208" s="149"/>
      <c r="M1208" s="149"/>
      <c r="N1208" s="149"/>
      <c r="O1208" s="149"/>
      <c r="P1208" s="149"/>
      <c r="Q1208" s="149"/>
      <c r="R1208" s="149"/>
      <c r="S1208" s="149"/>
      <c r="T1208" s="149"/>
      <c r="U1208" s="149"/>
      <c r="V1208" s="149"/>
      <c r="W1208" s="149"/>
      <c r="X1208" s="149"/>
      <c r="Y1208" s="149"/>
      <c r="Z1208" s="149"/>
      <c r="AA1208" s="149"/>
      <c r="AB1208" s="149"/>
      <c r="AC1208" s="149"/>
      <c r="AD1208" s="149"/>
      <c r="AE1208" s="149"/>
      <c r="AF1208" s="149"/>
      <c r="AG1208" s="149"/>
      <c r="AH1208" s="149"/>
      <c r="AI1208" s="149"/>
      <c r="AJ1208" s="149"/>
      <c r="AK1208" s="149"/>
      <c r="AL1208" s="149"/>
      <c r="AM1208" s="149"/>
      <c r="AN1208" s="149"/>
      <c r="AO1208" s="149"/>
      <c r="AP1208" s="149"/>
    </row>
    <row r="1209" ht="18.75" customHeight="1">
      <c r="A1209" s="149"/>
      <c r="B1209" s="149"/>
      <c r="C1209" s="304"/>
      <c r="D1209" s="149"/>
      <c r="E1209" s="149"/>
      <c r="F1209" s="149"/>
      <c r="G1209" s="149"/>
      <c r="H1209" s="149"/>
      <c r="I1209" s="149"/>
      <c r="J1209" s="149"/>
      <c r="K1209" s="149"/>
      <c r="L1209" s="149"/>
      <c r="M1209" s="149"/>
      <c r="N1209" s="149"/>
      <c r="O1209" s="149"/>
      <c r="P1209" s="149"/>
      <c r="Q1209" s="149"/>
      <c r="R1209" s="149"/>
      <c r="S1209" s="149"/>
      <c r="T1209" s="149"/>
      <c r="U1209" s="149"/>
      <c r="V1209" s="149"/>
      <c r="W1209" s="149"/>
      <c r="X1209" s="149"/>
      <c r="Y1209" s="149"/>
      <c r="Z1209" s="149"/>
      <c r="AA1209" s="149"/>
      <c r="AB1209" s="149"/>
      <c r="AC1209" s="149"/>
      <c r="AD1209" s="149"/>
      <c r="AE1209" s="149"/>
      <c r="AF1209" s="149"/>
      <c r="AG1209" s="149"/>
      <c r="AH1209" s="149"/>
      <c r="AI1209" s="149"/>
      <c r="AJ1209" s="149"/>
      <c r="AK1209" s="149"/>
      <c r="AL1209" s="149"/>
      <c r="AM1209" s="149"/>
      <c r="AN1209" s="149"/>
      <c r="AO1209" s="149"/>
      <c r="AP1209" s="149"/>
    </row>
    <row r="1210" ht="18.75" customHeight="1">
      <c r="A1210" s="149"/>
      <c r="B1210" s="149"/>
      <c r="C1210" s="304"/>
      <c r="D1210" s="149"/>
      <c r="E1210" s="149"/>
      <c r="F1210" s="149"/>
      <c r="G1210" s="149"/>
      <c r="H1210" s="149"/>
      <c r="I1210" s="149"/>
      <c r="J1210" s="149"/>
      <c r="K1210" s="149"/>
      <c r="L1210" s="149"/>
      <c r="M1210" s="149"/>
      <c r="N1210" s="149"/>
      <c r="O1210" s="149"/>
      <c r="P1210" s="149"/>
      <c r="Q1210" s="149"/>
      <c r="R1210" s="149"/>
      <c r="S1210" s="149"/>
      <c r="T1210" s="149"/>
      <c r="U1210" s="149"/>
      <c r="V1210" s="149"/>
      <c r="W1210" s="149"/>
      <c r="X1210" s="149"/>
      <c r="Y1210" s="149"/>
      <c r="Z1210" s="149"/>
      <c r="AA1210" s="149"/>
      <c r="AB1210" s="149"/>
      <c r="AC1210" s="149"/>
      <c r="AD1210" s="149"/>
      <c r="AE1210" s="149"/>
      <c r="AF1210" s="149"/>
      <c r="AG1210" s="149"/>
      <c r="AH1210" s="149"/>
      <c r="AI1210" s="149"/>
      <c r="AJ1210" s="149"/>
      <c r="AK1210" s="149"/>
      <c r="AL1210" s="149"/>
      <c r="AM1210" s="149"/>
      <c r="AN1210" s="149"/>
      <c r="AO1210" s="149"/>
      <c r="AP1210" s="149"/>
    </row>
    <row r="1211" ht="18.75" customHeight="1">
      <c r="A1211" s="149"/>
      <c r="B1211" s="149"/>
      <c r="C1211" s="304"/>
      <c r="D1211" s="149"/>
      <c r="E1211" s="149"/>
      <c r="F1211" s="149"/>
      <c r="G1211" s="149"/>
      <c r="H1211" s="149"/>
      <c r="I1211" s="149"/>
      <c r="J1211" s="149"/>
      <c r="K1211" s="149"/>
      <c r="L1211" s="149"/>
      <c r="M1211" s="149"/>
      <c r="N1211" s="149"/>
      <c r="O1211" s="149"/>
      <c r="P1211" s="149"/>
      <c r="Q1211" s="149"/>
      <c r="R1211" s="149"/>
      <c r="S1211" s="149"/>
      <c r="T1211" s="149"/>
      <c r="U1211" s="149"/>
      <c r="V1211" s="149"/>
      <c r="W1211" s="149"/>
      <c r="X1211" s="149"/>
      <c r="Y1211" s="149"/>
      <c r="Z1211" s="149"/>
      <c r="AA1211" s="149"/>
      <c r="AB1211" s="149"/>
      <c r="AC1211" s="149"/>
      <c r="AD1211" s="149"/>
      <c r="AE1211" s="149"/>
      <c r="AF1211" s="149"/>
      <c r="AG1211" s="149"/>
      <c r="AH1211" s="149"/>
      <c r="AI1211" s="149"/>
      <c r="AJ1211" s="149"/>
      <c r="AK1211" s="149"/>
      <c r="AL1211" s="149"/>
      <c r="AM1211" s="149"/>
      <c r="AN1211" s="149"/>
      <c r="AO1211" s="149"/>
      <c r="AP1211" s="149"/>
    </row>
    <row r="1212" ht="18.75" customHeight="1">
      <c r="A1212" s="149"/>
      <c r="B1212" s="149"/>
      <c r="C1212" s="304"/>
      <c r="D1212" s="149"/>
      <c r="E1212" s="149"/>
      <c r="F1212" s="149"/>
      <c r="G1212" s="149"/>
      <c r="H1212" s="149"/>
      <c r="I1212" s="149"/>
      <c r="J1212" s="149"/>
      <c r="K1212" s="149"/>
      <c r="L1212" s="149"/>
      <c r="M1212" s="149"/>
      <c r="N1212" s="149"/>
      <c r="O1212" s="149"/>
      <c r="P1212" s="149"/>
      <c r="Q1212" s="149"/>
      <c r="R1212" s="149"/>
      <c r="S1212" s="149"/>
      <c r="T1212" s="149"/>
      <c r="U1212" s="149"/>
      <c r="V1212" s="149"/>
      <c r="W1212" s="149"/>
      <c r="X1212" s="149"/>
      <c r="Y1212" s="149"/>
      <c r="Z1212" s="149"/>
      <c r="AA1212" s="149"/>
      <c r="AB1212" s="149"/>
      <c r="AC1212" s="149"/>
      <c r="AD1212" s="149"/>
      <c r="AE1212" s="149"/>
      <c r="AF1212" s="149"/>
      <c r="AG1212" s="149"/>
      <c r="AH1212" s="149"/>
      <c r="AI1212" s="149"/>
      <c r="AJ1212" s="149"/>
      <c r="AK1212" s="149"/>
      <c r="AL1212" s="149"/>
      <c r="AM1212" s="149"/>
      <c r="AN1212" s="149"/>
      <c r="AO1212" s="149"/>
      <c r="AP1212" s="149"/>
    </row>
    <row r="1213" ht="18.75" customHeight="1">
      <c r="A1213" s="149"/>
      <c r="B1213" s="149"/>
      <c r="C1213" s="304"/>
      <c r="D1213" s="149"/>
      <c r="E1213" s="149"/>
      <c r="F1213" s="149"/>
      <c r="G1213" s="149"/>
      <c r="H1213" s="149"/>
      <c r="I1213" s="149"/>
      <c r="J1213" s="149"/>
      <c r="K1213" s="149"/>
      <c r="L1213" s="149"/>
      <c r="M1213" s="149"/>
      <c r="N1213" s="149"/>
      <c r="O1213" s="149"/>
      <c r="P1213" s="149"/>
      <c r="Q1213" s="149"/>
      <c r="R1213" s="149"/>
      <c r="S1213" s="149"/>
      <c r="T1213" s="149"/>
      <c r="U1213" s="149"/>
      <c r="V1213" s="149"/>
      <c r="W1213" s="149"/>
      <c r="X1213" s="149"/>
      <c r="Y1213" s="149"/>
      <c r="Z1213" s="149"/>
      <c r="AA1213" s="149"/>
      <c r="AB1213" s="149"/>
      <c r="AC1213" s="149"/>
      <c r="AD1213" s="149"/>
      <c r="AE1213" s="149"/>
      <c r="AF1213" s="149"/>
      <c r="AG1213" s="149"/>
      <c r="AH1213" s="149"/>
      <c r="AI1213" s="149"/>
      <c r="AJ1213" s="149"/>
      <c r="AK1213" s="149"/>
      <c r="AL1213" s="149"/>
      <c r="AM1213" s="149"/>
      <c r="AN1213" s="149"/>
      <c r="AO1213" s="149"/>
      <c r="AP1213" s="149"/>
    </row>
    <row r="1214" ht="18.75" customHeight="1">
      <c r="A1214" s="149"/>
      <c r="B1214" s="149"/>
      <c r="C1214" s="304"/>
      <c r="D1214" s="149"/>
      <c r="E1214" s="149"/>
      <c r="F1214" s="149"/>
      <c r="G1214" s="149"/>
      <c r="H1214" s="149"/>
      <c r="I1214" s="149"/>
      <c r="J1214" s="149"/>
      <c r="K1214" s="149"/>
      <c r="L1214" s="149"/>
      <c r="M1214" s="149"/>
      <c r="N1214" s="149"/>
      <c r="O1214" s="149"/>
      <c r="P1214" s="149"/>
      <c r="Q1214" s="149"/>
      <c r="R1214" s="149"/>
      <c r="S1214" s="149"/>
      <c r="T1214" s="149"/>
      <c r="U1214" s="149"/>
      <c r="V1214" s="149"/>
      <c r="W1214" s="149"/>
      <c r="X1214" s="149"/>
      <c r="Y1214" s="149"/>
      <c r="Z1214" s="149"/>
      <c r="AA1214" s="149"/>
      <c r="AB1214" s="149"/>
      <c r="AC1214" s="149"/>
      <c r="AD1214" s="149"/>
      <c r="AE1214" s="149"/>
      <c r="AF1214" s="149"/>
      <c r="AG1214" s="149"/>
      <c r="AH1214" s="149"/>
      <c r="AI1214" s="149"/>
      <c r="AJ1214" s="149"/>
      <c r="AK1214" s="149"/>
      <c r="AL1214" s="149"/>
      <c r="AM1214" s="149"/>
      <c r="AN1214" s="149"/>
      <c r="AO1214" s="149"/>
      <c r="AP1214" s="149"/>
    </row>
    <row r="1215" ht="18.75" customHeight="1">
      <c r="A1215" s="149"/>
      <c r="B1215" s="149"/>
      <c r="C1215" s="304"/>
      <c r="D1215" s="149"/>
      <c r="E1215" s="149"/>
      <c r="F1215" s="149"/>
      <c r="G1215" s="149"/>
      <c r="H1215" s="149"/>
      <c r="I1215" s="149"/>
      <c r="J1215" s="149"/>
      <c r="K1215" s="149"/>
      <c r="L1215" s="149"/>
      <c r="M1215" s="149"/>
      <c r="N1215" s="149"/>
      <c r="O1215" s="149"/>
      <c r="P1215" s="149"/>
      <c r="Q1215" s="149"/>
      <c r="R1215" s="149"/>
      <c r="S1215" s="149"/>
      <c r="T1215" s="149"/>
      <c r="U1215" s="149"/>
      <c r="V1215" s="149"/>
      <c r="W1215" s="149"/>
      <c r="X1215" s="149"/>
      <c r="Y1215" s="149"/>
      <c r="Z1215" s="149"/>
      <c r="AA1215" s="149"/>
      <c r="AB1215" s="149"/>
      <c r="AC1215" s="149"/>
      <c r="AD1215" s="149"/>
      <c r="AE1215" s="149"/>
      <c r="AF1215" s="149"/>
      <c r="AG1215" s="149"/>
      <c r="AH1215" s="149"/>
      <c r="AI1215" s="149"/>
      <c r="AJ1215" s="149"/>
      <c r="AK1215" s="149"/>
      <c r="AL1215" s="149"/>
      <c r="AM1215" s="149"/>
      <c r="AN1215" s="149"/>
      <c r="AO1215" s="149"/>
      <c r="AP1215" s="149"/>
    </row>
    <row r="1216" ht="18.75" customHeight="1">
      <c r="A1216" s="149"/>
      <c r="B1216" s="149"/>
      <c r="C1216" s="304"/>
      <c r="D1216" s="149"/>
      <c r="E1216" s="149"/>
      <c r="F1216" s="149"/>
      <c r="G1216" s="149"/>
      <c r="H1216" s="149"/>
      <c r="I1216" s="149"/>
      <c r="J1216" s="149"/>
      <c r="K1216" s="149"/>
      <c r="L1216" s="149"/>
      <c r="M1216" s="149"/>
      <c r="N1216" s="149"/>
      <c r="O1216" s="149"/>
      <c r="P1216" s="149"/>
      <c r="Q1216" s="149"/>
      <c r="R1216" s="149"/>
      <c r="S1216" s="149"/>
      <c r="T1216" s="149"/>
      <c r="U1216" s="149"/>
      <c r="V1216" s="149"/>
      <c r="W1216" s="149"/>
      <c r="X1216" s="149"/>
      <c r="Y1216" s="149"/>
      <c r="Z1216" s="149"/>
      <c r="AA1216" s="149"/>
      <c r="AB1216" s="149"/>
      <c r="AC1216" s="149"/>
      <c r="AD1216" s="149"/>
      <c r="AE1216" s="149"/>
      <c r="AF1216" s="149"/>
      <c r="AG1216" s="149"/>
      <c r="AH1216" s="149"/>
      <c r="AI1216" s="149"/>
      <c r="AJ1216" s="149"/>
      <c r="AK1216" s="149"/>
      <c r="AL1216" s="149"/>
      <c r="AM1216" s="149"/>
      <c r="AN1216" s="149"/>
      <c r="AO1216" s="149"/>
      <c r="AP1216" s="149"/>
    </row>
    <row r="1217" ht="18.75" customHeight="1">
      <c r="A1217" s="149"/>
      <c r="B1217" s="149"/>
      <c r="C1217" s="304"/>
      <c r="D1217" s="149"/>
      <c r="E1217" s="149"/>
      <c r="F1217" s="149"/>
      <c r="G1217" s="149"/>
      <c r="H1217" s="149"/>
      <c r="I1217" s="149"/>
      <c r="J1217" s="149"/>
      <c r="K1217" s="149"/>
      <c r="L1217" s="149"/>
      <c r="M1217" s="149"/>
      <c r="N1217" s="149"/>
      <c r="O1217" s="149"/>
      <c r="P1217" s="149"/>
      <c r="Q1217" s="149"/>
      <c r="R1217" s="149"/>
      <c r="S1217" s="149"/>
      <c r="T1217" s="149"/>
      <c r="U1217" s="149"/>
      <c r="V1217" s="149"/>
      <c r="W1217" s="149"/>
      <c r="X1217" s="149"/>
      <c r="Y1217" s="149"/>
      <c r="Z1217" s="149"/>
      <c r="AA1217" s="149"/>
      <c r="AB1217" s="149"/>
      <c r="AC1217" s="149"/>
      <c r="AD1217" s="149"/>
      <c r="AE1217" s="149"/>
      <c r="AF1217" s="149"/>
      <c r="AG1217" s="149"/>
      <c r="AH1217" s="149"/>
      <c r="AI1217" s="149"/>
      <c r="AJ1217" s="149"/>
      <c r="AK1217" s="149"/>
      <c r="AL1217" s="149"/>
      <c r="AM1217" s="149"/>
      <c r="AN1217" s="149"/>
      <c r="AO1217" s="149"/>
      <c r="AP1217" s="149"/>
    </row>
    <row r="1218" ht="18.75" customHeight="1">
      <c r="A1218" s="149"/>
      <c r="B1218" s="149"/>
      <c r="C1218" s="304"/>
      <c r="D1218" s="149"/>
      <c r="E1218" s="149"/>
      <c r="F1218" s="149"/>
      <c r="G1218" s="149"/>
      <c r="H1218" s="149"/>
      <c r="I1218" s="149"/>
      <c r="J1218" s="149"/>
      <c r="K1218" s="149"/>
      <c r="L1218" s="149"/>
      <c r="M1218" s="149"/>
      <c r="N1218" s="149"/>
      <c r="O1218" s="149"/>
      <c r="P1218" s="149"/>
      <c r="Q1218" s="149"/>
      <c r="R1218" s="149"/>
      <c r="S1218" s="149"/>
      <c r="T1218" s="149"/>
      <c r="U1218" s="149"/>
      <c r="V1218" s="149"/>
      <c r="W1218" s="149"/>
      <c r="X1218" s="149"/>
      <c r="Y1218" s="149"/>
      <c r="Z1218" s="149"/>
      <c r="AA1218" s="149"/>
      <c r="AB1218" s="149"/>
      <c r="AC1218" s="149"/>
      <c r="AD1218" s="149"/>
      <c r="AE1218" s="149"/>
      <c r="AF1218" s="149"/>
      <c r="AG1218" s="149"/>
      <c r="AH1218" s="149"/>
      <c r="AI1218" s="149"/>
      <c r="AJ1218" s="149"/>
      <c r="AK1218" s="149"/>
      <c r="AL1218" s="149"/>
      <c r="AM1218" s="149"/>
      <c r="AN1218" s="149"/>
      <c r="AO1218" s="149"/>
      <c r="AP1218" s="149"/>
    </row>
    <row r="1219" ht="18.75" customHeight="1">
      <c r="A1219" s="149"/>
      <c r="B1219" s="149"/>
      <c r="C1219" s="304"/>
      <c r="D1219" s="149"/>
      <c r="E1219" s="149"/>
      <c r="F1219" s="149"/>
      <c r="G1219" s="149"/>
      <c r="H1219" s="149"/>
      <c r="I1219" s="149"/>
      <c r="J1219" s="149"/>
      <c r="K1219" s="149"/>
      <c r="L1219" s="149"/>
      <c r="M1219" s="149"/>
      <c r="N1219" s="149"/>
      <c r="O1219" s="149"/>
      <c r="P1219" s="149"/>
      <c r="Q1219" s="149"/>
      <c r="R1219" s="149"/>
      <c r="S1219" s="149"/>
      <c r="T1219" s="149"/>
      <c r="U1219" s="149"/>
      <c r="V1219" s="149"/>
      <c r="W1219" s="149"/>
      <c r="X1219" s="149"/>
      <c r="Y1219" s="149"/>
      <c r="Z1219" s="149"/>
      <c r="AA1219" s="149"/>
      <c r="AB1219" s="149"/>
      <c r="AC1219" s="149"/>
      <c r="AD1219" s="149"/>
      <c r="AE1219" s="149"/>
      <c r="AF1219" s="149"/>
      <c r="AG1219" s="149"/>
      <c r="AH1219" s="149"/>
      <c r="AI1219" s="149"/>
      <c r="AJ1219" s="149"/>
      <c r="AK1219" s="149"/>
      <c r="AL1219" s="149"/>
      <c r="AM1219" s="149"/>
      <c r="AN1219" s="149"/>
      <c r="AO1219" s="149"/>
      <c r="AP1219" s="149"/>
    </row>
    <row r="1220" ht="18.75" customHeight="1">
      <c r="A1220" s="149"/>
      <c r="B1220" s="149"/>
      <c r="C1220" s="304"/>
      <c r="D1220" s="149"/>
      <c r="E1220" s="149"/>
      <c r="F1220" s="149"/>
      <c r="G1220" s="149"/>
      <c r="H1220" s="149"/>
      <c r="I1220" s="149"/>
      <c r="J1220" s="149"/>
      <c r="K1220" s="149"/>
      <c r="L1220" s="149"/>
      <c r="M1220" s="149"/>
      <c r="N1220" s="149"/>
      <c r="O1220" s="149"/>
      <c r="P1220" s="149"/>
      <c r="Q1220" s="149"/>
      <c r="R1220" s="149"/>
      <c r="S1220" s="149"/>
      <c r="T1220" s="149"/>
      <c r="U1220" s="149"/>
      <c r="V1220" s="149"/>
      <c r="W1220" s="149"/>
      <c r="X1220" s="149"/>
      <c r="Y1220" s="149"/>
      <c r="Z1220" s="149"/>
      <c r="AA1220" s="149"/>
      <c r="AB1220" s="149"/>
      <c r="AC1220" s="149"/>
      <c r="AD1220" s="149"/>
      <c r="AE1220" s="149"/>
      <c r="AF1220" s="149"/>
      <c r="AG1220" s="149"/>
      <c r="AH1220" s="149"/>
      <c r="AI1220" s="149"/>
      <c r="AJ1220" s="149"/>
      <c r="AK1220" s="149"/>
      <c r="AL1220" s="149"/>
      <c r="AM1220" s="149"/>
      <c r="AN1220" s="149"/>
      <c r="AO1220" s="149"/>
      <c r="AP1220" s="149"/>
    </row>
    <row r="1221" ht="18.75" customHeight="1">
      <c r="A1221" s="149"/>
      <c r="B1221" s="149"/>
      <c r="C1221" s="304"/>
      <c r="D1221" s="149"/>
      <c r="E1221" s="149"/>
      <c r="F1221" s="149"/>
      <c r="G1221" s="149"/>
      <c r="H1221" s="149"/>
      <c r="I1221" s="149"/>
      <c r="J1221" s="149"/>
      <c r="K1221" s="149"/>
      <c r="L1221" s="149"/>
      <c r="M1221" s="149"/>
      <c r="N1221" s="149"/>
      <c r="O1221" s="149"/>
      <c r="P1221" s="149"/>
      <c r="Q1221" s="149"/>
      <c r="R1221" s="149"/>
      <c r="S1221" s="149"/>
      <c r="T1221" s="149"/>
      <c r="U1221" s="149"/>
      <c r="V1221" s="149"/>
      <c r="W1221" s="149"/>
      <c r="X1221" s="149"/>
      <c r="Y1221" s="149"/>
      <c r="Z1221" s="149"/>
      <c r="AA1221" s="149"/>
      <c r="AB1221" s="149"/>
      <c r="AC1221" s="149"/>
      <c r="AD1221" s="149"/>
      <c r="AE1221" s="149"/>
      <c r="AF1221" s="149"/>
      <c r="AG1221" s="149"/>
      <c r="AH1221" s="149"/>
      <c r="AI1221" s="149"/>
      <c r="AJ1221" s="149"/>
      <c r="AK1221" s="149"/>
      <c r="AL1221" s="149"/>
      <c r="AM1221" s="149"/>
      <c r="AN1221" s="149"/>
      <c r="AO1221" s="149"/>
      <c r="AP1221" s="149"/>
    </row>
    <row r="1222" ht="18.75" customHeight="1">
      <c r="A1222" s="149"/>
      <c r="B1222" s="149"/>
      <c r="C1222" s="304"/>
      <c r="D1222" s="149"/>
      <c r="E1222" s="149"/>
      <c r="F1222" s="149"/>
      <c r="G1222" s="149"/>
      <c r="H1222" s="149"/>
      <c r="I1222" s="149"/>
      <c r="J1222" s="149"/>
      <c r="K1222" s="149"/>
      <c r="L1222" s="149"/>
      <c r="M1222" s="149"/>
      <c r="N1222" s="149"/>
      <c r="O1222" s="149"/>
      <c r="P1222" s="149"/>
      <c r="Q1222" s="149"/>
      <c r="R1222" s="149"/>
      <c r="S1222" s="149"/>
      <c r="T1222" s="149"/>
      <c r="U1222" s="149"/>
      <c r="V1222" s="149"/>
      <c r="W1222" s="149"/>
      <c r="X1222" s="149"/>
      <c r="Y1222" s="149"/>
      <c r="Z1222" s="149"/>
      <c r="AA1222" s="149"/>
      <c r="AB1222" s="149"/>
      <c r="AC1222" s="149"/>
      <c r="AD1222" s="149"/>
      <c r="AE1222" s="149"/>
      <c r="AF1222" s="149"/>
      <c r="AG1222" s="149"/>
      <c r="AH1222" s="149"/>
      <c r="AI1222" s="149"/>
      <c r="AJ1222" s="149"/>
      <c r="AK1222" s="149"/>
      <c r="AL1222" s="149"/>
      <c r="AM1222" s="149"/>
      <c r="AN1222" s="149"/>
      <c r="AO1222" s="149"/>
      <c r="AP1222" s="149"/>
    </row>
    <row r="1223" ht="18.75" customHeight="1">
      <c r="A1223" s="149"/>
      <c r="B1223" s="149"/>
      <c r="C1223" s="304"/>
      <c r="D1223" s="149"/>
      <c r="E1223" s="149"/>
      <c r="F1223" s="149"/>
      <c r="G1223" s="149"/>
      <c r="H1223" s="149"/>
      <c r="I1223" s="149"/>
      <c r="J1223" s="149"/>
      <c r="K1223" s="149"/>
      <c r="L1223" s="149"/>
      <c r="M1223" s="149"/>
      <c r="N1223" s="149"/>
      <c r="O1223" s="149"/>
      <c r="P1223" s="149"/>
      <c r="Q1223" s="149"/>
      <c r="R1223" s="149"/>
      <c r="S1223" s="149"/>
      <c r="T1223" s="149"/>
      <c r="U1223" s="149"/>
      <c r="V1223" s="149"/>
      <c r="W1223" s="149"/>
      <c r="X1223" s="149"/>
      <c r="Y1223" s="149"/>
      <c r="Z1223" s="149"/>
      <c r="AA1223" s="149"/>
      <c r="AB1223" s="149"/>
      <c r="AC1223" s="149"/>
      <c r="AD1223" s="149"/>
      <c r="AE1223" s="149"/>
      <c r="AF1223" s="149"/>
      <c r="AG1223" s="149"/>
      <c r="AH1223" s="149"/>
      <c r="AI1223" s="149"/>
      <c r="AJ1223" s="149"/>
      <c r="AK1223" s="149"/>
      <c r="AL1223" s="149"/>
      <c r="AM1223" s="149"/>
      <c r="AN1223" s="149"/>
      <c r="AO1223" s="149"/>
      <c r="AP1223" s="149"/>
    </row>
    <row r="1224" ht="18.75" customHeight="1">
      <c r="A1224" s="149"/>
      <c r="B1224" s="149"/>
      <c r="C1224" s="304"/>
      <c r="D1224" s="149"/>
      <c r="E1224" s="149"/>
      <c r="F1224" s="149"/>
      <c r="G1224" s="149"/>
      <c r="H1224" s="149"/>
      <c r="I1224" s="149"/>
      <c r="J1224" s="149"/>
      <c r="K1224" s="149"/>
      <c r="L1224" s="149"/>
      <c r="M1224" s="149"/>
      <c r="N1224" s="149"/>
      <c r="O1224" s="149"/>
      <c r="P1224" s="149"/>
      <c r="Q1224" s="149"/>
      <c r="R1224" s="149"/>
      <c r="S1224" s="149"/>
      <c r="T1224" s="149"/>
      <c r="U1224" s="149"/>
      <c r="V1224" s="149"/>
      <c r="W1224" s="149"/>
      <c r="X1224" s="149"/>
      <c r="Y1224" s="149"/>
      <c r="Z1224" s="149"/>
      <c r="AA1224" s="149"/>
      <c r="AB1224" s="149"/>
      <c r="AC1224" s="149"/>
      <c r="AD1224" s="149"/>
      <c r="AE1224" s="149"/>
      <c r="AF1224" s="149"/>
      <c r="AG1224" s="149"/>
      <c r="AH1224" s="149"/>
      <c r="AI1224" s="149"/>
      <c r="AJ1224" s="149"/>
      <c r="AK1224" s="149"/>
      <c r="AL1224" s="149"/>
      <c r="AM1224" s="149"/>
      <c r="AN1224" s="149"/>
      <c r="AO1224" s="149"/>
      <c r="AP1224" s="149"/>
    </row>
    <row r="1225" ht="18.75" customHeight="1">
      <c r="A1225" s="149"/>
      <c r="B1225" s="149"/>
      <c r="C1225" s="304"/>
      <c r="D1225" s="149"/>
      <c r="E1225" s="149"/>
      <c r="F1225" s="149"/>
      <c r="G1225" s="149"/>
      <c r="H1225" s="149"/>
      <c r="I1225" s="149"/>
      <c r="J1225" s="149"/>
      <c r="K1225" s="149"/>
      <c r="L1225" s="149"/>
      <c r="M1225" s="149"/>
      <c r="N1225" s="149"/>
      <c r="O1225" s="149"/>
      <c r="P1225" s="149"/>
      <c r="Q1225" s="149"/>
      <c r="R1225" s="149"/>
      <c r="S1225" s="149"/>
      <c r="T1225" s="149"/>
      <c r="U1225" s="149"/>
      <c r="V1225" s="149"/>
      <c r="W1225" s="149"/>
      <c r="X1225" s="149"/>
      <c r="Y1225" s="149"/>
      <c r="Z1225" s="149"/>
      <c r="AA1225" s="149"/>
      <c r="AB1225" s="149"/>
      <c r="AC1225" s="149"/>
      <c r="AD1225" s="149"/>
      <c r="AE1225" s="149"/>
      <c r="AF1225" s="149"/>
      <c r="AG1225" s="149"/>
      <c r="AH1225" s="149"/>
      <c r="AI1225" s="149"/>
      <c r="AJ1225" s="149"/>
      <c r="AK1225" s="149"/>
      <c r="AL1225" s="149"/>
      <c r="AM1225" s="149"/>
      <c r="AN1225" s="149"/>
      <c r="AO1225" s="149"/>
      <c r="AP1225" s="149"/>
    </row>
    <row r="1226" ht="18.75" customHeight="1">
      <c r="A1226" s="149"/>
      <c r="B1226" s="149"/>
      <c r="C1226" s="304"/>
      <c r="D1226" s="149"/>
      <c r="E1226" s="149"/>
      <c r="F1226" s="149"/>
      <c r="G1226" s="149"/>
      <c r="H1226" s="149"/>
      <c r="I1226" s="149"/>
      <c r="J1226" s="149"/>
      <c r="K1226" s="149"/>
      <c r="L1226" s="149"/>
      <c r="M1226" s="149"/>
      <c r="N1226" s="149"/>
      <c r="O1226" s="149"/>
      <c r="P1226" s="149"/>
      <c r="Q1226" s="149"/>
      <c r="R1226" s="149"/>
      <c r="S1226" s="149"/>
      <c r="T1226" s="149"/>
      <c r="U1226" s="149"/>
      <c r="V1226" s="149"/>
      <c r="W1226" s="149"/>
      <c r="X1226" s="149"/>
      <c r="Y1226" s="149"/>
      <c r="Z1226" s="149"/>
      <c r="AA1226" s="149"/>
      <c r="AB1226" s="149"/>
      <c r="AC1226" s="149"/>
      <c r="AD1226" s="149"/>
      <c r="AE1226" s="149"/>
      <c r="AF1226" s="149"/>
      <c r="AG1226" s="149"/>
      <c r="AH1226" s="149"/>
      <c r="AI1226" s="149"/>
      <c r="AJ1226" s="149"/>
      <c r="AK1226" s="149"/>
      <c r="AL1226" s="149"/>
      <c r="AM1226" s="149"/>
      <c r="AN1226" s="149"/>
      <c r="AO1226" s="149"/>
      <c r="AP1226" s="149"/>
    </row>
    <row r="1227" ht="18.75" customHeight="1">
      <c r="A1227" s="149"/>
      <c r="B1227" s="149"/>
      <c r="C1227" s="304"/>
      <c r="D1227" s="149"/>
      <c r="E1227" s="149"/>
      <c r="F1227" s="149"/>
      <c r="G1227" s="149"/>
      <c r="H1227" s="149"/>
      <c r="I1227" s="149"/>
      <c r="J1227" s="149"/>
      <c r="K1227" s="149"/>
      <c r="L1227" s="149"/>
      <c r="M1227" s="149"/>
      <c r="N1227" s="149"/>
      <c r="O1227" s="149"/>
      <c r="P1227" s="149"/>
      <c r="Q1227" s="149"/>
      <c r="R1227" s="149"/>
      <c r="S1227" s="149"/>
      <c r="T1227" s="149"/>
      <c r="U1227" s="149"/>
      <c r="V1227" s="149"/>
      <c r="W1227" s="149"/>
      <c r="X1227" s="149"/>
      <c r="Y1227" s="149"/>
      <c r="Z1227" s="149"/>
      <c r="AA1227" s="149"/>
      <c r="AB1227" s="149"/>
      <c r="AC1227" s="149"/>
      <c r="AD1227" s="149"/>
      <c r="AE1227" s="149"/>
      <c r="AF1227" s="149"/>
      <c r="AG1227" s="149"/>
      <c r="AH1227" s="149"/>
      <c r="AI1227" s="149"/>
      <c r="AJ1227" s="149"/>
      <c r="AK1227" s="149"/>
      <c r="AL1227" s="149"/>
      <c r="AM1227" s="149"/>
      <c r="AN1227" s="149"/>
      <c r="AO1227" s="149"/>
      <c r="AP1227" s="149"/>
    </row>
    <row r="1228" ht="18.75" customHeight="1">
      <c r="A1228" s="149"/>
      <c r="B1228" s="149"/>
      <c r="C1228" s="304"/>
      <c r="D1228" s="149"/>
      <c r="E1228" s="149"/>
      <c r="F1228" s="149"/>
      <c r="G1228" s="149"/>
      <c r="H1228" s="149"/>
      <c r="I1228" s="149"/>
      <c r="J1228" s="149"/>
      <c r="K1228" s="149"/>
      <c r="L1228" s="149"/>
      <c r="M1228" s="149"/>
      <c r="N1228" s="149"/>
      <c r="O1228" s="149"/>
      <c r="P1228" s="149"/>
      <c r="Q1228" s="149"/>
      <c r="R1228" s="149"/>
      <c r="S1228" s="149"/>
      <c r="T1228" s="149"/>
      <c r="U1228" s="149"/>
      <c r="V1228" s="149"/>
      <c r="W1228" s="149"/>
      <c r="X1228" s="149"/>
      <c r="Y1228" s="149"/>
      <c r="Z1228" s="149"/>
      <c r="AA1228" s="149"/>
      <c r="AB1228" s="149"/>
      <c r="AC1228" s="149"/>
      <c r="AD1228" s="149"/>
      <c r="AE1228" s="149"/>
      <c r="AF1228" s="149"/>
      <c r="AG1228" s="149"/>
      <c r="AH1228" s="149"/>
      <c r="AI1228" s="149"/>
      <c r="AJ1228" s="149"/>
      <c r="AK1228" s="149"/>
      <c r="AL1228" s="149"/>
      <c r="AM1228" s="149"/>
      <c r="AN1228" s="149"/>
      <c r="AO1228" s="149"/>
      <c r="AP1228" s="149"/>
    </row>
    <row r="1229" ht="18.75" customHeight="1">
      <c r="A1229" s="149"/>
      <c r="B1229" s="149"/>
      <c r="C1229" s="304"/>
      <c r="D1229" s="149"/>
      <c r="E1229" s="149"/>
      <c r="F1229" s="149"/>
      <c r="G1229" s="149"/>
      <c r="H1229" s="149"/>
      <c r="I1229" s="149"/>
      <c r="J1229" s="149"/>
      <c r="K1229" s="149"/>
      <c r="L1229" s="149"/>
      <c r="M1229" s="149"/>
      <c r="N1229" s="149"/>
      <c r="O1229" s="149"/>
      <c r="P1229" s="149"/>
      <c r="Q1229" s="149"/>
      <c r="R1229" s="149"/>
      <c r="S1229" s="149"/>
      <c r="T1229" s="149"/>
      <c r="U1229" s="149"/>
      <c r="V1229" s="149"/>
      <c r="W1229" s="149"/>
      <c r="X1229" s="149"/>
      <c r="Y1229" s="149"/>
      <c r="Z1229" s="149"/>
      <c r="AA1229" s="149"/>
      <c r="AB1229" s="149"/>
      <c r="AC1229" s="149"/>
      <c r="AD1229" s="149"/>
      <c r="AE1229" s="149"/>
      <c r="AF1229" s="149"/>
      <c r="AG1229" s="149"/>
      <c r="AH1229" s="149"/>
      <c r="AI1229" s="149"/>
      <c r="AJ1229" s="149"/>
      <c r="AK1229" s="149"/>
      <c r="AL1229" s="149"/>
      <c r="AM1229" s="149"/>
      <c r="AN1229" s="149"/>
      <c r="AO1229" s="149"/>
      <c r="AP1229" s="149"/>
    </row>
    <row r="1230" ht="18.75" customHeight="1">
      <c r="A1230" s="149"/>
      <c r="B1230" s="149"/>
      <c r="C1230" s="304"/>
      <c r="D1230" s="149"/>
      <c r="E1230" s="149"/>
      <c r="F1230" s="149"/>
      <c r="G1230" s="149"/>
      <c r="H1230" s="149"/>
      <c r="I1230" s="149"/>
      <c r="J1230" s="149"/>
      <c r="K1230" s="149"/>
      <c r="L1230" s="149"/>
      <c r="M1230" s="149"/>
      <c r="N1230" s="149"/>
      <c r="O1230" s="149"/>
      <c r="P1230" s="149"/>
      <c r="Q1230" s="149"/>
      <c r="R1230" s="149"/>
      <c r="S1230" s="149"/>
      <c r="T1230" s="149"/>
      <c r="U1230" s="149"/>
      <c r="V1230" s="149"/>
      <c r="W1230" s="149"/>
      <c r="X1230" s="149"/>
      <c r="Y1230" s="149"/>
      <c r="Z1230" s="149"/>
      <c r="AA1230" s="149"/>
      <c r="AB1230" s="149"/>
      <c r="AC1230" s="149"/>
      <c r="AD1230" s="149"/>
      <c r="AE1230" s="149"/>
      <c r="AF1230" s="149"/>
      <c r="AG1230" s="149"/>
      <c r="AH1230" s="149"/>
      <c r="AI1230" s="149"/>
      <c r="AJ1230" s="149"/>
      <c r="AK1230" s="149"/>
      <c r="AL1230" s="149"/>
      <c r="AM1230" s="149"/>
      <c r="AN1230" s="149"/>
      <c r="AO1230" s="149"/>
      <c r="AP1230" s="149"/>
    </row>
    <row r="1231" ht="18.75" customHeight="1">
      <c r="A1231" s="149"/>
      <c r="B1231" s="149"/>
      <c r="C1231" s="304"/>
      <c r="D1231" s="149"/>
      <c r="E1231" s="149"/>
      <c r="F1231" s="149"/>
      <c r="G1231" s="149"/>
      <c r="H1231" s="149"/>
      <c r="I1231" s="149"/>
      <c r="J1231" s="149"/>
      <c r="K1231" s="149"/>
      <c r="L1231" s="149"/>
      <c r="M1231" s="149"/>
      <c r="N1231" s="149"/>
      <c r="O1231" s="149"/>
      <c r="P1231" s="149"/>
      <c r="Q1231" s="149"/>
      <c r="R1231" s="149"/>
      <c r="S1231" s="149"/>
      <c r="T1231" s="149"/>
      <c r="U1231" s="149"/>
      <c r="V1231" s="149"/>
      <c r="W1231" s="149"/>
      <c r="X1231" s="149"/>
      <c r="Y1231" s="149"/>
      <c r="Z1231" s="149"/>
      <c r="AA1231" s="149"/>
      <c r="AB1231" s="149"/>
      <c r="AC1231" s="149"/>
      <c r="AD1231" s="149"/>
      <c r="AE1231" s="149"/>
      <c r="AF1231" s="149"/>
      <c r="AG1231" s="149"/>
      <c r="AH1231" s="149"/>
      <c r="AI1231" s="149"/>
      <c r="AJ1231" s="149"/>
      <c r="AK1231" s="149"/>
      <c r="AL1231" s="149"/>
      <c r="AM1231" s="149"/>
      <c r="AN1231" s="149"/>
      <c r="AO1231" s="149"/>
      <c r="AP1231" s="149"/>
    </row>
    <row r="1232" ht="18.75" customHeight="1">
      <c r="A1232" s="149"/>
      <c r="B1232" s="149"/>
      <c r="C1232" s="304"/>
      <c r="D1232" s="149"/>
      <c r="E1232" s="149"/>
      <c r="F1232" s="149"/>
      <c r="G1232" s="149"/>
      <c r="H1232" s="149"/>
      <c r="I1232" s="149"/>
      <c r="J1232" s="149"/>
      <c r="K1232" s="149"/>
      <c r="L1232" s="149"/>
      <c r="M1232" s="149"/>
      <c r="N1232" s="149"/>
      <c r="O1232" s="149"/>
      <c r="P1232" s="149"/>
      <c r="Q1232" s="149"/>
      <c r="R1232" s="149"/>
      <c r="S1232" s="149"/>
      <c r="T1232" s="149"/>
      <c r="U1232" s="149"/>
      <c r="V1232" s="149"/>
      <c r="W1232" s="149"/>
      <c r="X1232" s="149"/>
      <c r="Y1232" s="149"/>
      <c r="Z1232" s="149"/>
      <c r="AA1232" s="149"/>
      <c r="AB1232" s="149"/>
      <c r="AC1232" s="149"/>
      <c r="AD1232" s="149"/>
      <c r="AE1232" s="149"/>
      <c r="AF1232" s="149"/>
      <c r="AG1232" s="149"/>
      <c r="AH1232" s="149"/>
      <c r="AI1232" s="149"/>
      <c r="AJ1232" s="149"/>
      <c r="AK1232" s="149"/>
      <c r="AL1232" s="149"/>
      <c r="AM1232" s="149"/>
      <c r="AN1232" s="149"/>
      <c r="AO1232" s="149"/>
      <c r="AP1232" s="149"/>
    </row>
    <row r="1233" ht="18.75" customHeight="1">
      <c r="A1233" s="149"/>
      <c r="B1233" s="149"/>
      <c r="C1233" s="304"/>
      <c r="D1233" s="149"/>
      <c r="E1233" s="149"/>
      <c r="F1233" s="149"/>
      <c r="G1233" s="149"/>
      <c r="H1233" s="149"/>
      <c r="I1233" s="149"/>
      <c r="J1233" s="149"/>
      <c r="K1233" s="149"/>
      <c r="L1233" s="149"/>
      <c r="M1233" s="149"/>
      <c r="N1233" s="149"/>
      <c r="O1233" s="149"/>
      <c r="P1233" s="149"/>
      <c r="Q1233" s="149"/>
      <c r="R1233" s="149"/>
      <c r="S1233" s="149"/>
      <c r="T1233" s="149"/>
      <c r="U1233" s="149"/>
      <c r="V1233" s="149"/>
      <c r="W1233" s="149"/>
      <c r="X1233" s="149"/>
      <c r="Y1233" s="149"/>
      <c r="Z1233" s="149"/>
      <c r="AA1233" s="149"/>
      <c r="AB1233" s="149"/>
      <c r="AC1233" s="149"/>
      <c r="AD1233" s="149"/>
      <c r="AE1233" s="149"/>
      <c r="AF1233" s="149"/>
      <c r="AG1233" s="149"/>
      <c r="AH1233" s="149"/>
      <c r="AI1233" s="149"/>
      <c r="AJ1233" s="149"/>
      <c r="AK1233" s="149"/>
      <c r="AL1233" s="149"/>
      <c r="AM1233" s="149"/>
      <c r="AN1233" s="149"/>
      <c r="AO1233" s="149"/>
      <c r="AP1233" s="149"/>
    </row>
    <row r="1234" ht="18.75" customHeight="1">
      <c r="A1234" s="149"/>
      <c r="B1234" s="149"/>
      <c r="C1234" s="304"/>
      <c r="D1234" s="149"/>
      <c r="E1234" s="149"/>
      <c r="F1234" s="149"/>
      <c r="G1234" s="149"/>
      <c r="H1234" s="149"/>
      <c r="I1234" s="149"/>
      <c r="J1234" s="149"/>
      <c r="K1234" s="149"/>
      <c r="L1234" s="149"/>
      <c r="M1234" s="149"/>
      <c r="N1234" s="149"/>
      <c r="O1234" s="149"/>
      <c r="P1234" s="149"/>
      <c r="Q1234" s="149"/>
      <c r="R1234" s="149"/>
      <c r="S1234" s="149"/>
      <c r="T1234" s="149"/>
      <c r="U1234" s="149"/>
      <c r="V1234" s="149"/>
      <c r="W1234" s="149"/>
      <c r="X1234" s="149"/>
      <c r="Y1234" s="149"/>
      <c r="Z1234" s="149"/>
      <c r="AA1234" s="149"/>
      <c r="AB1234" s="149"/>
      <c r="AC1234" s="149"/>
      <c r="AD1234" s="149"/>
      <c r="AE1234" s="149"/>
      <c r="AF1234" s="149"/>
      <c r="AG1234" s="149"/>
      <c r="AH1234" s="149"/>
      <c r="AI1234" s="149"/>
      <c r="AJ1234" s="149"/>
      <c r="AK1234" s="149"/>
      <c r="AL1234" s="149"/>
      <c r="AM1234" s="149"/>
      <c r="AN1234" s="149"/>
      <c r="AO1234" s="149"/>
      <c r="AP1234" s="149"/>
    </row>
    <row r="1235" ht="18.75" customHeight="1">
      <c r="A1235" s="149"/>
      <c r="B1235" s="149"/>
      <c r="C1235" s="304"/>
      <c r="D1235" s="149"/>
      <c r="E1235" s="149"/>
      <c r="F1235" s="149"/>
      <c r="G1235" s="149"/>
      <c r="H1235" s="149"/>
      <c r="I1235" s="149"/>
      <c r="J1235" s="149"/>
      <c r="K1235" s="149"/>
      <c r="L1235" s="149"/>
      <c r="M1235" s="149"/>
      <c r="N1235" s="149"/>
      <c r="O1235" s="149"/>
      <c r="P1235" s="149"/>
      <c r="Q1235" s="149"/>
      <c r="R1235" s="149"/>
      <c r="S1235" s="149"/>
      <c r="T1235" s="149"/>
      <c r="U1235" s="149"/>
      <c r="V1235" s="149"/>
      <c r="W1235" s="149"/>
      <c r="X1235" s="149"/>
      <c r="Y1235" s="149"/>
      <c r="Z1235" s="149"/>
      <c r="AA1235" s="149"/>
      <c r="AB1235" s="149"/>
      <c r="AC1235" s="149"/>
      <c r="AD1235" s="149"/>
      <c r="AE1235" s="149"/>
      <c r="AF1235" s="149"/>
      <c r="AG1235" s="149"/>
      <c r="AH1235" s="149"/>
      <c r="AI1235" s="149"/>
      <c r="AJ1235" s="149"/>
      <c r="AK1235" s="149"/>
      <c r="AL1235" s="149"/>
      <c r="AM1235" s="149"/>
      <c r="AN1235" s="149"/>
      <c r="AO1235" s="149"/>
      <c r="AP1235" s="149"/>
    </row>
    <row r="1236" ht="18.75" customHeight="1">
      <c r="A1236" s="149"/>
      <c r="B1236" s="149"/>
      <c r="C1236" s="304"/>
      <c r="D1236" s="149"/>
      <c r="E1236" s="149"/>
      <c r="F1236" s="149"/>
      <c r="G1236" s="149"/>
      <c r="H1236" s="149"/>
      <c r="I1236" s="149"/>
      <c r="J1236" s="149"/>
      <c r="K1236" s="149"/>
      <c r="L1236" s="149"/>
      <c r="M1236" s="149"/>
      <c r="N1236" s="149"/>
      <c r="O1236" s="149"/>
      <c r="P1236" s="149"/>
      <c r="Q1236" s="149"/>
      <c r="R1236" s="149"/>
      <c r="S1236" s="149"/>
      <c r="T1236" s="149"/>
      <c r="U1236" s="149"/>
      <c r="V1236" s="149"/>
      <c r="W1236" s="149"/>
      <c r="X1236" s="149"/>
      <c r="Y1236" s="149"/>
      <c r="Z1236" s="149"/>
      <c r="AA1236" s="149"/>
      <c r="AB1236" s="149"/>
      <c r="AC1236" s="149"/>
      <c r="AD1236" s="149"/>
      <c r="AE1236" s="149"/>
      <c r="AF1236" s="149"/>
      <c r="AG1236" s="149"/>
      <c r="AH1236" s="149"/>
      <c r="AI1236" s="149"/>
      <c r="AJ1236" s="149"/>
      <c r="AK1236" s="149"/>
      <c r="AL1236" s="149"/>
      <c r="AM1236" s="149"/>
      <c r="AN1236" s="149"/>
      <c r="AO1236" s="149"/>
      <c r="AP1236" s="149"/>
    </row>
    <row r="1237" ht="18.75" customHeight="1">
      <c r="A1237" s="149"/>
      <c r="B1237" s="149"/>
      <c r="C1237" s="304"/>
      <c r="D1237" s="149"/>
      <c r="E1237" s="149"/>
      <c r="F1237" s="149"/>
      <c r="G1237" s="149"/>
      <c r="H1237" s="149"/>
      <c r="I1237" s="149"/>
      <c r="J1237" s="149"/>
      <c r="K1237" s="149"/>
      <c r="L1237" s="149"/>
      <c r="M1237" s="149"/>
      <c r="N1237" s="149"/>
      <c r="O1237" s="149"/>
      <c r="P1237" s="149"/>
      <c r="Q1237" s="149"/>
      <c r="R1237" s="149"/>
      <c r="S1237" s="149"/>
      <c r="T1237" s="149"/>
      <c r="U1237" s="149"/>
      <c r="V1237" s="149"/>
      <c r="W1237" s="149"/>
      <c r="X1237" s="149"/>
      <c r="Y1237" s="149"/>
      <c r="Z1237" s="149"/>
      <c r="AA1237" s="149"/>
      <c r="AB1237" s="149"/>
      <c r="AC1237" s="149"/>
      <c r="AD1237" s="149"/>
      <c r="AE1237" s="149"/>
      <c r="AF1237" s="149"/>
      <c r="AG1237" s="149"/>
      <c r="AH1237" s="149"/>
      <c r="AI1237" s="149"/>
      <c r="AJ1237" s="149"/>
      <c r="AK1237" s="149"/>
      <c r="AL1237" s="149"/>
      <c r="AM1237" s="149"/>
      <c r="AN1237" s="149"/>
      <c r="AO1237" s="149"/>
      <c r="AP1237" s="149"/>
    </row>
    <row r="1238" ht="18.75" customHeight="1">
      <c r="A1238" s="149"/>
      <c r="B1238" s="149"/>
      <c r="C1238" s="304"/>
      <c r="D1238" s="149"/>
      <c r="E1238" s="149"/>
      <c r="F1238" s="149"/>
      <c r="G1238" s="149"/>
      <c r="H1238" s="149"/>
      <c r="I1238" s="149"/>
      <c r="J1238" s="149"/>
      <c r="K1238" s="149"/>
      <c r="L1238" s="149"/>
      <c r="M1238" s="149"/>
      <c r="N1238" s="149"/>
      <c r="O1238" s="149"/>
      <c r="P1238" s="149"/>
      <c r="Q1238" s="149"/>
      <c r="R1238" s="149"/>
      <c r="S1238" s="149"/>
      <c r="T1238" s="149"/>
      <c r="U1238" s="149"/>
      <c r="V1238" s="149"/>
      <c r="W1238" s="149"/>
      <c r="X1238" s="149"/>
      <c r="Y1238" s="149"/>
      <c r="Z1238" s="149"/>
      <c r="AA1238" s="149"/>
      <c r="AB1238" s="149"/>
      <c r="AC1238" s="149"/>
      <c r="AD1238" s="149"/>
      <c r="AE1238" s="149"/>
      <c r="AF1238" s="149"/>
      <c r="AG1238" s="149"/>
      <c r="AH1238" s="149"/>
      <c r="AI1238" s="149"/>
      <c r="AJ1238" s="149"/>
      <c r="AK1238" s="149"/>
      <c r="AL1238" s="149"/>
      <c r="AM1238" s="149"/>
      <c r="AN1238" s="149"/>
      <c r="AO1238" s="149"/>
      <c r="AP1238" s="149"/>
    </row>
    <row r="1239" ht="18.75" customHeight="1">
      <c r="A1239" s="149"/>
      <c r="B1239" s="149"/>
      <c r="C1239" s="304"/>
      <c r="D1239" s="149"/>
      <c r="E1239" s="149"/>
      <c r="F1239" s="149"/>
      <c r="G1239" s="149"/>
      <c r="H1239" s="149"/>
      <c r="I1239" s="149"/>
      <c r="J1239" s="149"/>
      <c r="K1239" s="149"/>
      <c r="L1239" s="149"/>
      <c r="M1239" s="149"/>
      <c r="N1239" s="149"/>
      <c r="O1239" s="149"/>
      <c r="P1239" s="149"/>
      <c r="Q1239" s="149"/>
      <c r="R1239" s="149"/>
      <c r="S1239" s="149"/>
      <c r="T1239" s="149"/>
      <c r="U1239" s="149"/>
      <c r="V1239" s="149"/>
      <c r="W1239" s="149"/>
      <c r="X1239" s="149"/>
      <c r="Y1239" s="149"/>
      <c r="Z1239" s="149"/>
      <c r="AA1239" s="149"/>
      <c r="AB1239" s="149"/>
      <c r="AC1239" s="149"/>
      <c r="AD1239" s="149"/>
      <c r="AE1239" s="149"/>
      <c r="AF1239" s="149"/>
      <c r="AG1239" s="149"/>
      <c r="AH1239" s="149"/>
      <c r="AI1239" s="149"/>
      <c r="AJ1239" s="149"/>
      <c r="AK1239" s="149"/>
      <c r="AL1239" s="149"/>
      <c r="AM1239" s="149"/>
      <c r="AN1239" s="149"/>
      <c r="AO1239" s="149"/>
      <c r="AP1239" s="149"/>
    </row>
    <row r="1240" ht="18.75" customHeight="1">
      <c r="A1240" s="149"/>
      <c r="B1240" s="149"/>
      <c r="C1240" s="304"/>
      <c r="D1240" s="149"/>
      <c r="E1240" s="149"/>
      <c r="F1240" s="149"/>
      <c r="G1240" s="149"/>
      <c r="H1240" s="149"/>
      <c r="I1240" s="149"/>
      <c r="J1240" s="149"/>
      <c r="K1240" s="149"/>
      <c r="L1240" s="149"/>
      <c r="M1240" s="149"/>
      <c r="N1240" s="149"/>
      <c r="O1240" s="149"/>
      <c r="P1240" s="149"/>
      <c r="Q1240" s="149"/>
      <c r="R1240" s="149"/>
      <c r="S1240" s="149"/>
      <c r="T1240" s="149"/>
      <c r="U1240" s="149"/>
      <c r="V1240" s="149"/>
      <c r="W1240" s="149"/>
      <c r="X1240" s="149"/>
      <c r="Y1240" s="149"/>
      <c r="Z1240" s="149"/>
      <c r="AA1240" s="149"/>
      <c r="AB1240" s="149"/>
      <c r="AC1240" s="149"/>
      <c r="AD1240" s="149"/>
      <c r="AE1240" s="149"/>
      <c r="AF1240" s="149"/>
      <c r="AG1240" s="149"/>
      <c r="AH1240" s="149"/>
      <c r="AI1240" s="149"/>
      <c r="AJ1240" s="149"/>
      <c r="AK1240" s="149"/>
      <c r="AL1240" s="149"/>
      <c r="AM1240" s="149"/>
      <c r="AN1240" s="149"/>
      <c r="AO1240" s="149"/>
      <c r="AP1240" s="149"/>
    </row>
    <row r="1241" ht="18.75" customHeight="1">
      <c r="A1241" s="149"/>
      <c r="B1241" s="149"/>
      <c r="C1241" s="304"/>
      <c r="D1241" s="149"/>
      <c r="E1241" s="149"/>
      <c r="F1241" s="149"/>
      <c r="G1241" s="149"/>
      <c r="H1241" s="149"/>
      <c r="I1241" s="149"/>
      <c r="J1241" s="149"/>
      <c r="K1241" s="149"/>
      <c r="L1241" s="149"/>
      <c r="M1241" s="149"/>
      <c r="N1241" s="149"/>
      <c r="O1241" s="149"/>
      <c r="P1241" s="149"/>
      <c r="Q1241" s="149"/>
      <c r="R1241" s="149"/>
      <c r="S1241" s="149"/>
      <c r="T1241" s="149"/>
      <c r="U1241" s="149"/>
      <c r="V1241" s="149"/>
      <c r="W1241" s="149"/>
      <c r="X1241" s="149"/>
      <c r="Y1241" s="149"/>
      <c r="Z1241" s="149"/>
      <c r="AA1241" s="149"/>
      <c r="AB1241" s="149"/>
      <c r="AC1241" s="149"/>
      <c r="AD1241" s="149"/>
      <c r="AE1241" s="149"/>
      <c r="AF1241" s="149"/>
      <c r="AG1241" s="149"/>
      <c r="AH1241" s="149"/>
      <c r="AI1241" s="149"/>
      <c r="AJ1241" s="149"/>
      <c r="AK1241" s="149"/>
      <c r="AL1241" s="149"/>
      <c r="AM1241" s="149"/>
      <c r="AN1241" s="149"/>
      <c r="AO1241" s="149"/>
      <c r="AP1241" s="149"/>
    </row>
    <row r="1242" ht="18.75" customHeight="1">
      <c r="A1242" s="149"/>
      <c r="B1242" s="149"/>
      <c r="C1242" s="304"/>
      <c r="D1242" s="149"/>
      <c r="E1242" s="149"/>
      <c r="F1242" s="149"/>
      <c r="G1242" s="149"/>
      <c r="H1242" s="149"/>
      <c r="I1242" s="149"/>
      <c r="J1242" s="149"/>
      <c r="K1242" s="149"/>
      <c r="L1242" s="149"/>
      <c r="M1242" s="149"/>
      <c r="N1242" s="149"/>
      <c r="O1242" s="149"/>
      <c r="P1242" s="149"/>
      <c r="Q1242" s="149"/>
      <c r="R1242" s="149"/>
      <c r="S1242" s="149"/>
      <c r="T1242" s="149"/>
      <c r="U1242" s="149"/>
      <c r="V1242" s="149"/>
      <c r="W1242" s="149"/>
      <c r="X1242" s="149"/>
      <c r="Y1242" s="149"/>
      <c r="Z1242" s="149"/>
      <c r="AA1242" s="149"/>
      <c r="AB1242" s="149"/>
      <c r="AC1242" s="149"/>
      <c r="AD1242" s="149"/>
      <c r="AE1242" s="149"/>
      <c r="AF1242" s="149"/>
      <c r="AG1242" s="149"/>
      <c r="AH1242" s="149"/>
      <c r="AI1242" s="149"/>
      <c r="AJ1242" s="149"/>
      <c r="AK1242" s="149"/>
      <c r="AL1242" s="149"/>
      <c r="AM1242" s="149"/>
      <c r="AN1242" s="149"/>
      <c r="AO1242" s="149"/>
      <c r="AP1242" s="149"/>
    </row>
    <row r="1243" ht="18.75" customHeight="1">
      <c r="A1243" s="149"/>
      <c r="B1243" s="149"/>
      <c r="C1243" s="304"/>
      <c r="D1243" s="149"/>
      <c r="E1243" s="149"/>
      <c r="F1243" s="149"/>
      <c r="G1243" s="149"/>
      <c r="H1243" s="149"/>
      <c r="I1243" s="149"/>
      <c r="J1243" s="149"/>
      <c r="K1243" s="149"/>
      <c r="L1243" s="149"/>
      <c r="M1243" s="149"/>
      <c r="N1243" s="149"/>
      <c r="O1243" s="149"/>
      <c r="P1243" s="149"/>
      <c r="Q1243" s="149"/>
      <c r="R1243" s="149"/>
      <c r="S1243" s="149"/>
      <c r="T1243" s="149"/>
      <c r="U1243" s="149"/>
      <c r="V1243" s="149"/>
      <c r="W1243" s="149"/>
      <c r="X1243" s="149"/>
      <c r="Y1243" s="149"/>
      <c r="Z1243" s="149"/>
      <c r="AA1243" s="149"/>
      <c r="AB1243" s="149"/>
      <c r="AC1243" s="149"/>
      <c r="AD1243" s="149"/>
      <c r="AE1243" s="149"/>
      <c r="AF1243" s="149"/>
      <c r="AG1243" s="149"/>
      <c r="AH1243" s="149"/>
      <c r="AI1243" s="149"/>
      <c r="AJ1243" s="149"/>
      <c r="AK1243" s="149"/>
      <c r="AL1243" s="149"/>
      <c r="AM1243" s="149"/>
      <c r="AN1243" s="149"/>
      <c r="AO1243" s="149"/>
      <c r="AP1243" s="149"/>
    </row>
    <row r="1244" ht="18.75" customHeight="1">
      <c r="A1244" s="149"/>
      <c r="B1244" s="149"/>
      <c r="C1244" s="304"/>
      <c r="D1244" s="149"/>
      <c r="E1244" s="149"/>
      <c r="F1244" s="149"/>
      <c r="G1244" s="149"/>
      <c r="H1244" s="149"/>
      <c r="I1244" s="149"/>
      <c r="J1244" s="149"/>
      <c r="K1244" s="149"/>
      <c r="L1244" s="149"/>
      <c r="M1244" s="149"/>
      <c r="N1244" s="149"/>
      <c r="O1244" s="149"/>
      <c r="P1244" s="149"/>
      <c r="Q1244" s="149"/>
      <c r="R1244" s="149"/>
      <c r="S1244" s="149"/>
      <c r="T1244" s="149"/>
      <c r="U1244" s="149"/>
      <c r="V1244" s="149"/>
      <c r="W1244" s="149"/>
      <c r="X1244" s="149"/>
      <c r="Y1244" s="149"/>
      <c r="Z1244" s="149"/>
      <c r="AA1244" s="149"/>
      <c r="AB1244" s="149"/>
      <c r="AC1244" s="149"/>
      <c r="AD1244" s="149"/>
      <c r="AE1244" s="149"/>
      <c r="AF1244" s="149"/>
      <c r="AG1244" s="149"/>
      <c r="AH1244" s="149"/>
      <c r="AI1244" s="149"/>
      <c r="AJ1244" s="149"/>
      <c r="AK1244" s="149"/>
      <c r="AL1244" s="149"/>
      <c r="AM1244" s="149"/>
      <c r="AN1244" s="149"/>
      <c r="AO1244" s="149"/>
      <c r="AP1244" s="149"/>
    </row>
    <row r="1245" ht="18.75" customHeight="1">
      <c r="A1245" s="149"/>
      <c r="B1245" s="149"/>
      <c r="C1245" s="304"/>
      <c r="D1245" s="149"/>
      <c r="E1245" s="149"/>
      <c r="F1245" s="149"/>
      <c r="G1245" s="149"/>
      <c r="H1245" s="149"/>
      <c r="I1245" s="149"/>
      <c r="J1245" s="149"/>
      <c r="K1245" s="149"/>
      <c r="L1245" s="149"/>
      <c r="M1245" s="149"/>
      <c r="N1245" s="149"/>
      <c r="O1245" s="149"/>
      <c r="P1245" s="149"/>
      <c r="Q1245" s="149"/>
      <c r="R1245" s="149"/>
      <c r="S1245" s="149"/>
      <c r="T1245" s="149"/>
      <c r="U1245" s="149"/>
      <c r="V1245" s="149"/>
      <c r="W1245" s="149"/>
      <c r="X1245" s="149"/>
      <c r="Y1245" s="149"/>
      <c r="Z1245" s="149"/>
      <c r="AA1245" s="149"/>
      <c r="AB1245" s="149"/>
      <c r="AC1245" s="149"/>
      <c r="AD1245" s="149"/>
      <c r="AE1245" s="149"/>
      <c r="AF1245" s="149"/>
      <c r="AG1245" s="149"/>
      <c r="AH1245" s="149"/>
      <c r="AI1245" s="149"/>
      <c r="AJ1245" s="149"/>
      <c r="AK1245" s="149"/>
      <c r="AL1245" s="149"/>
      <c r="AM1245" s="149"/>
      <c r="AN1245" s="149"/>
      <c r="AO1245" s="149"/>
      <c r="AP1245" s="149"/>
    </row>
    <row r="1246" ht="18.75" customHeight="1">
      <c r="A1246" s="149"/>
      <c r="B1246" s="149"/>
      <c r="C1246" s="304"/>
      <c r="D1246" s="149"/>
      <c r="E1246" s="149"/>
      <c r="F1246" s="149"/>
      <c r="G1246" s="149"/>
      <c r="H1246" s="149"/>
      <c r="I1246" s="149"/>
      <c r="J1246" s="149"/>
      <c r="K1246" s="149"/>
      <c r="L1246" s="149"/>
      <c r="M1246" s="149"/>
      <c r="N1246" s="149"/>
      <c r="O1246" s="149"/>
      <c r="P1246" s="149"/>
      <c r="Q1246" s="149"/>
      <c r="R1246" s="149"/>
      <c r="S1246" s="149"/>
      <c r="T1246" s="149"/>
      <c r="U1246" s="149"/>
      <c r="V1246" s="149"/>
      <c r="W1246" s="149"/>
      <c r="X1246" s="149"/>
      <c r="Y1246" s="149"/>
      <c r="Z1246" s="149"/>
      <c r="AA1246" s="149"/>
      <c r="AB1246" s="149"/>
      <c r="AC1246" s="149"/>
      <c r="AD1246" s="149"/>
      <c r="AE1246" s="149"/>
      <c r="AF1246" s="149"/>
      <c r="AG1246" s="149"/>
      <c r="AH1246" s="149"/>
      <c r="AI1246" s="149"/>
      <c r="AJ1246" s="149"/>
      <c r="AK1246" s="149"/>
      <c r="AL1246" s="149"/>
      <c r="AM1246" s="149"/>
      <c r="AN1246" s="149"/>
      <c r="AO1246" s="149"/>
      <c r="AP1246" s="149"/>
    </row>
    <row r="1247" ht="18.75" customHeight="1">
      <c r="A1247" s="149"/>
      <c r="B1247" s="149"/>
      <c r="C1247" s="304"/>
      <c r="D1247" s="149"/>
      <c r="E1247" s="149"/>
      <c r="F1247" s="149"/>
      <c r="G1247" s="149"/>
      <c r="H1247" s="149"/>
      <c r="I1247" s="149"/>
      <c r="J1247" s="149"/>
      <c r="K1247" s="149"/>
      <c r="L1247" s="149"/>
      <c r="M1247" s="149"/>
      <c r="N1247" s="149"/>
      <c r="O1247" s="149"/>
      <c r="P1247" s="149"/>
      <c r="Q1247" s="149"/>
      <c r="R1247" s="149"/>
      <c r="S1247" s="149"/>
      <c r="T1247" s="149"/>
      <c r="U1247" s="149"/>
      <c r="V1247" s="149"/>
      <c r="W1247" s="149"/>
      <c r="X1247" s="149"/>
      <c r="Y1247" s="149"/>
      <c r="Z1247" s="149"/>
      <c r="AA1247" s="149"/>
      <c r="AB1247" s="149"/>
      <c r="AC1247" s="149"/>
      <c r="AD1247" s="149"/>
      <c r="AE1247" s="149"/>
      <c r="AF1247" s="149"/>
      <c r="AG1247" s="149"/>
      <c r="AH1247" s="149"/>
      <c r="AI1247" s="149"/>
      <c r="AJ1247" s="149"/>
      <c r="AK1247" s="149"/>
      <c r="AL1247" s="149"/>
      <c r="AM1247" s="149"/>
      <c r="AN1247" s="149"/>
      <c r="AO1247" s="149"/>
      <c r="AP1247" s="149"/>
    </row>
    <row r="1248" ht="18.75" customHeight="1">
      <c r="A1248" s="149"/>
      <c r="B1248" s="149"/>
      <c r="C1248" s="304"/>
      <c r="D1248" s="149"/>
      <c r="E1248" s="149"/>
      <c r="F1248" s="149"/>
      <c r="G1248" s="149"/>
      <c r="H1248" s="149"/>
      <c r="I1248" s="149"/>
      <c r="J1248" s="149"/>
      <c r="K1248" s="149"/>
      <c r="L1248" s="149"/>
      <c r="M1248" s="149"/>
      <c r="N1248" s="149"/>
      <c r="O1248" s="149"/>
      <c r="P1248" s="149"/>
      <c r="Q1248" s="149"/>
      <c r="R1248" s="149"/>
      <c r="S1248" s="149"/>
      <c r="T1248" s="149"/>
      <c r="U1248" s="149"/>
      <c r="V1248" s="149"/>
      <c r="W1248" s="149"/>
      <c r="X1248" s="149"/>
      <c r="Y1248" s="149"/>
      <c r="Z1248" s="149"/>
      <c r="AA1248" s="149"/>
      <c r="AB1248" s="149"/>
      <c r="AC1248" s="149"/>
      <c r="AD1248" s="149"/>
      <c r="AE1248" s="149"/>
      <c r="AF1248" s="149"/>
      <c r="AG1248" s="149"/>
      <c r="AH1248" s="149"/>
      <c r="AI1248" s="149"/>
      <c r="AJ1248" s="149"/>
      <c r="AK1248" s="149"/>
      <c r="AL1248" s="149"/>
      <c r="AM1248" s="149"/>
      <c r="AN1248" s="149"/>
      <c r="AO1248" s="149"/>
      <c r="AP1248" s="149"/>
    </row>
    <row r="1249" ht="18.75" customHeight="1">
      <c r="A1249" s="149"/>
      <c r="B1249" s="149"/>
      <c r="C1249" s="304"/>
      <c r="D1249" s="149"/>
      <c r="E1249" s="149"/>
      <c r="F1249" s="149"/>
      <c r="G1249" s="149"/>
      <c r="H1249" s="149"/>
      <c r="I1249" s="149"/>
      <c r="J1249" s="149"/>
      <c r="K1249" s="149"/>
      <c r="L1249" s="149"/>
      <c r="M1249" s="149"/>
      <c r="N1249" s="149"/>
      <c r="O1249" s="149"/>
      <c r="P1249" s="149"/>
      <c r="Q1249" s="149"/>
      <c r="R1249" s="149"/>
      <c r="S1249" s="149"/>
      <c r="T1249" s="149"/>
      <c r="U1249" s="149"/>
      <c r="V1249" s="149"/>
      <c r="W1249" s="149"/>
      <c r="X1249" s="149"/>
      <c r="Y1249" s="149"/>
      <c r="Z1249" s="149"/>
      <c r="AA1249" s="149"/>
      <c r="AB1249" s="149"/>
      <c r="AC1249" s="149"/>
      <c r="AD1249" s="149"/>
      <c r="AE1249" s="149"/>
      <c r="AF1249" s="149"/>
      <c r="AG1249" s="149"/>
      <c r="AH1249" s="149"/>
      <c r="AI1249" s="149"/>
      <c r="AJ1249" s="149"/>
      <c r="AK1249" s="149"/>
      <c r="AL1249" s="149"/>
      <c r="AM1249" s="149"/>
      <c r="AN1249" s="149"/>
      <c r="AO1249" s="149"/>
      <c r="AP1249" s="149"/>
    </row>
    <row r="1250" ht="18.75" customHeight="1">
      <c r="A1250" s="149"/>
      <c r="B1250" s="149"/>
      <c r="C1250" s="304"/>
      <c r="D1250" s="149"/>
      <c r="E1250" s="149"/>
      <c r="F1250" s="149"/>
      <c r="G1250" s="149"/>
      <c r="H1250" s="149"/>
      <c r="I1250" s="149"/>
      <c r="J1250" s="149"/>
      <c r="K1250" s="149"/>
      <c r="L1250" s="149"/>
      <c r="M1250" s="149"/>
      <c r="N1250" s="149"/>
      <c r="O1250" s="149"/>
      <c r="P1250" s="149"/>
      <c r="Q1250" s="149"/>
      <c r="R1250" s="149"/>
      <c r="S1250" s="149"/>
      <c r="T1250" s="149"/>
      <c r="U1250" s="149"/>
      <c r="V1250" s="149"/>
      <c r="W1250" s="149"/>
      <c r="X1250" s="149"/>
      <c r="Y1250" s="149"/>
      <c r="Z1250" s="149"/>
      <c r="AA1250" s="149"/>
      <c r="AB1250" s="149"/>
      <c r="AC1250" s="149"/>
      <c r="AD1250" s="149"/>
      <c r="AE1250" s="149"/>
      <c r="AF1250" s="149"/>
      <c r="AG1250" s="149"/>
      <c r="AH1250" s="149"/>
      <c r="AI1250" s="149"/>
      <c r="AJ1250" s="149"/>
      <c r="AK1250" s="149"/>
      <c r="AL1250" s="149"/>
      <c r="AM1250" s="149"/>
      <c r="AN1250" s="149"/>
      <c r="AO1250" s="149"/>
      <c r="AP1250" s="149"/>
    </row>
    <row r="1251" ht="18.75" customHeight="1">
      <c r="A1251" s="149"/>
      <c r="B1251" s="149"/>
      <c r="C1251" s="304"/>
      <c r="D1251" s="149"/>
      <c r="E1251" s="149"/>
      <c r="F1251" s="149"/>
      <c r="G1251" s="149"/>
      <c r="H1251" s="149"/>
      <c r="I1251" s="149"/>
      <c r="J1251" s="149"/>
      <c r="K1251" s="149"/>
      <c r="L1251" s="149"/>
      <c r="M1251" s="149"/>
      <c r="N1251" s="149"/>
      <c r="O1251" s="149"/>
      <c r="P1251" s="149"/>
      <c r="Q1251" s="149"/>
      <c r="R1251" s="149"/>
      <c r="S1251" s="149"/>
      <c r="T1251" s="149"/>
      <c r="U1251" s="149"/>
      <c r="V1251" s="149"/>
      <c r="W1251" s="149"/>
      <c r="X1251" s="149"/>
      <c r="Y1251" s="149"/>
      <c r="Z1251" s="149"/>
      <c r="AA1251" s="149"/>
      <c r="AB1251" s="149"/>
      <c r="AC1251" s="149"/>
      <c r="AD1251" s="149"/>
      <c r="AE1251" s="149"/>
      <c r="AF1251" s="149"/>
      <c r="AG1251" s="149"/>
      <c r="AH1251" s="149"/>
      <c r="AI1251" s="149"/>
      <c r="AJ1251" s="149"/>
      <c r="AK1251" s="149"/>
      <c r="AL1251" s="149"/>
      <c r="AM1251" s="149"/>
      <c r="AN1251" s="149"/>
      <c r="AO1251" s="149"/>
      <c r="AP1251" s="149"/>
    </row>
    <row r="1252" ht="18.75" customHeight="1">
      <c r="A1252" s="149"/>
      <c r="B1252" s="149"/>
      <c r="C1252" s="304"/>
      <c r="D1252" s="149"/>
      <c r="E1252" s="149"/>
      <c r="F1252" s="149"/>
      <c r="G1252" s="149"/>
      <c r="H1252" s="149"/>
      <c r="I1252" s="149"/>
      <c r="J1252" s="149"/>
      <c r="K1252" s="149"/>
      <c r="L1252" s="149"/>
      <c r="M1252" s="149"/>
      <c r="N1252" s="149"/>
      <c r="O1252" s="149"/>
      <c r="P1252" s="149"/>
      <c r="Q1252" s="149"/>
      <c r="R1252" s="149"/>
      <c r="S1252" s="149"/>
      <c r="T1252" s="149"/>
      <c r="U1252" s="149"/>
      <c r="V1252" s="149"/>
      <c r="W1252" s="149"/>
      <c r="X1252" s="149"/>
      <c r="Y1252" s="149"/>
      <c r="Z1252" s="149"/>
      <c r="AA1252" s="149"/>
      <c r="AB1252" s="149"/>
      <c r="AC1252" s="149"/>
      <c r="AD1252" s="149"/>
      <c r="AE1252" s="149"/>
      <c r="AF1252" s="149"/>
      <c r="AG1252" s="149"/>
      <c r="AH1252" s="149"/>
      <c r="AI1252" s="149"/>
      <c r="AJ1252" s="149"/>
      <c r="AK1252" s="149"/>
      <c r="AL1252" s="149"/>
      <c r="AM1252" s="149"/>
      <c r="AN1252" s="149"/>
      <c r="AO1252" s="149"/>
      <c r="AP1252" s="149"/>
    </row>
    <row r="1253" ht="18.75" customHeight="1">
      <c r="A1253" s="149"/>
      <c r="B1253" s="149"/>
      <c r="C1253" s="304"/>
      <c r="D1253" s="149"/>
      <c r="E1253" s="149"/>
      <c r="F1253" s="149"/>
      <c r="G1253" s="149"/>
      <c r="H1253" s="149"/>
      <c r="I1253" s="149"/>
      <c r="J1253" s="149"/>
      <c r="K1253" s="149"/>
      <c r="L1253" s="149"/>
      <c r="M1253" s="149"/>
      <c r="N1253" s="149"/>
      <c r="O1253" s="149"/>
      <c r="P1253" s="149"/>
      <c r="Q1253" s="149"/>
      <c r="R1253" s="149"/>
      <c r="S1253" s="149"/>
      <c r="T1253" s="149"/>
      <c r="U1253" s="149"/>
      <c r="V1253" s="149"/>
      <c r="W1253" s="149"/>
      <c r="X1253" s="149"/>
      <c r="Y1253" s="149"/>
      <c r="Z1253" s="149"/>
      <c r="AA1253" s="149"/>
      <c r="AB1253" s="149"/>
      <c r="AC1253" s="149"/>
      <c r="AD1253" s="149"/>
      <c r="AE1253" s="149"/>
      <c r="AF1253" s="149"/>
      <c r="AG1253" s="149"/>
      <c r="AH1253" s="149"/>
      <c r="AI1253" s="149"/>
      <c r="AJ1253" s="149"/>
      <c r="AK1253" s="149"/>
      <c r="AL1253" s="149"/>
      <c r="AM1253" s="149"/>
      <c r="AN1253" s="149"/>
      <c r="AO1253" s="149"/>
      <c r="AP1253" s="149"/>
    </row>
    <row r="1254" ht="18.75" customHeight="1">
      <c r="A1254" s="149"/>
      <c r="B1254" s="149"/>
      <c r="C1254" s="304"/>
      <c r="D1254" s="149"/>
      <c r="E1254" s="149"/>
      <c r="F1254" s="149"/>
      <c r="G1254" s="149"/>
      <c r="H1254" s="149"/>
      <c r="I1254" s="149"/>
      <c r="J1254" s="149"/>
      <c r="K1254" s="149"/>
      <c r="L1254" s="149"/>
      <c r="M1254" s="149"/>
      <c r="N1254" s="149"/>
      <c r="O1254" s="149"/>
      <c r="P1254" s="149"/>
      <c r="Q1254" s="149"/>
      <c r="R1254" s="149"/>
      <c r="S1254" s="149"/>
      <c r="T1254" s="149"/>
      <c r="U1254" s="149"/>
      <c r="V1254" s="149"/>
      <c r="W1254" s="149"/>
      <c r="X1254" s="149"/>
      <c r="Y1254" s="149"/>
      <c r="Z1254" s="149"/>
      <c r="AA1254" s="149"/>
      <c r="AB1254" s="149"/>
      <c r="AC1254" s="149"/>
      <c r="AD1254" s="149"/>
      <c r="AE1254" s="149"/>
      <c r="AF1254" s="149"/>
      <c r="AG1254" s="149"/>
      <c r="AH1254" s="149"/>
      <c r="AI1254" s="149"/>
      <c r="AJ1254" s="149"/>
      <c r="AK1254" s="149"/>
      <c r="AL1254" s="149"/>
      <c r="AM1254" s="149"/>
      <c r="AN1254" s="149"/>
      <c r="AO1254" s="149"/>
      <c r="AP1254" s="149"/>
    </row>
    <row r="1255" ht="18.75" customHeight="1">
      <c r="A1255" s="149"/>
      <c r="B1255" s="149"/>
      <c r="C1255" s="304"/>
      <c r="D1255" s="149"/>
      <c r="E1255" s="149"/>
      <c r="F1255" s="149"/>
      <c r="G1255" s="149"/>
      <c r="H1255" s="149"/>
      <c r="I1255" s="149"/>
      <c r="J1255" s="149"/>
      <c r="K1255" s="149"/>
      <c r="L1255" s="149"/>
      <c r="M1255" s="149"/>
      <c r="N1255" s="149"/>
      <c r="O1255" s="149"/>
      <c r="P1255" s="149"/>
      <c r="Q1255" s="149"/>
      <c r="R1255" s="149"/>
      <c r="S1255" s="149"/>
      <c r="T1255" s="149"/>
      <c r="U1255" s="149"/>
      <c r="V1255" s="149"/>
      <c r="W1255" s="149"/>
      <c r="X1255" s="149"/>
      <c r="Y1255" s="149"/>
      <c r="Z1255" s="149"/>
      <c r="AA1255" s="149"/>
      <c r="AB1255" s="149"/>
      <c r="AC1255" s="149"/>
      <c r="AD1255" s="149"/>
      <c r="AE1255" s="149"/>
      <c r="AF1255" s="149"/>
      <c r="AG1255" s="149"/>
      <c r="AH1255" s="149"/>
      <c r="AI1255" s="149"/>
      <c r="AJ1255" s="149"/>
      <c r="AK1255" s="149"/>
      <c r="AL1255" s="149"/>
      <c r="AM1255" s="149"/>
      <c r="AN1255" s="149"/>
      <c r="AO1255" s="149"/>
      <c r="AP1255" s="149"/>
    </row>
    <row r="1256" ht="18.75" customHeight="1">
      <c r="A1256" s="149"/>
      <c r="B1256" s="149"/>
      <c r="C1256" s="304"/>
      <c r="D1256" s="149"/>
      <c r="E1256" s="149"/>
      <c r="F1256" s="149"/>
      <c r="G1256" s="149"/>
      <c r="H1256" s="149"/>
      <c r="I1256" s="149"/>
      <c r="J1256" s="149"/>
      <c r="K1256" s="149"/>
      <c r="L1256" s="149"/>
      <c r="M1256" s="149"/>
      <c r="N1256" s="149"/>
      <c r="O1256" s="149"/>
      <c r="P1256" s="149"/>
      <c r="Q1256" s="149"/>
      <c r="R1256" s="149"/>
      <c r="S1256" s="149"/>
      <c r="T1256" s="149"/>
      <c r="U1256" s="149"/>
      <c r="V1256" s="149"/>
      <c r="W1256" s="149"/>
      <c r="X1256" s="149"/>
      <c r="Y1256" s="149"/>
      <c r="Z1256" s="149"/>
      <c r="AA1256" s="149"/>
      <c r="AB1256" s="149"/>
      <c r="AC1256" s="149"/>
      <c r="AD1256" s="149"/>
      <c r="AE1256" s="149"/>
      <c r="AF1256" s="149"/>
      <c r="AG1256" s="149"/>
      <c r="AH1256" s="149"/>
      <c r="AI1256" s="149"/>
      <c r="AJ1256" s="149"/>
      <c r="AK1256" s="149"/>
      <c r="AL1256" s="149"/>
      <c r="AM1256" s="149"/>
      <c r="AN1256" s="149"/>
      <c r="AO1256" s="149"/>
      <c r="AP1256" s="149"/>
    </row>
    <row r="1257" ht="18.75" customHeight="1">
      <c r="A1257" s="149"/>
      <c r="B1257" s="149"/>
      <c r="C1257" s="304"/>
      <c r="D1257" s="149"/>
      <c r="E1257" s="149"/>
      <c r="F1257" s="149"/>
      <c r="G1257" s="149"/>
      <c r="H1257" s="149"/>
      <c r="I1257" s="149"/>
      <c r="J1257" s="149"/>
      <c r="K1257" s="149"/>
      <c r="L1257" s="149"/>
      <c r="M1257" s="149"/>
      <c r="N1257" s="149"/>
      <c r="O1257" s="149"/>
      <c r="P1257" s="149"/>
      <c r="Q1257" s="149"/>
      <c r="R1257" s="149"/>
      <c r="S1257" s="149"/>
      <c r="T1257" s="149"/>
      <c r="U1257" s="149"/>
      <c r="V1257" s="149"/>
      <c r="W1257" s="149"/>
      <c r="X1257" s="149"/>
      <c r="Y1257" s="149"/>
      <c r="Z1257" s="149"/>
      <c r="AA1257" s="149"/>
      <c r="AB1257" s="149"/>
      <c r="AC1257" s="149"/>
      <c r="AD1257" s="149"/>
      <c r="AE1257" s="149"/>
      <c r="AF1257" s="149"/>
      <c r="AG1257" s="149"/>
      <c r="AH1257" s="149"/>
      <c r="AI1257" s="149"/>
      <c r="AJ1257" s="149"/>
      <c r="AK1257" s="149"/>
      <c r="AL1257" s="149"/>
      <c r="AM1257" s="149"/>
      <c r="AN1257" s="149"/>
      <c r="AO1257" s="149"/>
      <c r="AP1257" s="149"/>
    </row>
    <row r="1258" ht="18.75" customHeight="1">
      <c r="A1258" s="149"/>
      <c r="B1258" s="149"/>
      <c r="C1258" s="304"/>
      <c r="D1258" s="149"/>
      <c r="E1258" s="149"/>
      <c r="F1258" s="149"/>
      <c r="G1258" s="149"/>
      <c r="H1258" s="149"/>
      <c r="I1258" s="149"/>
      <c r="J1258" s="149"/>
      <c r="K1258" s="149"/>
      <c r="L1258" s="149"/>
      <c r="M1258" s="149"/>
      <c r="N1258" s="149"/>
      <c r="O1258" s="149"/>
      <c r="P1258" s="149"/>
      <c r="Q1258" s="149"/>
      <c r="R1258" s="149"/>
      <c r="S1258" s="149"/>
      <c r="T1258" s="149"/>
      <c r="U1258" s="149"/>
      <c r="V1258" s="149"/>
      <c r="W1258" s="149"/>
      <c r="X1258" s="149"/>
      <c r="Y1258" s="149"/>
      <c r="Z1258" s="149"/>
      <c r="AA1258" s="149"/>
      <c r="AB1258" s="149"/>
      <c r="AC1258" s="149"/>
      <c r="AD1258" s="149"/>
      <c r="AE1258" s="149"/>
      <c r="AF1258" s="149"/>
      <c r="AG1258" s="149"/>
      <c r="AH1258" s="149"/>
      <c r="AI1258" s="149"/>
      <c r="AJ1258" s="149"/>
      <c r="AK1258" s="149"/>
      <c r="AL1258" s="149"/>
      <c r="AM1258" s="149"/>
      <c r="AN1258" s="149"/>
      <c r="AO1258" s="149"/>
      <c r="AP1258" s="149"/>
    </row>
    <row r="1259" ht="18.75" customHeight="1">
      <c r="A1259" s="149"/>
      <c r="B1259" s="149"/>
      <c r="C1259" s="304"/>
      <c r="D1259" s="149"/>
      <c r="E1259" s="149"/>
      <c r="F1259" s="149"/>
      <c r="G1259" s="149"/>
      <c r="H1259" s="149"/>
      <c r="I1259" s="149"/>
      <c r="J1259" s="149"/>
      <c r="K1259" s="149"/>
      <c r="L1259" s="149"/>
      <c r="M1259" s="149"/>
      <c r="N1259" s="149"/>
      <c r="O1259" s="149"/>
      <c r="P1259" s="149"/>
      <c r="Q1259" s="149"/>
      <c r="R1259" s="149"/>
      <c r="S1259" s="149"/>
      <c r="T1259" s="149"/>
      <c r="U1259" s="149"/>
      <c r="V1259" s="149"/>
      <c r="W1259" s="149"/>
      <c r="X1259" s="149"/>
      <c r="Y1259" s="149"/>
      <c r="Z1259" s="149"/>
      <c r="AA1259" s="149"/>
      <c r="AB1259" s="149"/>
      <c r="AC1259" s="149"/>
      <c r="AD1259" s="149"/>
      <c r="AE1259" s="149"/>
      <c r="AF1259" s="149"/>
      <c r="AG1259" s="149"/>
      <c r="AH1259" s="149"/>
      <c r="AI1259" s="149"/>
      <c r="AJ1259" s="149"/>
      <c r="AK1259" s="149"/>
      <c r="AL1259" s="149"/>
      <c r="AM1259" s="149"/>
      <c r="AN1259" s="149"/>
      <c r="AO1259" s="149"/>
      <c r="AP1259" s="149"/>
    </row>
    <row r="1260" ht="18.75" customHeight="1">
      <c r="A1260" s="149"/>
      <c r="B1260" s="149"/>
      <c r="C1260" s="304"/>
      <c r="D1260" s="149"/>
      <c r="E1260" s="149"/>
      <c r="F1260" s="149"/>
      <c r="G1260" s="149"/>
      <c r="H1260" s="149"/>
      <c r="I1260" s="149"/>
      <c r="J1260" s="149"/>
      <c r="K1260" s="149"/>
      <c r="L1260" s="149"/>
      <c r="M1260" s="149"/>
      <c r="N1260" s="149"/>
      <c r="O1260" s="149"/>
      <c r="P1260" s="149"/>
      <c r="Q1260" s="149"/>
      <c r="R1260" s="149"/>
      <c r="S1260" s="149"/>
      <c r="T1260" s="149"/>
      <c r="U1260" s="149"/>
      <c r="V1260" s="149"/>
      <c r="W1260" s="149"/>
      <c r="X1260" s="149"/>
      <c r="Y1260" s="149"/>
      <c r="Z1260" s="149"/>
      <c r="AA1260" s="149"/>
      <c r="AB1260" s="149"/>
      <c r="AC1260" s="149"/>
      <c r="AD1260" s="149"/>
      <c r="AE1260" s="149"/>
      <c r="AF1260" s="149"/>
      <c r="AG1260" s="149"/>
      <c r="AH1260" s="149"/>
      <c r="AI1260" s="149"/>
      <c r="AJ1260" s="149"/>
      <c r="AK1260" s="149"/>
      <c r="AL1260" s="149"/>
      <c r="AM1260" s="149"/>
      <c r="AN1260" s="149"/>
      <c r="AO1260" s="149"/>
      <c r="AP1260" s="149"/>
    </row>
    <row r="1261" ht="18.75" customHeight="1">
      <c r="A1261" s="149"/>
      <c r="B1261" s="149"/>
      <c r="C1261" s="304"/>
      <c r="D1261" s="149"/>
      <c r="E1261" s="149"/>
      <c r="F1261" s="149"/>
      <c r="G1261" s="149"/>
      <c r="H1261" s="149"/>
      <c r="I1261" s="149"/>
      <c r="J1261" s="149"/>
      <c r="K1261" s="149"/>
      <c r="L1261" s="149"/>
      <c r="M1261" s="149"/>
      <c r="N1261" s="149"/>
      <c r="O1261" s="149"/>
      <c r="P1261" s="149"/>
      <c r="Q1261" s="149"/>
      <c r="R1261" s="149"/>
      <c r="S1261" s="149"/>
      <c r="T1261" s="149"/>
      <c r="U1261" s="149"/>
      <c r="V1261" s="149"/>
      <c r="W1261" s="149"/>
      <c r="X1261" s="149"/>
      <c r="Y1261" s="149"/>
      <c r="Z1261" s="149"/>
      <c r="AA1261" s="149"/>
      <c r="AB1261" s="149"/>
      <c r="AC1261" s="149"/>
      <c r="AD1261" s="149"/>
      <c r="AE1261" s="149"/>
      <c r="AF1261" s="149"/>
      <c r="AG1261" s="149"/>
      <c r="AH1261" s="149"/>
      <c r="AI1261" s="149"/>
      <c r="AJ1261" s="149"/>
      <c r="AK1261" s="149"/>
      <c r="AL1261" s="149"/>
      <c r="AM1261" s="149"/>
      <c r="AN1261" s="149"/>
      <c r="AO1261" s="149"/>
      <c r="AP1261" s="149"/>
    </row>
    <row r="1262" ht="18.75" customHeight="1">
      <c r="A1262" s="149"/>
      <c r="B1262" s="149"/>
      <c r="C1262" s="304"/>
      <c r="D1262" s="149"/>
      <c r="E1262" s="149"/>
      <c r="F1262" s="149"/>
      <c r="G1262" s="149"/>
      <c r="H1262" s="149"/>
      <c r="I1262" s="149"/>
      <c r="J1262" s="149"/>
      <c r="K1262" s="149"/>
      <c r="L1262" s="149"/>
      <c r="M1262" s="149"/>
      <c r="N1262" s="149"/>
      <c r="O1262" s="149"/>
      <c r="P1262" s="149"/>
      <c r="Q1262" s="149"/>
      <c r="R1262" s="149"/>
      <c r="S1262" s="149"/>
      <c r="T1262" s="149"/>
      <c r="U1262" s="149"/>
      <c r="V1262" s="149"/>
      <c r="W1262" s="149"/>
      <c r="X1262" s="149"/>
      <c r="Y1262" s="149"/>
      <c r="Z1262" s="149"/>
      <c r="AA1262" s="149"/>
      <c r="AB1262" s="149"/>
      <c r="AC1262" s="149"/>
      <c r="AD1262" s="149"/>
      <c r="AE1262" s="149"/>
      <c r="AF1262" s="149"/>
      <c r="AG1262" s="149"/>
      <c r="AH1262" s="149"/>
      <c r="AI1262" s="149"/>
      <c r="AJ1262" s="149"/>
      <c r="AK1262" s="149"/>
      <c r="AL1262" s="149"/>
      <c r="AM1262" s="149"/>
      <c r="AN1262" s="149"/>
      <c r="AO1262" s="149"/>
      <c r="AP1262" s="149"/>
    </row>
    <row r="1263" ht="18.75" customHeight="1">
      <c r="A1263" s="149"/>
      <c r="B1263" s="149"/>
      <c r="C1263" s="304"/>
      <c r="D1263" s="149"/>
      <c r="E1263" s="149"/>
      <c r="F1263" s="149"/>
      <c r="G1263" s="149"/>
      <c r="H1263" s="149"/>
      <c r="I1263" s="149"/>
      <c r="J1263" s="149"/>
      <c r="K1263" s="149"/>
      <c r="L1263" s="149"/>
      <c r="M1263" s="149"/>
      <c r="N1263" s="149"/>
      <c r="O1263" s="149"/>
      <c r="P1263" s="149"/>
      <c r="Q1263" s="149"/>
      <c r="R1263" s="149"/>
      <c r="S1263" s="149"/>
      <c r="T1263" s="149"/>
      <c r="U1263" s="149"/>
      <c r="V1263" s="149"/>
      <c r="W1263" s="149"/>
      <c r="X1263" s="149"/>
      <c r="Y1263" s="149"/>
      <c r="Z1263" s="149"/>
      <c r="AA1263" s="149"/>
      <c r="AB1263" s="149"/>
      <c r="AC1263" s="149"/>
      <c r="AD1263" s="149"/>
      <c r="AE1263" s="149"/>
      <c r="AF1263" s="149"/>
      <c r="AG1263" s="149"/>
      <c r="AH1263" s="149"/>
      <c r="AI1263" s="149"/>
      <c r="AJ1263" s="149"/>
      <c r="AK1263" s="149"/>
      <c r="AL1263" s="149"/>
      <c r="AM1263" s="149"/>
      <c r="AN1263" s="149"/>
      <c r="AO1263" s="149"/>
      <c r="AP1263" s="149"/>
    </row>
    <row r="1264" ht="18.75" customHeight="1">
      <c r="A1264" s="149"/>
      <c r="B1264" s="149"/>
      <c r="C1264" s="304"/>
      <c r="D1264" s="149"/>
      <c r="E1264" s="149"/>
      <c r="F1264" s="149"/>
      <c r="G1264" s="149"/>
      <c r="H1264" s="149"/>
      <c r="I1264" s="149"/>
      <c r="J1264" s="149"/>
      <c r="K1264" s="149"/>
      <c r="L1264" s="149"/>
      <c r="M1264" s="149"/>
      <c r="N1264" s="149"/>
      <c r="O1264" s="149"/>
      <c r="P1264" s="149"/>
      <c r="Q1264" s="149"/>
      <c r="R1264" s="149"/>
      <c r="S1264" s="149"/>
      <c r="T1264" s="149"/>
      <c r="U1264" s="149"/>
      <c r="V1264" s="149"/>
      <c r="W1264" s="149"/>
      <c r="X1264" s="149"/>
      <c r="Y1264" s="149"/>
      <c r="Z1264" s="149"/>
      <c r="AA1264" s="149"/>
      <c r="AB1264" s="149"/>
      <c r="AC1264" s="149"/>
      <c r="AD1264" s="149"/>
      <c r="AE1264" s="149"/>
      <c r="AF1264" s="149"/>
      <c r="AG1264" s="149"/>
      <c r="AH1264" s="149"/>
      <c r="AI1264" s="149"/>
      <c r="AJ1264" s="149"/>
      <c r="AK1264" s="149"/>
      <c r="AL1264" s="149"/>
      <c r="AM1264" s="149"/>
      <c r="AN1264" s="149"/>
      <c r="AO1264" s="149"/>
      <c r="AP1264" s="149"/>
    </row>
    <row r="1265" ht="18.75" customHeight="1">
      <c r="A1265" s="149"/>
      <c r="B1265" s="149"/>
      <c r="C1265" s="304"/>
      <c r="D1265" s="149"/>
      <c r="E1265" s="149"/>
      <c r="F1265" s="149"/>
      <c r="G1265" s="149"/>
      <c r="H1265" s="149"/>
      <c r="I1265" s="149"/>
      <c r="J1265" s="149"/>
      <c r="K1265" s="149"/>
      <c r="L1265" s="149"/>
      <c r="M1265" s="149"/>
      <c r="N1265" s="149"/>
      <c r="O1265" s="149"/>
      <c r="P1265" s="149"/>
      <c r="Q1265" s="149"/>
      <c r="R1265" s="149"/>
      <c r="S1265" s="149"/>
      <c r="T1265" s="149"/>
      <c r="U1265" s="149"/>
      <c r="V1265" s="149"/>
      <c r="W1265" s="149"/>
      <c r="X1265" s="149"/>
      <c r="Y1265" s="149"/>
      <c r="Z1265" s="149"/>
      <c r="AA1265" s="149"/>
      <c r="AB1265" s="149"/>
      <c r="AC1265" s="149"/>
      <c r="AD1265" s="149"/>
      <c r="AE1265" s="149"/>
      <c r="AF1265" s="149"/>
      <c r="AG1265" s="149"/>
      <c r="AH1265" s="149"/>
      <c r="AI1265" s="149"/>
      <c r="AJ1265" s="149"/>
      <c r="AK1265" s="149"/>
      <c r="AL1265" s="149"/>
      <c r="AM1265" s="149"/>
      <c r="AN1265" s="149"/>
      <c r="AO1265" s="149"/>
      <c r="AP1265" s="149"/>
    </row>
    <row r="1266" ht="18.75" customHeight="1">
      <c r="A1266" s="149"/>
      <c r="B1266" s="149"/>
      <c r="C1266" s="304"/>
      <c r="D1266" s="149"/>
      <c r="E1266" s="149"/>
      <c r="F1266" s="149"/>
      <c r="G1266" s="149"/>
      <c r="H1266" s="149"/>
      <c r="I1266" s="149"/>
      <c r="J1266" s="149"/>
      <c r="K1266" s="149"/>
      <c r="L1266" s="149"/>
      <c r="M1266" s="149"/>
      <c r="N1266" s="149"/>
      <c r="O1266" s="149"/>
      <c r="P1266" s="149"/>
      <c r="Q1266" s="149"/>
      <c r="R1266" s="149"/>
      <c r="S1266" s="149"/>
      <c r="T1266" s="149"/>
      <c r="U1266" s="149"/>
      <c r="V1266" s="149"/>
      <c r="W1266" s="149"/>
      <c r="X1266" s="149"/>
      <c r="Y1266" s="149"/>
      <c r="Z1266" s="149"/>
      <c r="AA1266" s="149"/>
      <c r="AB1266" s="149"/>
      <c r="AC1266" s="149"/>
      <c r="AD1266" s="149"/>
      <c r="AE1266" s="149"/>
      <c r="AF1266" s="149"/>
      <c r="AG1266" s="149"/>
      <c r="AH1266" s="149"/>
      <c r="AI1266" s="149"/>
      <c r="AJ1266" s="149"/>
      <c r="AK1266" s="149"/>
      <c r="AL1266" s="149"/>
      <c r="AM1266" s="149"/>
      <c r="AN1266" s="149"/>
      <c r="AO1266" s="149"/>
      <c r="AP1266" s="149"/>
    </row>
    <row r="1267" ht="18.75" customHeight="1">
      <c r="A1267" s="149"/>
      <c r="B1267" s="149"/>
      <c r="C1267" s="304"/>
      <c r="D1267" s="149"/>
      <c r="E1267" s="149"/>
      <c r="F1267" s="149"/>
      <c r="G1267" s="149"/>
      <c r="H1267" s="149"/>
      <c r="I1267" s="149"/>
      <c r="J1267" s="149"/>
      <c r="K1267" s="149"/>
      <c r="L1267" s="149"/>
      <c r="M1267" s="149"/>
      <c r="N1267" s="149"/>
      <c r="O1267" s="149"/>
      <c r="P1267" s="149"/>
      <c r="Q1267" s="149"/>
      <c r="R1267" s="149"/>
      <c r="S1267" s="149"/>
      <c r="T1267" s="149"/>
      <c r="U1267" s="149"/>
      <c r="V1267" s="149"/>
      <c r="W1267" s="149"/>
      <c r="X1267" s="149"/>
      <c r="Y1267" s="149"/>
      <c r="Z1267" s="149"/>
      <c r="AA1267" s="149"/>
      <c r="AB1267" s="149"/>
      <c r="AC1267" s="149"/>
      <c r="AD1267" s="149"/>
      <c r="AE1267" s="149"/>
      <c r="AF1267" s="149"/>
      <c r="AG1267" s="149"/>
      <c r="AH1267" s="149"/>
      <c r="AI1267" s="149"/>
      <c r="AJ1267" s="149"/>
      <c r="AK1267" s="149"/>
      <c r="AL1267" s="149"/>
      <c r="AM1267" s="149"/>
      <c r="AN1267" s="149"/>
      <c r="AO1267" s="149"/>
      <c r="AP1267" s="149"/>
    </row>
    <row r="1268" ht="18.75" customHeight="1">
      <c r="A1268" s="149"/>
      <c r="B1268" s="149"/>
      <c r="C1268" s="304"/>
      <c r="D1268" s="149"/>
      <c r="E1268" s="149"/>
      <c r="F1268" s="149"/>
      <c r="G1268" s="149"/>
      <c r="H1268" s="149"/>
      <c r="I1268" s="149"/>
      <c r="J1268" s="149"/>
      <c r="K1268" s="149"/>
      <c r="L1268" s="149"/>
      <c r="M1268" s="149"/>
      <c r="N1268" s="149"/>
      <c r="O1268" s="149"/>
      <c r="P1268" s="149"/>
      <c r="Q1268" s="149"/>
      <c r="R1268" s="149"/>
      <c r="S1268" s="149"/>
      <c r="T1268" s="149"/>
      <c r="U1268" s="149"/>
      <c r="V1268" s="149"/>
      <c r="W1268" s="149"/>
      <c r="X1268" s="149"/>
      <c r="Y1268" s="149"/>
      <c r="Z1268" s="149"/>
      <c r="AA1268" s="149"/>
      <c r="AB1268" s="149"/>
      <c r="AC1268" s="149"/>
      <c r="AD1268" s="149"/>
      <c r="AE1268" s="149"/>
      <c r="AF1268" s="149"/>
      <c r="AG1268" s="149"/>
      <c r="AH1268" s="149"/>
      <c r="AI1268" s="149"/>
      <c r="AJ1268" s="149"/>
      <c r="AK1268" s="149"/>
      <c r="AL1268" s="149"/>
      <c r="AM1268" s="149"/>
      <c r="AN1268" s="149"/>
      <c r="AO1268" s="149"/>
      <c r="AP1268" s="149"/>
    </row>
    <row r="1269" ht="18.75" customHeight="1">
      <c r="A1269" s="149"/>
      <c r="B1269" s="149"/>
      <c r="C1269" s="304"/>
      <c r="D1269" s="149"/>
      <c r="E1269" s="149"/>
      <c r="F1269" s="149"/>
      <c r="G1269" s="149"/>
      <c r="H1269" s="149"/>
      <c r="I1269" s="149"/>
      <c r="J1269" s="149"/>
      <c r="K1269" s="149"/>
      <c r="L1269" s="149"/>
      <c r="M1269" s="149"/>
      <c r="N1269" s="149"/>
      <c r="O1269" s="149"/>
      <c r="P1269" s="149"/>
      <c r="Q1269" s="149"/>
      <c r="R1269" s="149"/>
      <c r="S1269" s="149"/>
      <c r="T1269" s="149"/>
      <c r="U1269" s="149"/>
      <c r="V1269" s="149"/>
      <c r="W1269" s="149"/>
      <c r="X1269" s="149"/>
      <c r="Y1269" s="149"/>
      <c r="Z1269" s="149"/>
      <c r="AA1269" s="149"/>
      <c r="AB1269" s="149"/>
      <c r="AC1269" s="149"/>
      <c r="AD1269" s="149"/>
      <c r="AE1269" s="149"/>
      <c r="AF1269" s="149"/>
      <c r="AG1269" s="149"/>
      <c r="AH1269" s="149"/>
      <c r="AI1269" s="149"/>
      <c r="AJ1269" s="149"/>
      <c r="AK1269" s="149"/>
      <c r="AL1269" s="149"/>
      <c r="AM1269" s="149"/>
      <c r="AN1269" s="149"/>
      <c r="AO1269" s="149"/>
      <c r="AP1269" s="149"/>
    </row>
    <row r="1270" ht="18.75" customHeight="1">
      <c r="A1270" s="149"/>
      <c r="B1270" s="149"/>
      <c r="C1270" s="304"/>
      <c r="D1270" s="149"/>
      <c r="E1270" s="149"/>
      <c r="F1270" s="149"/>
      <c r="G1270" s="149"/>
      <c r="H1270" s="149"/>
      <c r="I1270" s="149"/>
      <c r="J1270" s="149"/>
      <c r="K1270" s="149"/>
      <c r="L1270" s="149"/>
      <c r="M1270" s="149"/>
      <c r="N1270" s="149"/>
      <c r="O1270" s="149"/>
      <c r="P1270" s="149"/>
      <c r="Q1270" s="149"/>
      <c r="R1270" s="149"/>
      <c r="S1270" s="149"/>
      <c r="T1270" s="149"/>
      <c r="U1270" s="149"/>
      <c r="V1270" s="149"/>
      <c r="W1270" s="149"/>
      <c r="X1270" s="149"/>
      <c r="Y1270" s="149"/>
      <c r="Z1270" s="149"/>
      <c r="AA1270" s="149"/>
      <c r="AB1270" s="149"/>
      <c r="AC1270" s="149"/>
      <c r="AD1270" s="149"/>
      <c r="AE1270" s="149"/>
      <c r="AF1270" s="149"/>
      <c r="AG1270" s="149"/>
      <c r="AH1270" s="149"/>
      <c r="AI1270" s="149"/>
      <c r="AJ1270" s="149"/>
      <c r="AK1270" s="149"/>
      <c r="AL1270" s="149"/>
      <c r="AM1270" s="149"/>
      <c r="AN1270" s="149"/>
      <c r="AO1270" s="149"/>
      <c r="AP1270" s="149"/>
    </row>
    <row r="1271" ht="18.75" customHeight="1">
      <c r="A1271" s="149"/>
      <c r="B1271" s="149"/>
      <c r="C1271" s="304"/>
      <c r="D1271" s="149"/>
      <c r="E1271" s="149"/>
      <c r="F1271" s="149"/>
      <c r="G1271" s="149"/>
      <c r="H1271" s="149"/>
      <c r="I1271" s="149"/>
      <c r="J1271" s="149"/>
      <c r="K1271" s="149"/>
      <c r="L1271" s="149"/>
      <c r="M1271" s="149"/>
      <c r="N1271" s="149"/>
      <c r="O1271" s="149"/>
      <c r="P1271" s="149"/>
      <c r="Q1271" s="149"/>
      <c r="R1271" s="149"/>
      <c r="S1271" s="149"/>
      <c r="T1271" s="149"/>
      <c r="U1271" s="149"/>
      <c r="V1271" s="149"/>
      <c r="W1271" s="149"/>
      <c r="X1271" s="149"/>
      <c r="Y1271" s="149"/>
      <c r="Z1271" s="149"/>
      <c r="AA1271" s="149"/>
      <c r="AB1271" s="149"/>
      <c r="AC1271" s="149"/>
      <c r="AD1271" s="149"/>
      <c r="AE1271" s="149"/>
      <c r="AF1271" s="149"/>
      <c r="AG1271" s="149"/>
      <c r="AH1271" s="149"/>
      <c r="AI1271" s="149"/>
      <c r="AJ1271" s="149"/>
      <c r="AK1271" s="149"/>
      <c r="AL1271" s="149"/>
      <c r="AM1271" s="149"/>
      <c r="AN1271" s="149"/>
      <c r="AO1271" s="149"/>
      <c r="AP1271" s="149"/>
    </row>
    <row r="1272" ht="18.75" customHeight="1">
      <c r="A1272" s="149"/>
      <c r="B1272" s="149"/>
      <c r="C1272" s="304"/>
      <c r="D1272" s="149"/>
      <c r="E1272" s="149"/>
      <c r="F1272" s="149"/>
      <c r="G1272" s="149"/>
      <c r="H1272" s="149"/>
      <c r="I1272" s="149"/>
      <c r="J1272" s="149"/>
      <c r="K1272" s="149"/>
      <c r="L1272" s="149"/>
      <c r="M1272" s="149"/>
      <c r="N1272" s="149"/>
      <c r="O1272" s="149"/>
      <c r="P1272" s="149"/>
      <c r="Q1272" s="149"/>
      <c r="R1272" s="149"/>
      <c r="S1272" s="149"/>
      <c r="T1272" s="149"/>
      <c r="U1272" s="149"/>
      <c r="V1272" s="149"/>
      <c r="W1272" s="149"/>
      <c r="X1272" s="149"/>
      <c r="Y1272" s="149"/>
      <c r="Z1272" s="149"/>
      <c r="AA1272" s="149"/>
      <c r="AB1272" s="149"/>
      <c r="AC1272" s="149"/>
      <c r="AD1272" s="149"/>
      <c r="AE1272" s="149"/>
      <c r="AF1272" s="149"/>
      <c r="AG1272" s="149"/>
      <c r="AH1272" s="149"/>
      <c r="AI1272" s="149"/>
      <c r="AJ1272" s="149"/>
      <c r="AK1272" s="149"/>
      <c r="AL1272" s="149"/>
      <c r="AM1272" s="149"/>
      <c r="AN1272" s="149"/>
      <c r="AO1272" s="149"/>
      <c r="AP1272" s="149"/>
    </row>
    <row r="1273" ht="18.75" customHeight="1">
      <c r="A1273" s="149"/>
      <c r="B1273" s="149"/>
      <c r="C1273" s="304"/>
      <c r="D1273" s="149"/>
      <c r="E1273" s="149"/>
      <c r="F1273" s="149"/>
      <c r="G1273" s="149"/>
      <c r="H1273" s="149"/>
      <c r="I1273" s="149"/>
      <c r="J1273" s="149"/>
      <c r="K1273" s="149"/>
      <c r="L1273" s="149"/>
      <c r="M1273" s="149"/>
      <c r="N1273" s="149"/>
      <c r="O1273" s="149"/>
      <c r="P1273" s="149"/>
      <c r="Q1273" s="149"/>
      <c r="R1273" s="149"/>
      <c r="S1273" s="149"/>
      <c r="T1273" s="149"/>
      <c r="U1273" s="149"/>
      <c r="V1273" s="149"/>
      <c r="W1273" s="149"/>
      <c r="X1273" s="149"/>
      <c r="Y1273" s="149"/>
      <c r="Z1273" s="149"/>
      <c r="AA1273" s="149"/>
      <c r="AB1273" s="149"/>
      <c r="AC1273" s="149"/>
      <c r="AD1273" s="149"/>
      <c r="AE1273" s="149"/>
      <c r="AF1273" s="149"/>
      <c r="AG1273" s="149"/>
      <c r="AH1273" s="149"/>
      <c r="AI1273" s="149"/>
      <c r="AJ1273" s="149"/>
      <c r="AK1273" s="149"/>
      <c r="AL1273" s="149"/>
      <c r="AM1273" s="149"/>
      <c r="AN1273" s="149"/>
      <c r="AO1273" s="149"/>
      <c r="AP1273" s="149"/>
    </row>
    <row r="1274" ht="18.75" customHeight="1">
      <c r="A1274" s="149"/>
      <c r="B1274" s="149"/>
      <c r="C1274" s="304"/>
      <c r="D1274" s="149"/>
      <c r="E1274" s="149"/>
      <c r="F1274" s="149"/>
      <c r="G1274" s="149"/>
      <c r="H1274" s="149"/>
      <c r="I1274" s="149"/>
      <c r="J1274" s="149"/>
      <c r="K1274" s="149"/>
      <c r="L1274" s="149"/>
      <c r="M1274" s="149"/>
      <c r="N1274" s="149"/>
      <c r="O1274" s="149"/>
      <c r="P1274" s="149"/>
      <c r="Q1274" s="149"/>
      <c r="R1274" s="149"/>
      <c r="S1274" s="149"/>
      <c r="T1274" s="149"/>
      <c r="U1274" s="149"/>
      <c r="V1274" s="149"/>
      <c r="W1274" s="149"/>
      <c r="X1274" s="149"/>
      <c r="Y1274" s="149"/>
      <c r="Z1274" s="149"/>
      <c r="AA1274" s="149"/>
      <c r="AB1274" s="149"/>
      <c r="AC1274" s="149"/>
      <c r="AD1274" s="149"/>
      <c r="AE1274" s="149"/>
      <c r="AF1274" s="149"/>
      <c r="AG1274" s="149"/>
      <c r="AH1274" s="149"/>
      <c r="AI1274" s="149"/>
      <c r="AJ1274" s="149"/>
      <c r="AK1274" s="149"/>
      <c r="AL1274" s="149"/>
      <c r="AM1274" s="149"/>
      <c r="AN1274" s="149"/>
      <c r="AO1274" s="149"/>
      <c r="AP1274" s="149"/>
    </row>
    <row r="1275" ht="18.75" customHeight="1">
      <c r="A1275" s="149"/>
      <c r="B1275" s="149"/>
      <c r="C1275" s="304"/>
      <c r="D1275" s="149"/>
      <c r="E1275" s="149"/>
      <c r="F1275" s="149"/>
      <c r="G1275" s="149"/>
      <c r="H1275" s="149"/>
      <c r="I1275" s="149"/>
      <c r="J1275" s="149"/>
      <c r="K1275" s="149"/>
      <c r="L1275" s="149"/>
      <c r="M1275" s="149"/>
      <c r="N1275" s="149"/>
      <c r="O1275" s="149"/>
      <c r="P1275" s="149"/>
      <c r="Q1275" s="149"/>
      <c r="R1275" s="149"/>
      <c r="S1275" s="149"/>
      <c r="T1275" s="149"/>
      <c r="U1275" s="149"/>
      <c r="V1275" s="149"/>
      <c r="W1275" s="149"/>
      <c r="X1275" s="149"/>
      <c r="Y1275" s="149"/>
      <c r="Z1275" s="149"/>
      <c r="AA1275" s="149"/>
      <c r="AB1275" s="149"/>
      <c r="AC1275" s="149"/>
      <c r="AD1275" s="149"/>
      <c r="AE1275" s="149"/>
      <c r="AF1275" s="149"/>
      <c r="AG1275" s="149"/>
      <c r="AH1275" s="149"/>
      <c r="AI1275" s="149"/>
      <c r="AJ1275" s="149"/>
      <c r="AK1275" s="149"/>
      <c r="AL1275" s="149"/>
      <c r="AM1275" s="149"/>
      <c r="AN1275" s="149"/>
      <c r="AO1275" s="149"/>
      <c r="AP1275" s="149"/>
    </row>
    <row r="1276" ht="18.75" customHeight="1">
      <c r="A1276" s="149"/>
      <c r="B1276" s="149"/>
      <c r="C1276" s="304"/>
      <c r="D1276" s="149"/>
      <c r="E1276" s="149"/>
      <c r="F1276" s="149"/>
      <c r="G1276" s="149"/>
      <c r="H1276" s="149"/>
      <c r="I1276" s="149"/>
      <c r="J1276" s="149"/>
      <c r="K1276" s="149"/>
      <c r="L1276" s="149"/>
      <c r="M1276" s="149"/>
      <c r="N1276" s="149"/>
      <c r="O1276" s="149"/>
      <c r="P1276" s="149"/>
      <c r="Q1276" s="149"/>
      <c r="R1276" s="149"/>
      <c r="S1276" s="149"/>
      <c r="T1276" s="149"/>
      <c r="U1276" s="149"/>
      <c r="V1276" s="149"/>
      <c r="W1276" s="149"/>
      <c r="X1276" s="149"/>
      <c r="Y1276" s="149"/>
      <c r="Z1276" s="149"/>
      <c r="AA1276" s="149"/>
      <c r="AB1276" s="149"/>
      <c r="AC1276" s="149"/>
      <c r="AD1276" s="149"/>
      <c r="AE1276" s="149"/>
      <c r="AF1276" s="149"/>
      <c r="AG1276" s="149"/>
      <c r="AH1276" s="149"/>
      <c r="AI1276" s="149"/>
      <c r="AJ1276" s="149"/>
      <c r="AK1276" s="149"/>
      <c r="AL1276" s="149"/>
      <c r="AM1276" s="149"/>
      <c r="AN1276" s="149"/>
      <c r="AO1276" s="149"/>
      <c r="AP1276" s="149"/>
    </row>
    <row r="1277" ht="18.75" customHeight="1">
      <c r="A1277" s="149"/>
      <c r="B1277" s="149"/>
      <c r="C1277" s="304"/>
      <c r="D1277" s="149"/>
      <c r="E1277" s="149"/>
      <c r="F1277" s="149"/>
      <c r="G1277" s="149"/>
      <c r="H1277" s="149"/>
      <c r="I1277" s="149"/>
      <c r="J1277" s="149"/>
      <c r="K1277" s="149"/>
      <c r="L1277" s="149"/>
      <c r="M1277" s="149"/>
      <c r="N1277" s="149"/>
      <c r="O1277" s="149"/>
      <c r="P1277" s="149"/>
      <c r="Q1277" s="149"/>
      <c r="R1277" s="149"/>
      <c r="S1277" s="149"/>
      <c r="T1277" s="149"/>
      <c r="U1277" s="149"/>
      <c r="V1277" s="149"/>
      <c r="W1277" s="149"/>
      <c r="X1277" s="149"/>
      <c r="Y1277" s="149"/>
      <c r="Z1277" s="149"/>
      <c r="AA1277" s="149"/>
      <c r="AB1277" s="149"/>
      <c r="AC1277" s="149"/>
      <c r="AD1277" s="149"/>
      <c r="AE1277" s="149"/>
      <c r="AF1277" s="149"/>
      <c r="AG1277" s="149"/>
      <c r="AH1277" s="149"/>
      <c r="AI1277" s="149"/>
      <c r="AJ1277" s="149"/>
      <c r="AK1277" s="149"/>
      <c r="AL1277" s="149"/>
      <c r="AM1277" s="149"/>
      <c r="AN1277" s="149"/>
      <c r="AO1277" s="149"/>
      <c r="AP1277" s="149"/>
    </row>
    <row r="1278" ht="18.75" customHeight="1">
      <c r="A1278" s="149"/>
      <c r="B1278" s="149"/>
      <c r="C1278" s="304"/>
      <c r="D1278" s="149"/>
      <c r="E1278" s="149"/>
      <c r="F1278" s="149"/>
      <c r="G1278" s="149"/>
      <c r="H1278" s="149"/>
      <c r="I1278" s="149"/>
      <c r="J1278" s="149"/>
      <c r="K1278" s="149"/>
      <c r="L1278" s="149"/>
      <c r="M1278" s="149"/>
      <c r="N1278" s="149"/>
      <c r="O1278" s="149"/>
      <c r="P1278" s="149"/>
      <c r="Q1278" s="149"/>
      <c r="R1278" s="149"/>
      <c r="S1278" s="149"/>
      <c r="T1278" s="149"/>
      <c r="U1278" s="149"/>
      <c r="V1278" s="149"/>
      <c r="W1278" s="149"/>
      <c r="X1278" s="149"/>
      <c r="Y1278" s="149"/>
      <c r="Z1278" s="149"/>
      <c r="AA1278" s="149"/>
      <c r="AB1278" s="149"/>
      <c r="AC1278" s="149"/>
      <c r="AD1278" s="149"/>
      <c r="AE1278" s="149"/>
      <c r="AF1278" s="149"/>
      <c r="AG1278" s="149"/>
      <c r="AH1278" s="149"/>
      <c r="AI1278" s="149"/>
      <c r="AJ1278" s="149"/>
      <c r="AK1278" s="149"/>
      <c r="AL1278" s="149"/>
      <c r="AM1278" s="149"/>
      <c r="AN1278" s="149"/>
      <c r="AO1278" s="149"/>
      <c r="AP1278" s="149"/>
    </row>
    <row r="1279" ht="18.75" customHeight="1">
      <c r="A1279" s="149"/>
      <c r="B1279" s="149"/>
      <c r="C1279" s="304"/>
      <c r="D1279" s="149"/>
      <c r="E1279" s="149"/>
      <c r="F1279" s="149"/>
      <c r="G1279" s="149"/>
      <c r="H1279" s="149"/>
      <c r="I1279" s="149"/>
      <c r="J1279" s="149"/>
      <c r="K1279" s="149"/>
      <c r="L1279" s="149"/>
      <c r="M1279" s="149"/>
      <c r="N1279" s="149"/>
      <c r="O1279" s="149"/>
      <c r="P1279" s="149"/>
      <c r="Q1279" s="149"/>
      <c r="R1279" s="149"/>
      <c r="S1279" s="149"/>
      <c r="T1279" s="149"/>
      <c r="U1279" s="149"/>
      <c r="V1279" s="149"/>
      <c r="W1279" s="149"/>
      <c r="X1279" s="149"/>
      <c r="Y1279" s="149"/>
      <c r="Z1279" s="149"/>
      <c r="AA1279" s="149"/>
      <c r="AB1279" s="149"/>
      <c r="AC1279" s="149"/>
      <c r="AD1279" s="149"/>
      <c r="AE1279" s="149"/>
      <c r="AF1279" s="149"/>
      <c r="AG1279" s="149"/>
      <c r="AH1279" s="149"/>
      <c r="AI1279" s="149"/>
      <c r="AJ1279" s="149"/>
      <c r="AK1279" s="149"/>
      <c r="AL1279" s="149"/>
      <c r="AM1279" s="149"/>
      <c r="AN1279" s="149"/>
      <c r="AO1279" s="149"/>
      <c r="AP1279" s="149"/>
    </row>
    <row r="1280" ht="18.75" customHeight="1">
      <c r="A1280" s="149"/>
      <c r="B1280" s="149"/>
      <c r="C1280" s="304"/>
      <c r="D1280" s="149"/>
      <c r="E1280" s="149"/>
      <c r="F1280" s="149"/>
      <c r="G1280" s="149"/>
      <c r="H1280" s="149"/>
      <c r="I1280" s="149"/>
      <c r="J1280" s="149"/>
      <c r="K1280" s="149"/>
      <c r="L1280" s="149"/>
      <c r="M1280" s="149"/>
      <c r="N1280" s="149"/>
      <c r="O1280" s="149"/>
      <c r="P1280" s="149"/>
      <c r="Q1280" s="149"/>
      <c r="R1280" s="149"/>
      <c r="S1280" s="149"/>
      <c r="T1280" s="149"/>
      <c r="U1280" s="149"/>
      <c r="V1280" s="149"/>
      <c r="W1280" s="149"/>
      <c r="X1280" s="149"/>
      <c r="Y1280" s="149"/>
      <c r="Z1280" s="149"/>
      <c r="AA1280" s="149"/>
      <c r="AB1280" s="149"/>
      <c r="AC1280" s="149"/>
      <c r="AD1280" s="149"/>
      <c r="AE1280" s="149"/>
      <c r="AF1280" s="149"/>
      <c r="AG1280" s="149"/>
      <c r="AH1280" s="149"/>
      <c r="AI1280" s="149"/>
      <c r="AJ1280" s="149"/>
      <c r="AK1280" s="149"/>
      <c r="AL1280" s="149"/>
      <c r="AM1280" s="149"/>
      <c r="AN1280" s="149"/>
      <c r="AO1280" s="149"/>
      <c r="AP1280" s="149"/>
    </row>
    <row r="1281" ht="18.75" customHeight="1">
      <c r="A1281" s="149"/>
      <c r="B1281" s="149"/>
      <c r="C1281" s="304"/>
      <c r="D1281" s="149"/>
      <c r="E1281" s="149"/>
      <c r="F1281" s="149"/>
      <c r="G1281" s="149"/>
      <c r="H1281" s="149"/>
      <c r="I1281" s="149"/>
      <c r="J1281" s="149"/>
      <c r="K1281" s="149"/>
      <c r="L1281" s="149"/>
      <c r="M1281" s="149"/>
      <c r="N1281" s="149"/>
      <c r="O1281" s="149"/>
      <c r="P1281" s="149"/>
      <c r="Q1281" s="149"/>
      <c r="R1281" s="149"/>
      <c r="S1281" s="149"/>
      <c r="T1281" s="149"/>
      <c r="U1281" s="149"/>
      <c r="V1281" s="149"/>
      <c r="W1281" s="149"/>
      <c r="X1281" s="149"/>
      <c r="Y1281" s="149"/>
      <c r="Z1281" s="149"/>
      <c r="AA1281" s="149"/>
      <c r="AB1281" s="149"/>
      <c r="AC1281" s="149"/>
      <c r="AD1281" s="149"/>
      <c r="AE1281" s="149"/>
      <c r="AF1281" s="149"/>
      <c r="AG1281" s="149"/>
      <c r="AH1281" s="149"/>
      <c r="AI1281" s="149"/>
      <c r="AJ1281" s="149"/>
      <c r="AK1281" s="149"/>
      <c r="AL1281" s="149"/>
      <c r="AM1281" s="149"/>
      <c r="AN1281" s="149"/>
      <c r="AO1281" s="149"/>
      <c r="AP1281" s="149"/>
    </row>
    <row r="1282" ht="18.75" customHeight="1">
      <c r="A1282" s="149"/>
      <c r="B1282" s="149"/>
      <c r="C1282" s="304"/>
      <c r="D1282" s="149"/>
      <c r="E1282" s="149"/>
      <c r="F1282" s="149"/>
      <c r="G1282" s="149"/>
      <c r="H1282" s="149"/>
      <c r="I1282" s="149"/>
      <c r="J1282" s="149"/>
      <c r="K1282" s="149"/>
      <c r="L1282" s="149"/>
      <c r="M1282" s="149"/>
      <c r="N1282" s="149"/>
      <c r="O1282" s="149"/>
      <c r="P1282" s="149"/>
      <c r="Q1282" s="149"/>
      <c r="R1282" s="149"/>
      <c r="S1282" s="149"/>
      <c r="T1282" s="149"/>
      <c r="U1282" s="149"/>
      <c r="V1282" s="149"/>
      <c r="W1282" s="149"/>
      <c r="X1282" s="149"/>
      <c r="Y1282" s="149"/>
      <c r="Z1282" s="149"/>
      <c r="AA1282" s="149"/>
      <c r="AB1282" s="149"/>
      <c r="AC1282" s="149"/>
      <c r="AD1282" s="149"/>
      <c r="AE1282" s="149"/>
      <c r="AF1282" s="149"/>
      <c r="AG1282" s="149"/>
      <c r="AH1282" s="149"/>
      <c r="AI1282" s="149"/>
      <c r="AJ1282" s="149"/>
      <c r="AK1282" s="149"/>
      <c r="AL1282" s="149"/>
      <c r="AM1282" s="149"/>
      <c r="AN1282" s="149"/>
      <c r="AO1282" s="149"/>
      <c r="AP1282" s="149"/>
    </row>
    <row r="1283" ht="18.75" customHeight="1">
      <c r="A1283" s="149"/>
      <c r="B1283" s="149"/>
      <c r="C1283" s="304"/>
      <c r="D1283" s="149"/>
      <c r="E1283" s="149"/>
      <c r="F1283" s="149"/>
      <c r="G1283" s="149"/>
      <c r="H1283" s="149"/>
      <c r="I1283" s="149"/>
      <c r="J1283" s="149"/>
      <c r="K1283" s="149"/>
      <c r="L1283" s="149"/>
      <c r="M1283" s="149"/>
      <c r="N1283" s="149"/>
      <c r="O1283" s="149"/>
      <c r="P1283" s="149"/>
      <c r="Q1283" s="149"/>
      <c r="R1283" s="149"/>
      <c r="S1283" s="149"/>
      <c r="T1283" s="149"/>
      <c r="U1283" s="149"/>
      <c r="V1283" s="149"/>
      <c r="W1283" s="149"/>
      <c r="X1283" s="149"/>
      <c r="Y1283" s="149"/>
      <c r="Z1283" s="149"/>
      <c r="AA1283" s="149"/>
      <c r="AB1283" s="149"/>
      <c r="AC1283" s="149"/>
      <c r="AD1283" s="149"/>
      <c r="AE1283" s="149"/>
      <c r="AF1283" s="149"/>
      <c r="AG1283" s="149"/>
      <c r="AH1283" s="149"/>
      <c r="AI1283" s="149"/>
      <c r="AJ1283" s="149"/>
      <c r="AK1283" s="149"/>
      <c r="AL1283" s="149"/>
      <c r="AM1283" s="149"/>
      <c r="AN1283" s="149"/>
      <c r="AO1283" s="149"/>
      <c r="AP1283" s="149"/>
    </row>
    <row r="1284" ht="18.75" customHeight="1">
      <c r="A1284" s="149"/>
      <c r="B1284" s="149"/>
      <c r="C1284" s="304"/>
      <c r="D1284" s="149"/>
      <c r="E1284" s="149"/>
      <c r="F1284" s="149"/>
      <c r="G1284" s="149"/>
      <c r="H1284" s="149"/>
      <c r="I1284" s="149"/>
      <c r="J1284" s="149"/>
      <c r="K1284" s="149"/>
      <c r="L1284" s="149"/>
      <c r="M1284" s="149"/>
      <c r="N1284" s="149"/>
      <c r="O1284" s="149"/>
      <c r="P1284" s="149"/>
      <c r="Q1284" s="149"/>
      <c r="R1284" s="149"/>
      <c r="S1284" s="149"/>
      <c r="T1284" s="149"/>
      <c r="U1284" s="149"/>
      <c r="V1284" s="149"/>
      <c r="W1284" s="149"/>
      <c r="X1284" s="149"/>
      <c r="Y1284" s="149"/>
      <c r="Z1284" s="149"/>
      <c r="AA1284" s="149"/>
      <c r="AB1284" s="149"/>
      <c r="AC1284" s="149"/>
      <c r="AD1284" s="149"/>
      <c r="AE1284" s="149"/>
      <c r="AF1284" s="149"/>
      <c r="AG1284" s="149"/>
      <c r="AH1284" s="149"/>
      <c r="AI1284" s="149"/>
      <c r="AJ1284" s="149"/>
      <c r="AK1284" s="149"/>
      <c r="AL1284" s="149"/>
      <c r="AM1284" s="149"/>
      <c r="AN1284" s="149"/>
      <c r="AO1284" s="149"/>
      <c r="AP1284" s="149"/>
    </row>
    <row r="1285" ht="18.75" customHeight="1">
      <c r="A1285" s="149"/>
      <c r="B1285" s="149"/>
      <c r="C1285" s="304"/>
      <c r="D1285" s="149"/>
      <c r="E1285" s="149"/>
      <c r="F1285" s="149"/>
      <c r="G1285" s="149"/>
      <c r="H1285" s="149"/>
      <c r="I1285" s="149"/>
      <c r="J1285" s="149"/>
      <c r="K1285" s="149"/>
      <c r="L1285" s="149"/>
      <c r="M1285" s="149"/>
      <c r="N1285" s="149"/>
      <c r="O1285" s="149"/>
      <c r="P1285" s="149"/>
      <c r="Q1285" s="149"/>
      <c r="R1285" s="149"/>
      <c r="S1285" s="149"/>
      <c r="T1285" s="149"/>
      <c r="U1285" s="149"/>
      <c r="V1285" s="149"/>
      <c r="W1285" s="149"/>
      <c r="X1285" s="149"/>
      <c r="Y1285" s="149"/>
      <c r="Z1285" s="149"/>
      <c r="AA1285" s="149"/>
      <c r="AB1285" s="149"/>
      <c r="AC1285" s="149"/>
      <c r="AD1285" s="149"/>
      <c r="AE1285" s="149"/>
      <c r="AF1285" s="149"/>
      <c r="AG1285" s="149"/>
      <c r="AH1285" s="149"/>
      <c r="AI1285" s="149"/>
      <c r="AJ1285" s="149"/>
      <c r="AK1285" s="149"/>
      <c r="AL1285" s="149"/>
      <c r="AM1285" s="149"/>
      <c r="AN1285" s="149"/>
      <c r="AO1285" s="149"/>
      <c r="AP1285" s="149"/>
    </row>
    <row r="1286" ht="18.75" customHeight="1">
      <c r="A1286" s="149"/>
      <c r="B1286" s="149"/>
      <c r="C1286" s="304"/>
      <c r="D1286" s="149"/>
      <c r="E1286" s="149"/>
      <c r="F1286" s="149"/>
      <c r="G1286" s="149"/>
      <c r="H1286" s="149"/>
      <c r="I1286" s="149"/>
      <c r="J1286" s="149"/>
      <c r="K1286" s="149"/>
      <c r="L1286" s="149"/>
      <c r="M1286" s="149"/>
      <c r="N1286" s="149"/>
      <c r="O1286" s="149"/>
      <c r="P1286" s="149"/>
      <c r="Q1286" s="149"/>
      <c r="R1286" s="149"/>
      <c r="S1286" s="149"/>
      <c r="T1286" s="149"/>
      <c r="U1286" s="149"/>
      <c r="V1286" s="149"/>
      <c r="W1286" s="149"/>
      <c r="X1286" s="149"/>
      <c r="Y1286" s="149"/>
      <c r="Z1286" s="149"/>
      <c r="AA1286" s="149"/>
      <c r="AB1286" s="149"/>
      <c r="AC1286" s="149"/>
      <c r="AD1286" s="149"/>
      <c r="AE1286" s="149"/>
      <c r="AF1286" s="149"/>
      <c r="AG1286" s="149"/>
      <c r="AH1286" s="149"/>
      <c r="AI1286" s="149"/>
      <c r="AJ1286" s="149"/>
      <c r="AK1286" s="149"/>
      <c r="AL1286" s="149"/>
      <c r="AM1286" s="149"/>
      <c r="AN1286" s="149"/>
      <c r="AO1286" s="149"/>
      <c r="AP1286" s="149"/>
    </row>
    <row r="1287" ht="18.75" customHeight="1">
      <c r="A1287" s="149"/>
      <c r="B1287" s="149"/>
      <c r="C1287" s="304"/>
      <c r="D1287" s="149"/>
      <c r="E1287" s="149"/>
      <c r="F1287" s="149"/>
      <c r="G1287" s="149"/>
      <c r="H1287" s="149"/>
      <c r="I1287" s="149"/>
      <c r="J1287" s="149"/>
      <c r="K1287" s="149"/>
      <c r="L1287" s="149"/>
      <c r="M1287" s="149"/>
      <c r="N1287" s="149"/>
      <c r="O1287" s="149"/>
      <c r="P1287" s="149"/>
      <c r="Q1287" s="149"/>
      <c r="R1287" s="149"/>
      <c r="S1287" s="149"/>
      <c r="T1287" s="149"/>
      <c r="U1287" s="149"/>
      <c r="V1287" s="149"/>
      <c r="W1287" s="149"/>
      <c r="X1287" s="149"/>
      <c r="Y1287" s="149"/>
      <c r="Z1287" s="149"/>
      <c r="AA1287" s="149"/>
      <c r="AB1287" s="149"/>
      <c r="AC1287" s="149"/>
      <c r="AD1287" s="149"/>
      <c r="AE1287" s="149"/>
      <c r="AF1287" s="149"/>
      <c r="AG1287" s="149"/>
      <c r="AH1287" s="149"/>
      <c r="AI1287" s="149"/>
      <c r="AJ1287" s="149"/>
      <c r="AK1287" s="149"/>
      <c r="AL1287" s="149"/>
      <c r="AM1287" s="149"/>
      <c r="AN1287" s="149"/>
      <c r="AO1287" s="149"/>
      <c r="AP1287" s="149"/>
    </row>
    <row r="1288" ht="18.75" customHeight="1">
      <c r="A1288" s="149"/>
      <c r="B1288" s="149"/>
      <c r="C1288" s="304"/>
      <c r="D1288" s="149"/>
      <c r="E1288" s="149"/>
      <c r="F1288" s="149"/>
      <c r="G1288" s="149"/>
      <c r="H1288" s="149"/>
      <c r="I1288" s="149"/>
      <c r="J1288" s="149"/>
      <c r="K1288" s="149"/>
      <c r="L1288" s="149"/>
      <c r="M1288" s="149"/>
      <c r="N1288" s="149"/>
      <c r="O1288" s="149"/>
      <c r="P1288" s="149"/>
      <c r="Q1288" s="149"/>
      <c r="R1288" s="149"/>
      <c r="S1288" s="149"/>
      <c r="T1288" s="149"/>
      <c r="U1288" s="149"/>
      <c r="V1288" s="149"/>
      <c r="W1288" s="149"/>
      <c r="X1288" s="149"/>
      <c r="Y1288" s="149"/>
      <c r="Z1288" s="149"/>
      <c r="AA1288" s="149"/>
      <c r="AB1288" s="149"/>
      <c r="AC1288" s="149"/>
      <c r="AD1288" s="149"/>
      <c r="AE1288" s="149"/>
      <c r="AF1288" s="149"/>
      <c r="AG1288" s="149"/>
      <c r="AH1288" s="149"/>
      <c r="AI1288" s="149"/>
      <c r="AJ1288" s="149"/>
      <c r="AK1288" s="149"/>
      <c r="AL1288" s="149"/>
      <c r="AM1288" s="149"/>
      <c r="AN1288" s="149"/>
      <c r="AO1288" s="149"/>
      <c r="AP1288" s="149"/>
    </row>
    <row r="1289" ht="18.75" customHeight="1">
      <c r="A1289" s="149"/>
      <c r="B1289" s="149"/>
      <c r="C1289" s="304"/>
      <c r="D1289" s="149"/>
      <c r="E1289" s="149"/>
      <c r="F1289" s="149"/>
      <c r="G1289" s="149"/>
      <c r="H1289" s="149"/>
      <c r="I1289" s="149"/>
      <c r="J1289" s="149"/>
      <c r="K1289" s="149"/>
      <c r="L1289" s="149"/>
      <c r="M1289" s="149"/>
      <c r="N1289" s="149"/>
      <c r="O1289" s="149"/>
      <c r="P1289" s="149"/>
      <c r="Q1289" s="149"/>
      <c r="R1289" s="149"/>
      <c r="S1289" s="149"/>
      <c r="T1289" s="149"/>
      <c r="U1289" s="149"/>
      <c r="V1289" s="149"/>
      <c r="W1289" s="149"/>
      <c r="X1289" s="149"/>
      <c r="Y1289" s="149"/>
      <c r="Z1289" s="149"/>
      <c r="AA1289" s="149"/>
      <c r="AB1289" s="149"/>
      <c r="AC1289" s="149"/>
      <c r="AD1289" s="149"/>
      <c r="AE1289" s="149"/>
      <c r="AF1289" s="149"/>
      <c r="AG1289" s="149"/>
      <c r="AH1289" s="149"/>
      <c r="AI1289" s="149"/>
      <c r="AJ1289" s="149"/>
      <c r="AK1289" s="149"/>
      <c r="AL1289" s="149"/>
      <c r="AM1289" s="149"/>
      <c r="AN1289" s="149"/>
      <c r="AO1289" s="149"/>
      <c r="AP1289" s="149"/>
    </row>
    <row r="1290" ht="18.75" customHeight="1">
      <c r="A1290" s="149"/>
      <c r="B1290" s="149"/>
      <c r="C1290" s="304"/>
      <c r="D1290" s="149"/>
      <c r="E1290" s="149"/>
      <c r="F1290" s="149"/>
      <c r="G1290" s="149"/>
      <c r="H1290" s="149"/>
      <c r="I1290" s="149"/>
      <c r="J1290" s="149"/>
      <c r="K1290" s="149"/>
      <c r="L1290" s="149"/>
      <c r="M1290" s="149"/>
      <c r="N1290" s="149"/>
      <c r="O1290" s="149"/>
      <c r="P1290" s="149"/>
      <c r="Q1290" s="149"/>
      <c r="R1290" s="149"/>
      <c r="S1290" s="149"/>
      <c r="T1290" s="149"/>
      <c r="U1290" s="149"/>
      <c r="V1290" s="149"/>
      <c r="W1290" s="149"/>
      <c r="X1290" s="149"/>
      <c r="Y1290" s="149"/>
      <c r="Z1290" s="149"/>
      <c r="AA1290" s="149"/>
      <c r="AB1290" s="149"/>
      <c r="AC1290" s="149"/>
      <c r="AD1290" s="149"/>
      <c r="AE1290" s="149"/>
      <c r="AF1290" s="149"/>
      <c r="AG1290" s="149"/>
      <c r="AH1290" s="149"/>
      <c r="AI1290" s="149"/>
      <c r="AJ1290" s="149"/>
      <c r="AK1290" s="149"/>
      <c r="AL1290" s="149"/>
      <c r="AM1290" s="149"/>
      <c r="AN1290" s="149"/>
      <c r="AO1290" s="149"/>
      <c r="AP1290" s="149"/>
    </row>
    <row r="1291" ht="18.75" customHeight="1">
      <c r="A1291" s="149"/>
      <c r="B1291" s="149"/>
      <c r="C1291" s="304"/>
      <c r="D1291" s="149"/>
      <c r="E1291" s="149"/>
      <c r="F1291" s="149"/>
      <c r="G1291" s="149"/>
      <c r="H1291" s="149"/>
      <c r="I1291" s="149"/>
      <c r="J1291" s="149"/>
      <c r="K1291" s="149"/>
      <c r="L1291" s="149"/>
      <c r="M1291" s="149"/>
      <c r="N1291" s="149"/>
      <c r="O1291" s="149"/>
      <c r="P1291" s="149"/>
      <c r="Q1291" s="149"/>
      <c r="R1291" s="149"/>
      <c r="S1291" s="149"/>
      <c r="T1291" s="149"/>
      <c r="U1291" s="149"/>
      <c r="V1291" s="149"/>
      <c r="W1291" s="149"/>
      <c r="X1291" s="149"/>
      <c r="Y1291" s="149"/>
      <c r="Z1291" s="149"/>
      <c r="AA1291" s="149"/>
      <c r="AB1291" s="149"/>
      <c r="AC1291" s="149"/>
      <c r="AD1291" s="149"/>
      <c r="AE1291" s="149"/>
      <c r="AF1291" s="149"/>
      <c r="AG1291" s="149"/>
      <c r="AH1291" s="149"/>
      <c r="AI1291" s="149"/>
      <c r="AJ1291" s="149"/>
      <c r="AK1291" s="149"/>
      <c r="AL1291" s="149"/>
      <c r="AM1291" s="149"/>
      <c r="AN1291" s="149"/>
      <c r="AO1291" s="149"/>
      <c r="AP1291" s="149"/>
    </row>
    <row r="1292" ht="18.75" customHeight="1">
      <c r="A1292" s="149"/>
      <c r="B1292" s="149"/>
      <c r="C1292" s="304"/>
      <c r="D1292" s="149"/>
      <c r="E1292" s="149"/>
      <c r="F1292" s="149"/>
      <c r="G1292" s="149"/>
      <c r="H1292" s="149"/>
      <c r="I1292" s="149"/>
      <c r="J1292" s="149"/>
      <c r="K1292" s="149"/>
      <c r="L1292" s="149"/>
      <c r="M1292" s="149"/>
      <c r="N1292" s="149"/>
      <c r="O1292" s="149"/>
      <c r="P1292" s="149"/>
      <c r="Q1292" s="149"/>
      <c r="R1292" s="149"/>
      <c r="S1292" s="149"/>
      <c r="T1292" s="149"/>
      <c r="U1292" s="149"/>
      <c r="V1292" s="149"/>
      <c r="W1292" s="149"/>
      <c r="X1292" s="149"/>
      <c r="Y1292" s="149"/>
      <c r="Z1292" s="149"/>
      <c r="AA1292" s="149"/>
      <c r="AB1292" s="149"/>
      <c r="AC1292" s="149"/>
      <c r="AD1292" s="149"/>
      <c r="AE1292" s="149"/>
      <c r="AF1292" s="149"/>
      <c r="AG1292" s="149"/>
      <c r="AH1292" s="149"/>
      <c r="AI1292" s="149"/>
      <c r="AJ1292" s="149"/>
      <c r="AK1292" s="149"/>
      <c r="AL1292" s="149"/>
      <c r="AM1292" s="149"/>
      <c r="AN1292" s="149"/>
      <c r="AO1292" s="149"/>
      <c r="AP1292" s="149"/>
    </row>
    <row r="1293" ht="18.75" customHeight="1">
      <c r="A1293" s="149"/>
      <c r="B1293" s="149"/>
      <c r="C1293" s="304"/>
      <c r="D1293" s="149"/>
      <c r="E1293" s="149"/>
      <c r="F1293" s="149"/>
      <c r="G1293" s="149"/>
      <c r="H1293" s="149"/>
      <c r="I1293" s="149"/>
      <c r="J1293" s="149"/>
      <c r="K1293" s="149"/>
      <c r="L1293" s="149"/>
      <c r="M1293" s="149"/>
      <c r="N1293" s="149"/>
      <c r="O1293" s="149"/>
      <c r="P1293" s="149"/>
      <c r="Q1293" s="149"/>
      <c r="R1293" s="149"/>
      <c r="S1293" s="149"/>
      <c r="T1293" s="149"/>
      <c r="U1293" s="149"/>
      <c r="V1293" s="149"/>
      <c r="W1293" s="149"/>
      <c r="X1293" s="149"/>
      <c r="Y1293" s="149"/>
      <c r="Z1293" s="149"/>
      <c r="AA1293" s="149"/>
      <c r="AB1293" s="149"/>
      <c r="AC1293" s="149"/>
      <c r="AD1293" s="149"/>
      <c r="AE1293" s="149"/>
      <c r="AF1293" s="149"/>
      <c r="AG1293" s="149"/>
      <c r="AH1293" s="149"/>
      <c r="AI1293" s="149"/>
      <c r="AJ1293" s="149"/>
      <c r="AK1293" s="149"/>
      <c r="AL1293" s="149"/>
      <c r="AM1293" s="149"/>
      <c r="AN1293" s="149"/>
      <c r="AO1293" s="149"/>
      <c r="AP1293" s="149"/>
    </row>
    <row r="1294" ht="18.75" customHeight="1">
      <c r="A1294" s="149"/>
      <c r="B1294" s="149"/>
      <c r="C1294" s="304"/>
      <c r="D1294" s="149"/>
      <c r="E1294" s="149"/>
      <c r="F1294" s="149"/>
      <c r="G1294" s="149"/>
      <c r="H1294" s="149"/>
      <c r="I1294" s="149"/>
      <c r="J1294" s="149"/>
      <c r="K1294" s="149"/>
      <c r="L1294" s="149"/>
      <c r="M1294" s="149"/>
      <c r="N1294" s="149"/>
      <c r="O1294" s="149"/>
      <c r="P1294" s="149"/>
      <c r="Q1294" s="149"/>
      <c r="R1294" s="149"/>
      <c r="S1294" s="149"/>
      <c r="T1294" s="149"/>
      <c r="U1294" s="149"/>
      <c r="V1294" s="149"/>
      <c r="W1294" s="149"/>
      <c r="X1294" s="149"/>
      <c r="Y1294" s="149"/>
      <c r="Z1294" s="149"/>
      <c r="AA1294" s="149"/>
      <c r="AB1294" s="149"/>
      <c r="AC1294" s="149"/>
      <c r="AD1294" s="149"/>
      <c r="AE1294" s="149"/>
      <c r="AF1294" s="149"/>
      <c r="AG1294" s="149"/>
      <c r="AH1294" s="149"/>
      <c r="AI1294" s="149"/>
      <c r="AJ1294" s="149"/>
      <c r="AK1294" s="149"/>
      <c r="AL1294" s="149"/>
      <c r="AM1294" s="149"/>
      <c r="AN1294" s="149"/>
      <c r="AO1294" s="149"/>
      <c r="AP1294" s="149"/>
    </row>
    <row r="1295" ht="18.75" customHeight="1">
      <c r="A1295" s="149"/>
      <c r="B1295" s="149"/>
      <c r="C1295" s="304"/>
      <c r="D1295" s="149"/>
      <c r="E1295" s="149"/>
      <c r="F1295" s="149"/>
      <c r="G1295" s="149"/>
      <c r="H1295" s="149"/>
      <c r="I1295" s="149"/>
      <c r="J1295" s="149"/>
      <c r="K1295" s="149"/>
      <c r="L1295" s="149"/>
      <c r="M1295" s="149"/>
      <c r="N1295" s="149"/>
      <c r="O1295" s="149"/>
      <c r="P1295" s="149"/>
      <c r="Q1295" s="149"/>
      <c r="R1295" s="149"/>
      <c r="S1295" s="149"/>
      <c r="T1295" s="149"/>
      <c r="U1295" s="149"/>
      <c r="V1295" s="149"/>
      <c r="W1295" s="149"/>
      <c r="X1295" s="149"/>
      <c r="Y1295" s="149"/>
      <c r="Z1295" s="149"/>
      <c r="AA1295" s="149"/>
      <c r="AB1295" s="149"/>
      <c r="AC1295" s="149"/>
      <c r="AD1295" s="149"/>
      <c r="AE1295" s="149"/>
      <c r="AF1295" s="149"/>
      <c r="AG1295" s="149"/>
      <c r="AH1295" s="149"/>
      <c r="AI1295" s="149"/>
      <c r="AJ1295" s="149"/>
      <c r="AK1295" s="149"/>
      <c r="AL1295" s="149"/>
      <c r="AM1295" s="149"/>
      <c r="AN1295" s="149"/>
      <c r="AO1295" s="149"/>
      <c r="AP1295" s="149"/>
    </row>
    <row r="1296" ht="18.75" customHeight="1">
      <c r="A1296" s="149"/>
      <c r="B1296" s="149"/>
      <c r="C1296" s="304"/>
      <c r="D1296" s="149"/>
      <c r="E1296" s="149"/>
      <c r="F1296" s="149"/>
      <c r="G1296" s="149"/>
      <c r="H1296" s="149"/>
      <c r="I1296" s="149"/>
      <c r="J1296" s="149"/>
      <c r="K1296" s="149"/>
      <c r="L1296" s="149"/>
      <c r="M1296" s="149"/>
      <c r="N1296" s="149"/>
      <c r="O1296" s="149"/>
      <c r="P1296" s="149"/>
      <c r="Q1296" s="149"/>
      <c r="R1296" s="149"/>
      <c r="S1296" s="149"/>
      <c r="T1296" s="149"/>
      <c r="U1296" s="149"/>
      <c r="V1296" s="149"/>
      <c r="W1296" s="149"/>
      <c r="X1296" s="149"/>
      <c r="Y1296" s="149"/>
      <c r="Z1296" s="149"/>
      <c r="AA1296" s="149"/>
      <c r="AB1296" s="149"/>
      <c r="AC1296" s="149"/>
      <c r="AD1296" s="149"/>
      <c r="AE1296" s="149"/>
      <c r="AF1296" s="149"/>
      <c r="AG1296" s="149"/>
      <c r="AH1296" s="149"/>
      <c r="AI1296" s="149"/>
      <c r="AJ1296" s="149"/>
      <c r="AK1296" s="149"/>
      <c r="AL1296" s="149"/>
      <c r="AM1296" s="149"/>
      <c r="AN1296" s="149"/>
      <c r="AO1296" s="149"/>
      <c r="AP1296" s="149"/>
    </row>
    <row r="1297" ht="18.75" customHeight="1">
      <c r="A1297" s="149"/>
      <c r="B1297" s="149"/>
      <c r="C1297" s="304"/>
      <c r="D1297" s="149"/>
      <c r="E1297" s="149"/>
      <c r="F1297" s="149"/>
      <c r="G1297" s="149"/>
      <c r="H1297" s="149"/>
      <c r="I1297" s="149"/>
      <c r="J1297" s="149"/>
      <c r="K1297" s="149"/>
      <c r="L1297" s="149"/>
      <c r="M1297" s="149"/>
      <c r="N1297" s="149"/>
      <c r="O1297" s="149"/>
      <c r="P1297" s="149"/>
      <c r="Q1297" s="149"/>
      <c r="R1297" s="149"/>
      <c r="S1297" s="149"/>
      <c r="T1297" s="149"/>
      <c r="U1297" s="149"/>
      <c r="V1297" s="149"/>
      <c r="W1297" s="149"/>
      <c r="X1297" s="149"/>
      <c r="Y1297" s="149"/>
      <c r="Z1297" s="149"/>
      <c r="AA1297" s="149"/>
      <c r="AB1297" s="149"/>
      <c r="AC1297" s="149"/>
      <c r="AD1297" s="149"/>
      <c r="AE1297" s="149"/>
      <c r="AF1297" s="149"/>
      <c r="AG1297" s="149"/>
      <c r="AH1297" s="149"/>
      <c r="AI1297" s="149"/>
      <c r="AJ1297" s="149"/>
      <c r="AK1297" s="149"/>
      <c r="AL1297" s="149"/>
      <c r="AM1297" s="149"/>
      <c r="AN1297" s="149"/>
      <c r="AO1297" s="149"/>
      <c r="AP1297" s="149"/>
    </row>
    <row r="1298" ht="18.75" customHeight="1">
      <c r="A1298" s="149"/>
      <c r="B1298" s="149"/>
      <c r="C1298" s="304"/>
      <c r="D1298" s="149"/>
      <c r="E1298" s="149"/>
      <c r="F1298" s="149"/>
      <c r="G1298" s="149"/>
      <c r="H1298" s="149"/>
      <c r="I1298" s="149"/>
      <c r="J1298" s="149"/>
      <c r="K1298" s="149"/>
      <c r="L1298" s="149"/>
      <c r="M1298" s="149"/>
      <c r="N1298" s="149"/>
      <c r="O1298" s="149"/>
      <c r="P1298" s="149"/>
      <c r="Q1298" s="149"/>
      <c r="R1298" s="149"/>
      <c r="S1298" s="149"/>
      <c r="T1298" s="149"/>
      <c r="U1298" s="149"/>
      <c r="V1298" s="149"/>
      <c r="W1298" s="149"/>
      <c r="X1298" s="149"/>
      <c r="Y1298" s="149"/>
      <c r="Z1298" s="149"/>
      <c r="AA1298" s="149"/>
      <c r="AB1298" s="149"/>
      <c r="AC1298" s="149"/>
      <c r="AD1298" s="149"/>
      <c r="AE1298" s="149"/>
      <c r="AF1298" s="149"/>
      <c r="AG1298" s="149"/>
      <c r="AH1298" s="149"/>
      <c r="AI1298" s="149"/>
      <c r="AJ1298" s="149"/>
      <c r="AK1298" s="149"/>
      <c r="AL1298" s="149"/>
      <c r="AM1298" s="149"/>
      <c r="AN1298" s="149"/>
      <c r="AO1298" s="149"/>
      <c r="AP1298" s="149"/>
    </row>
    <row r="1299" ht="18.75" customHeight="1">
      <c r="A1299" s="149"/>
      <c r="B1299" s="149"/>
      <c r="C1299" s="304"/>
      <c r="D1299" s="149"/>
      <c r="E1299" s="149"/>
      <c r="F1299" s="149"/>
      <c r="G1299" s="149"/>
      <c r="H1299" s="149"/>
      <c r="I1299" s="149"/>
      <c r="J1299" s="149"/>
      <c r="K1299" s="149"/>
      <c r="L1299" s="149"/>
      <c r="M1299" s="149"/>
      <c r="N1299" s="149"/>
      <c r="O1299" s="149"/>
      <c r="P1299" s="149"/>
      <c r="Q1299" s="149"/>
      <c r="R1299" s="149"/>
      <c r="S1299" s="149"/>
      <c r="T1299" s="149"/>
      <c r="U1299" s="149"/>
      <c r="V1299" s="149"/>
      <c r="W1299" s="149"/>
      <c r="X1299" s="149"/>
      <c r="Y1299" s="149"/>
      <c r="Z1299" s="149"/>
      <c r="AA1299" s="149"/>
      <c r="AB1299" s="149"/>
      <c r="AC1299" s="149"/>
      <c r="AD1299" s="149"/>
      <c r="AE1299" s="149"/>
      <c r="AF1299" s="149"/>
      <c r="AG1299" s="149"/>
      <c r="AH1299" s="149"/>
      <c r="AI1299" s="149"/>
      <c r="AJ1299" s="149"/>
      <c r="AK1299" s="149"/>
      <c r="AL1299" s="149"/>
      <c r="AM1299" s="149"/>
      <c r="AN1299" s="149"/>
      <c r="AO1299" s="149"/>
      <c r="AP1299" s="149"/>
    </row>
    <row r="1300" ht="18.75" customHeight="1">
      <c r="A1300" s="149"/>
      <c r="B1300" s="149"/>
      <c r="C1300" s="304"/>
      <c r="D1300" s="149"/>
      <c r="E1300" s="149"/>
      <c r="F1300" s="149"/>
      <c r="G1300" s="149"/>
      <c r="H1300" s="149"/>
      <c r="I1300" s="149"/>
      <c r="J1300" s="149"/>
      <c r="K1300" s="149"/>
      <c r="L1300" s="149"/>
      <c r="M1300" s="149"/>
      <c r="N1300" s="149"/>
      <c r="O1300" s="149"/>
      <c r="P1300" s="149"/>
      <c r="Q1300" s="149"/>
      <c r="R1300" s="149"/>
      <c r="S1300" s="149"/>
      <c r="T1300" s="149"/>
      <c r="U1300" s="149"/>
      <c r="V1300" s="149"/>
      <c r="W1300" s="149"/>
      <c r="X1300" s="149"/>
      <c r="Y1300" s="149"/>
      <c r="Z1300" s="149"/>
      <c r="AA1300" s="149"/>
      <c r="AB1300" s="149"/>
      <c r="AC1300" s="149"/>
      <c r="AD1300" s="149"/>
      <c r="AE1300" s="149"/>
      <c r="AF1300" s="149"/>
      <c r="AG1300" s="149"/>
      <c r="AH1300" s="149"/>
      <c r="AI1300" s="149"/>
      <c r="AJ1300" s="149"/>
      <c r="AK1300" s="149"/>
      <c r="AL1300" s="149"/>
      <c r="AM1300" s="149"/>
      <c r="AN1300" s="149"/>
      <c r="AO1300" s="149"/>
      <c r="AP1300" s="149"/>
    </row>
    <row r="1301" ht="18.75" customHeight="1">
      <c r="A1301" s="149"/>
      <c r="B1301" s="149"/>
      <c r="C1301" s="304"/>
      <c r="D1301" s="149"/>
      <c r="E1301" s="149"/>
      <c r="F1301" s="149"/>
      <c r="G1301" s="149"/>
      <c r="H1301" s="149"/>
      <c r="I1301" s="149"/>
      <c r="J1301" s="149"/>
      <c r="K1301" s="149"/>
      <c r="L1301" s="149"/>
      <c r="M1301" s="149"/>
      <c r="N1301" s="149"/>
      <c r="O1301" s="149"/>
      <c r="P1301" s="149"/>
      <c r="Q1301" s="149"/>
      <c r="R1301" s="149"/>
      <c r="S1301" s="149"/>
      <c r="T1301" s="149"/>
      <c r="U1301" s="149"/>
      <c r="V1301" s="149"/>
      <c r="W1301" s="149"/>
      <c r="X1301" s="149"/>
      <c r="Y1301" s="149"/>
      <c r="Z1301" s="149"/>
      <c r="AA1301" s="149"/>
      <c r="AB1301" s="149"/>
      <c r="AC1301" s="149"/>
      <c r="AD1301" s="149"/>
      <c r="AE1301" s="149"/>
      <c r="AF1301" s="149"/>
      <c r="AG1301" s="149"/>
      <c r="AH1301" s="149"/>
      <c r="AI1301" s="149"/>
      <c r="AJ1301" s="149"/>
      <c r="AK1301" s="149"/>
      <c r="AL1301" s="149"/>
      <c r="AM1301" s="149"/>
      <c r="AN1301" s="149"/>
      <c r="AO1301" s="149"/>
      <c r="AP1301" s="149"/>
    </row>
    <row r="1302" ht="18.75" customHeight="1">
      <c r="A1302" s="149"/>
      <c r="B1302" s="149"/>
      <c r="C1302" s="304"/>
      <c r="D1302" s="149"/>
      <c r="E1302" s="149"/>
      <c r="F1302" s="149"/>
      <c r="G1302" s="149"/>
      <c r="H1302" s="149"/>
      <c r="I1302" s="149"/>
      <c r="J1302" s="149"/>
      <c r="K1302" s="149"/>
      <c r="L1302" s="149"/>
      <c r="M1302" s="149"/>
      <c r="N1302" s="149"/>
      <c r="O1302" s="149"/>
      <c r="P1302" s="149"/>
      <c r="Q1302" s="149"/>
      <c r="R1302" s="149"/>
      <c r="S1302" s="149"/>
      <c r="T1302" s="149"/>
      <c r="U1302" s="149"/>
      <c r="V1302" s="149"/>
      <c r="W1302" s="149"/>
      <c r="X1302" s="149"/>
      <c r="Y1302" s="149"/>
      <c r="Z1302" s="149"/>
      <c r="AA1302" s="149"/>
      <c r="AB1302" s="149"/>
      <c r="AC1302" s="149"/>
      <c r="AD1302" s="149"/>
      <c r="AE1302" s="149"/>
      <c r="AF1302" s="149"/>
      <c r="AG1302" s="149"/>
      <c r="AH1302" s="149"/>
      <c r="AI1302" s="149"/>
      <c r="AJ1302" s="149"/>
      <c r="AK1302" s="149"/>
      <c r="AL1302" s="149"/>
      <c r="AM1302" s="149"/>
      <c r="AN1302" s="149"/>
      <c r="AO1302" s="149"/>
      <c r="AP1302" s="149"/>
    </row>
    <row r="1303" ht="18.75" customHeight="1">
      <c r="A1303" s="149"/>
      <c r="B1303" s="149"/>
      <c r="C1303" s="304"/>
      <c r="D1303" s="149"/>
      <c r="E1303" s="149"/>
      <c r="F1303" s="149"/>
      <c r="G1303" s="149"/>
      <c r="H1303" s="149"/>
      <c r="I1303" s="149"/>
      <c r="J1303" s="149"/>
      <c r="K1303" s="149"/>
      <c r="L1303" s="149"/>
      <c r="M1303" s="149"/>
      <c r="N1303" s="149"/>
      <c r="O1303" s="149"/>
      <c r="P1303" s="149"/>
      <c r="Q1303" s="149"/>
      <c r="R1303" s="149"/>
      <c r="S1303" s="149"/>
      <c r="T1303" s="149"/>
      <c r="U1303" s="149"/>
      <c r="V1303" s="149"/>
      <c r="W1303" s="149"/>
      <c r="X1303" s="149"/>
      <c r="Y1303" s="149"/>
      <c r="Z1303" s="149"/>
      <c r="AA1303" s="149"/>
      <c r="AB1303" s="149"/>
      <c r="AC1303" s="149"/>
      <c r="AD1303" s="149"/>
      <c r="AE1303" s="149"/>
      <c r="AF1303" s="149"/>
      <c r="AG1303" s="149"/>
      <c r="AH1303" s="149"/>
      <c r="AI1303" s="149"/>
      <c r="AJ1303" s="149"/>
      <c r="AK1303" s="149"/>
      <c r="AL1303" s="149"/>
      <c r="AM1303" s="149"/>
      <c r="AN1303" s="149"/>
      <c r="AO1303" s="149"/>
      <c r="AP1303" s="149"/>
    </row>
    <row r="1304" ht="18.75" customHeight="1">
      <c r="A1304" s="149"/>
      <c r="B1304" s="149"/>
      <c r="C1304" s="304"/>
      <c r="D1304" s="149"/>
      <c r="E1304" s="149"/>
      <c r="F1304" s="149"/>
      <c r="G1304" s="149"/>
      <c r="H1304" s="149"/>
      <c r="I1304" s="149"/>
      <c r="J1304" s="149"/>
      <c r="K1304" s="149"/>
      <c r="L1304" s="149"/>
      <c r="M1304" s="149"/>
      <c r="N1304" s="149"/>
      <c r="O1304" s="149"/>
      <c r="P1304" s="149"/>
      <c r="Q1304" s="149"/>
      <c r="R1304" s="149"/>
      <c r="S1304" s="149"/>
      <c r="T1304" s="149"/>
      <c r="U1304" s="149"/>
      <c r="V1304" s="149"/>
      <c r="W1304" s="149"/>
      <c r="X1304" s="149"/>
      <c r="Y1304" s="149"/>
      <c r="Z1304" s="149"/>
      <c r="AA1304" s="149"/>
      <c r="AB1304" s="149"/>
      <c r="AC1304" s="149"/>
      <c r="AD1304" s="149"/>
      <c r="AE1304" s="149"/>
      <c r="AF1304" s="149"/>
      <c r="AG1304" s="149"/>
      <c r="AH1304" s="149"/>
      <c r="AI1304" s="149"/>
      <c r="AJ1304" s="149"/>
      <c r="AK1304" s="149"/>
      <c r="AL1304" s="149"/>
      <c r="AM1304" s="149"/>
      <c r="AN1304" s="149"/>
      <c r="AO1304" s="149"/>
      <c r="AP1304" s="149"/>
    </row>
    <row r="1305" ht="18.75" customHeight="1">
      <c r="A1305" s="149"/>
      <c r="B1305" s="149"/>
      <c r="C1305" s="304"/>
      <c r="D1305" s="149"/>
      <c r="E1305" s="149"/>
      <c r="F1305" s="149"/>
      <c r="G1305" s="149"/>
      <c r="H1305" s="149"/>
      <c r="I1305" s="149"/>
      <c r="J1305" s="149"/>
      <c r="K1305" s="149"/>
      <c r="L1305" s="149"/>
      <c r="M1305" s="149"/>
      <c r="N1305" s="149"/>
      <c r="O1305" s="149"/>
      <c r="P1305" s="149"/>
      <c r="Q1305" s="149"/>
      <c r="R1305" s="149"/>
      <c r="S1305" s="149"/>
      <c r="T1305" s="149"/>
      <c r="U1305" s="149"/>
      <c r="V1305" s="149"/>
      <c r="W1305" s="149"/>
      <c r="X1305" s="149"/>
      <c r="Y1305" s="149"/>
      <c r="Z1305" s="149"/>
      <c r="AA1305" s="149"/>
      <c r="AB1305" s="149"/>
      <c r="AC1305" s="149"/>
      <c r="AD1305" s="149"/>
      <c r="AE1305" s="149"/>
      <c r="AF1305" s="149"/>
      <c r="AG1305" s="149"/>
      <c r="AH1305" s="149"/>
      <c r="AI1305" s="149"/>
      <c r="AJ1305" s="149"/>
      <c r="AK1305" s="149"/>
      <c r="AL1305" s="149"/>
      <c r="AM1305" s="149"/>
      <c r="AN1305" s="149"/>
      <c r="AO1305" s="149"/>
      <c r="AP1305" s="149"/>
    </row>
    <row r="1306" ht="18.75" customHeight="1">
      <c r="A1306" s="149"/>
      <c r="B1306" s="149"/>
      <c r="C1306" s="304"/>
      <c r="D1306" s="149"/>
      <c r="E1306" s="149"/>
      <c r="F1306" s="149"/>
      <c r="G1306" s="149"/>
      <c r="H1306" s="149"/>
      <c r="I1306" s="149"/>
      <c r="J1306" s="149"/>
      <c r="K1306" s="149"/>
      <c r="L1306" s="149"/>
      <c r="M1306" s="149"/>
      <c r="N1306" s="149"/>
      <c r="O1306" s="149"/>
      <c r="P1306" s="149"/>
      <c r="Q1306" s="149"/>
      <c r="R1306" s="149"/>
      <c r="S1306" s="149"/>
      <c r="T1306" s="149"/>
      <c r="U1306" s="149"/>
      <c r="V1306" s="149"/>
      <c r="W1306" s="149"/>
      <c r="X1306" s="149"/>
      <c r="Y1306" s="149"/>
      <c r="Z1306" s="149"/>
      <c r="AA1306" s="149"/>
      <c r="AB1306" s="149"/>
      <c r="AC1306" s="149"/>
      <c r="AD1306" s="149"/>
      <c r="AE1306" s="149"/>
      <c r="AF1306" s="149"/>
      <c r="AG1306" s="149"/>
      <c r="AH1306" s="149"/>
      <c r="AI1306" s="149"/>
      <c r="AJ1306" s="149"/>
      <c r="AK1306" s="149"/>
      <c r="AL1306" s="149"/>
      <c r="AM1306" s="149"/>
      <c r="AN1306" s="149"/>
      <c r="AO1306" s="149"/>
      <c r="AP1306" s="149"/>
    </row>
    <row r="1307" ht="18.75" customHeight="1">
      <c r="A1307" s="149"/>
      <c r="B1307" s="149"/>
      <c r="C1307" s="304"/>
      <c r="D1307" s="149"/>
      <c r="E1307" s="149"/>
      <c r="F1307" s="149"/>
      <c r="G1307" s="149"/>
      <c r="H1307" s="149"/>
      <c r="I1307" s="149"/>
      <c r="J1307" s="149"/>
      <c r="K1307" s="149"/>
      <c r="L1307" s="149"/>
      <c r="M1307" s="149"/>
      <c r="N1307" s="149"/>
      <c r="O1307" s="149"/>
      <c r="P1307" s="149"/>
      <c r="Q1307" s="149"/>
      <c r="R1307" s="149"/>
      <c r="S1307" s="149"/>
      <c r="T1307" s="149"/>
      <c r="U1307" s="149"/>
      <c r="V1307" s="149"/>
      <c r="W1307" s="149"/>
      <c r="X1307" s="149"/>
      <c r="Y1307" s="149"/>
      <c r="Z1307" s="149"/>
      <c r="AA1307" s="149"/>
      <c r="AB1307" s="149"/>
      <c r="AC1307" s="149"/>
      <c r="AD1307" s="149"/>
      <c r="AE1307" s="149"/>
      <c r="AF1307" s="149"/>
      <c r="AG1307" s="149"/>
      <c r="AH1307" s="149"/>
      <c r="AI1307" s="149"/>
      <c r="AJ1307" s="149"/>
      <c r="AK1307" s="149"/>
      <c r="AL1307" s="149"/>
      <c r="AM1307" s="149"/>
      <c r="AN1307" s="149"/>
      <c r="AO1307" s="149"/>
      <c r="AP1307" s="149"/>
    </row>
    <row r="1308" ht="18.75" customHeight="1">
      <c r="A1308" s="149"/>
      <c r="B1308" s="149"/>
      <c r="C1308" s="304"/>
      <c r="D1308" s="149"/>
      <c r="E1308" s="149"/>
      <c r="F1308" s="149"/>
      <c r="G1308" s="149"/>
      <c r="H1308" s="149"/>
      <c r="I1308" s="149"/>
      <c r="J1308" s="149"/>
      <c r="K1308" s="149"/>
      <c r="L1308" s="149"/>
      <c r="M1308" s="149"/>
      <c r="N1308" s="149"/>
      <c r="O1308" s="149"/>
      <c r="P1308" s="149"/>
      <c r="Q1308" s="149"/>
      <c r="R1308" s="149"/>
      <c r="S1308" s="149"/>
      <c r="T1308" s="149"/>
      <c r="U1308" s="149"/>
      <c r="V1308" s="149"/>
      <c r="W1308" s="149"/>
      <c r="X1308" s="149"/>
      <c r="Y1308" s="149"/>
      <c r="Z1308" s="149"/>
      <c r="AA1308" s="149"/>
      <c r="AB1308" s="149"/>
      <c r="AC1308" s="149"/>
      <c r="AD1308" s="149"/>
      <c r="AE1308" s="149"/>
      <c r="AF1308" s="149"/>
      <c r="AG1308" s="149"/>
      <c r="AH1308" s="149"/>
      <c r="AI1308" s="149"/>
      <c r="AJ1308" s="149"/>
      <c r="AK1308" s="149"/>
      <c r="AL1308" s="149"/>
      <c r="AM1308" s="149"/>
      <c r="AN1308" s="149"/>
      <c r="AO1308" s="149"/>
      <c r="AP1308" s="149"/>
    </row>
    <row r="1309" ht="18.75" customHeight="1">
      <c r="A1309" s="149"/>
      <c r="B1309" s="149"/>
      <c r="C1309" s="304"/>
      <c r="D1309" s="149"/>
      <c r="E1309" s="149"/>
      <c r="F1309" s="149"/>
      <c r="G1309" s="149"/>
      <c r="H1309" s="149"/>
      <c r="I1309" s="149"/>
      <c r="J1309" s="149"/>
      <c r="K1309" s="149"/>
      <c r="L1309" s="149"/>
      <c r="M1309" s="149"/>
      <c r="N1309" s="149"/>
      <c r="O1309" s="149"/>
      <c r="P1309" s="149"/>
      <c r="Q1309" s="149"/>
      <c r="R1309" s="149"/>
      <c r="S1309" s="149"/>
      <c r="T1309" s="149"/>
      <c r="U1309" s="149"/>
      <c r="V1309" s="149"/>
      <c r="W1309" s="149"/>
      <c r="X1309" s="149"/>
      <c r="Y1309" s="149"/>
      <c r="Z1309" s="149"/>
      <c r="AA1309" s="149"/>
      <c r="AB1309" s="149"/>
      <c r="AC1309" s="149"/>
      <c r="AD1309" s="149"/>
      <c r="AE1309" s="149"/>
      <c r="AF1309" s="149"/>
      <c r="AG1309" s="149"/>
      <c r="AH1309" s="149"/>
      <c r="AI1309" s="149"/>
      <c r="AJ1309" s="149"/>
      <c r="AK1309" s="149"/>
      <c r="AL1309" s="149"/>
      <c r="AM1309" s="149"/>
      <c r="AN1309" s="149"/>
      <c r="AO1309" s="149"/>
      <c r="AP1309" s="149"/>
    </row>
    <row r="1310" ht="18.75" customHeight="1">
      <c r="A1310" s="149"/>
      <c r="B1310" s="149"/>
      <c r="C1310" s="304"/>
      <c r="D1310" s="149"/>
      <c r="E1310" s="149"/>
      <c r="F1310" s="149"/>
      <c r="G1310" s="149"/>
      <c r="H1310" s="149"/>
      <c r="I1310" s="149"/>
      <c r="J1310" s="149"/>
      <c r="K1310" s="149"/>
      <c r="L1310" s="149"/>
      <c r="M1310" s="149"/>
      <c r="N1310" s="149"/>
      <c r="O1310" s="149"/>
      <c r="P1310" s="149"/>
      <c r="Q1310" s="149"/>
      <c r="R1310" s="149"/>
      <c r="S1310" s="149"/>
      <c r="T1310" s="149"/>
      <c r="U1310" s="149"/>
      <c r="V1310" s="149"/>
      <c r="W1310" s="149"/>
      <c r="X1310" s="149"/>
      <c r="Y1310" s="149"/>
      <c r="Z1310" s="149"/>
      <c r="AA1310" s="149"/>
      <c r="AB1310" s="149"/>
      <c r="AC1310" s="149"/>
      <c r="AD1310" s="149"/>
      <c r="AE1310" s="149"/>
      <c r="AF1310" s="149"/>
      <c r="AG1310" s="149"/>
      <c r="AH1310" s="149"/>
      <c r="AI1310" s="149"/>
      <c r="AJ1310" s="149"/>
      <c r="AK1310" s="149"/>
      <c r="AL1310" s="149"/>
      <c r="AM1310" s="149"/>
      <c r="AN1310" s="149"/>
      <c r="AO1310" s="149"/>
      <c r="AP1310" s="149"/>
    </row>
    <row r="1311" ht="18.75" customHeight="1">
      <c r="A1311" s="149"/>
      <c r="B1311" s="149"/>
      <c r="C1311" s="304"/>
      <c r="D1311" s="149"/>
      <c r="E1311" s="149"/>
      <c r="F1311" s="149"/>
      <c r="G1311" s="149"/>
      <c r="H1311" s="149"/>
      <c r="I1311" s="149"/>
      <c r="J1311" s="149"/>
      <c r="K1311" s="149"/>
      <c r="L1311" s="149"/>
      <c r="M1311" s="149"/>
      <c r="N1311" s="149"/>
      <c r="O1311" s="149"/>
      <c r="P1311" s="149"/>
      <c r="Q1311" s="149"/>
      <c r="R1311" s="149"/>
      <c r="S1311" s="149"/>
      <c r="T1311" s="149"/>
      <c r="U1311" s="149"/>
      <c r="V1311" s="149"/>
      <c r="W1311" s="149"/>
      <c r="X1311" s="149"/>
      <c r="Y1311" s="149"/>
      <c r="Z1311" s="149"/>
      <c r="AA1311" s="149"/>
      <c r="AB1311" s="149"/>
      <c r="AC1311" s="149"/>
      <c r="AD1311" s="149"/>
      <c r="AE1311" s="149"/>
      <c r="AF1311" s="149"/>
      <c r="AG1311" s="149"/>
      <c r="AH1311" s="149"/>
      <c r="AI1311" s="149"/>
      <c r="AJ1311" s="149"/>
      <c r="AK1311" s="149"/>
      <c r="AL1311" s="149"/>
      <c r="AM1311" s="149"/>
      <c r="AN1311" s="149"/>
      <c r="AO1311" s="149"/>
      <c r="AP1311" s="149"/>
    </row>
    <row r="1312" ht="18.75" customHeight="1">
      <c r="A1312" s="149"/>
      <c r="B1312" s="149"/>
      <c r="C1312" s="304"/>
      <c r="D1312" s="149"/>
      <c r="E1312" s="149"/>
      <c r="F1312" s="149"/>
      <c r="G1312" s="149"/>
      <c r="H1312" s="149"/>
      <c r="I1312" s="149"/>
      <c r="J1312" s="149"/>
      <c r="K1312" s="149"/>
      <c r="L1312" s="149"/>
      <c r="M1312" s="149"/>
      <c r="N1312" s="149"/>
      <c r="O1312" s="149"/>
      <c r="P1312" s="149"/>
      <c r="Q1312" s="149"/>
      <c r="R1312" s="149"/>
      <c r="S1312" s="149"/>
      <c r="T1312" s="149"/>
      <c r="U1312" s="149"/>
      <c r="V1312" s="149"/>
      <c r="W1312" s="149"/>
      <c r="X1312" s="149"/>
      <c r="Y1312" s="149"/>
      <c r="Z1312" s="149"/>
      <c r="AA1312" s="149"/>
      <c r="AB1312" s="149"/>
      <c r="AC1312" s="149"/>
      <c r="AD1312" s="149"/>
      <c r="AE1312" s="149"/>
      <c r="AF1312" s="149"/>
      <c r="AG1312" s="149"/>
      <c r="AH1312" s="149"/>
      <c r="AI1312" s="149"/>
      <c r="AJ1312" s="149"/>
      <c r="AK1312" s="149"/>
      <c r="AL1312" s="149"/>
      <c r="AM1312" s="149"/>
      <c r="AN1312" s="149"/>
      <c r="AO1312" s="149"/>
      <c r="AP1312" s="149"/>
    </row>
    <row r="1313" ht="18.75" customHeight="1">
      <c r="A1313" s="149"/>
      <c r="B1313" s="149"/>
      <c r="C1313" s="304"/>
      <c r="D1313" s="149"/>
      <c r="E1313" s="149"/>
      <c r="F1313" s="149"/>
      <c r="G1313" s="149"/>
      <c r="H1313" s="149"/>
      <c r="I1313" s="149"/>
      <c r="J1313" s="149"/>
      <c r="K1313" s="149"/>
      <c r="L1313" s="149"/>
      <c r="M1313" s="149"/>
      <c r="N1313" s="149"/>
      <c r="O1313" s="149"/>
      <c r="P1313" s="149"/>
      <c r="Q1313" s="149"/>
      <c r="R1313" s="149"/>
      <c r="S1313" s="149"/>
      <c r="T1313" s="149"/>
      <c r="U1313" s="149"/>
      <c r="V1313" s="149"/>
      <c r="W1313" s="149"/>
      <c r="X1313" s="149"/>
      <c r="Y1313" s="149"/>
      <c r="Z1313" s="149"/>
      <c r="AA1313" s="149"/>
      <c r="AB1313" s="149"/>
      <c r="AC1313" s="149"/>
      <c r="AD1313" s="149"/>
      <c r="AE1313" s="149"/>
      <c r="AF1313" s="149"/>
      <c r="AG1313" s="149"/>
      <c r="AH1313" s="149"/>
      <c r="AI1313" s="149"/>
      <c r="AJ1313" s="149"/>
      <c r="AK1313" s="149"/>
      <c r="AL1313" s="149"/>
      <c r="AM1313" s="149"/>
      <c r="AN1313" s="149"/>
      <c r="AO1313" s="149"/>
      <c r="AP1313" s="149"/>
    </row>
    <row r="1314" ht="18.75" customHeight="1">
      <c r="A1314" s="149"/>
      <c r="B1314" s="149"/>
      <c r="C1314" s="304"/>
      <c r="D1314" s="149"/>
      <c r="E1314" s="149"/>
      <c r="F1314" s="149"/>
      <c r="G1314" s="149"/>
      <c r="H1314" s="149"/>
      <c r="I1314" s="149"/>
      <c r="J1314" s="149"/>
      <c r="K1314" s="149"/>
      <c r="L1314" s="149"/>
      <c r="M1314" s="149"/>
      <c r="N1314" s="149"/>
      <c r="O1314" s="149"/>
      <c r="P1314" s="149"/>
      <c r="Q1314" s="149"/>
      <c r="R1314" s="149"/>
      <c r="S1314" s="149"/>
      <c r="T1314" s="149"/>
      <c r="U1314" s="149"/>
      <c r="V1314" s="149"/>
      <c r="W1314" s="149"/>
      <c r="X1314" s="149"/>
      <c r="Y1314" s="149"/>
      <c r="Z1314" s="149"/>
      <c r="AA1314" s="149"/>
      <c r="AB1314" s="149"/>
      <c r="AC1314" s="149"/>
      <c r="AD1314" s="149"/>
      <c r="AE1314" s="149"/>
      <c r="AF1314" s="149"/>
      <c r="AG1314" s="149"/>
      <c r="AH1314" s="149"/>
      <c r="AI1314" s="149"/>
      <c r="AJ1314" s="149"/>
      <c r="AK1314" s="149"/>
      <c r="AL1314" s="149"/>
      <c r="AM1314" s="149"/>
      <c r="AN1314" s="149"/>
      <c r="AO1314" s="149"/>
      <c r="AP1314" s="149"/>
    </row>
    <row r="1315" ht="18.75" customHeight="1">
      <c r="A1315" s="149"/>
      <c r="B1315" s="149"/>
      <c r="C1315" s="304"/>
      <c r="D1315" s="149"/>
      <c r="E1315" s="149"/>
      <c r="F1315" s="149"/>
      <c r="G1315" s="149"/>
      <c r="H1315" s="149"/>
      <c r="I1315" s="149"/>
      <c r="J1315" s="149"/>
      <c r="K1315" s="149"/>
      <c r="L1315" s="149"/>
      <c r="M1315" s="149"/>
      <c r="N1315" s="149"/>
      <c r="O1315" s="149"/>
      <c r="P1315" s="149"/>
      <c r="Q1315" s="149"/>
      <c r="R1315" s="149"/>
      <c r="S1315" s="149"/>
      <c r="T1315" s="149"/>
      <c r="U1315" s="149"/>
      <c r="V1315" s="149"/>
      <c r="W1315" s="149"/>
      <c r="X1315" s="149"/>
      <c r="Y1315" s="149"/>
      <c r="Z1315" s="149"/>
      <c r="AA1315" s="149"/>
      <c r="AB1315" s="149"/>
      <c r="AC1315" s="149"/>
      <c r="AD1315" s="149"/>
      <c r="AE1315" s="149"/>
      <c r="AF1315" s="149"/>
      <c r="AG1315" s="149"/>
      <c r="AH1315" s="149"/>
      <c r="AI1315" s="149"/>
      <c r="AJ1315" s="149"/>
      <c r="AK1315" s="149"/>
      <c r="AL1315" s="149"/>
      <c r="AM1315" s="149"/>
      <c r="AN1315" s="149"/>
      <c r="AO1315" s="149"/>
      <c r="AP1315" s="149"/>
    </row>
    <row r="1316" ht="18.75" customHeight="1">
      <c r="A1316" s="149"/>
      <c r="B1316" s="149"/>
      <c r="C1316" s="304"/>
      <c r="D1316" s="149"/>
      <c r="E1316" s="149"/>
      <c r="F1316" s="149"/>
      <c r="G1316" s="149"/>
      <c r="H1316" s="149"/>
      <c r="I1316" s="149"/>
      <c r="J1316" s="149"/>
      <c r="K1316" s="149"/>
      <c r="L1316" s="149"/>
      <c r="M1316" s="149"/>
      <c r="N1316" s="149"/>
      <c r="O1316" s="149"/>
      <c r="P1316" s="149"/>
      <c r="Q1316" s="149"/>
      <c r="R1316" s="149"/>
      <c r="S1316" s="149"/>
      <c r="T1316" s="149"/>
      <c r="U1316" s="149"/>
      <c r="V1316" s="149"/>
      <c r="W1316" s="149"/>
      <c r="X1316" s="149"/>
      <c r="Y1316" s="149"/>
      <c r="Z1316" s="149"/>
      <c r="AA1316" s="149"/>
      <c r="AB1316" s="149"/>
      <c r="AC1316" s="149"/>
      <c r="AD1316" s="149"/>
      <c r="AE1316" s="149"/>
      <c r="AF1316" s="149"/>
      <c r="AG1316" s="149"/>
      <c r="AH1316" s="149"/>
      <c r="AI1316" s="149"/>
      <c r="AJ1316" s="149"/>
      <c r="AK1316" s="149"/>
      <c r="AL1316" s="149"/>
      <c r="AM1316" s="149"/>
      <c r="AN1316" s="149"/>
      <c r="AO1316" s="149"/>
      <c r="AP1316" s="149"/>
    </row>
    <row r="1317" ht="18.75" customHeight="1">
      <c r="A1317" s="149"/>
      <c r="B1317" s="149"/>
      <c r="C1317" s="304"/>
      <c r="D1317" s="149"/>
      <c r="E1317" s="149"/>
      <c r="F1317" s="149"/>
      <c r="G1317" s="149"/>
      <c r="H1317" s="149"/>
      <c r="I1317" s="149"/>
      <c r="J1317" s="149"/>
      <c r="K1317" s="149"/>
      <c r="L1317" s="149"/>
      <c r="M1317" s="149"/>
      <c r="N1317" s="149"/>
      <c r="O1317" s="149"/>
      <c r="P1317" s="149"/>
      <c r="Q1317" s="149"/>
      <c r="R1317" s="149"/>
      <c r="S1317" s="149"/>
      <c r="T1317" s="149"/>
      <c r="U1317" s="149"/>
      <c r="V1317" s="149"/>
      <c r="W1317" s="149"/>
      <c r="X1317" s="149"/>
      <c r="Y1317" s="149"/>
      <c r="Z1317" s="149"/>
      <c r="AA1317" s="149"/>
      <c r="AB1317" s="149"/>
      <c r="AC1317" s="149"/>
      <c r="AD1317" s="149"/>
      <c r="AE1317" s="149"/>
      <c r="AF1317" s="149"/>
      <c r="AG1317" s="149"/>
      <c r="AH1317" s="149"/>
      <c r="AI1317" s="149"/>
      <c r="AJ1317" s="149"/>
      <c r="AK1317" s="149"/>
      <c r="AL1317" s="149"/>
      <c r="AM1317" s="149"/>
      <c r="AN1317" s="149"/>
      <c r="AO1317" s="149"/>
      <c r="AP1317" s="149"/>
    </row>
    <row r="1318" ht="18.75" customHeight="1">
      <c r="A1318" s="149"/>
      <c r="B1318" s="149"/>
      <c r="C1318" s="304"/>
      <c r="D1318" s="149"/>
      <c r="E1318" s="149"/>
      <c r="F1318" s="149"/>
      <c r="G1318" s="149"/>
      <c r="H1318" s="149"/>
      <c r="I1318" s="149"/>
      <c r="J1318" s="149"/>
      <c r="K1318" s="149"/>
      <c r="L1318" s="149"/>
      <c r="M1318" s="149"/>
      <c r="N1318" s="149"/>
      <c r="O1318" s="149"/>
      <c r="P1318" s="149"/>
      <c r="Q1318" s="149"/>
      <c r="R1318" s="149"/>
      <c r="S1318" s="149"/>
      <c r="T1318" s="149"/>
      <c r="U1318" s="149"/>
      <c r="V1318" s="149"/>
      <c r="W1318" s="149"/>
      <c r="X1318" s="149"/>
      <c r="Y1318" s="149"/>
      <c r="Z1318" s="149"/>
      <c r="AA1318" s="149"/>
      <c r="AB1318" s="149"/>
      <c r="AC1318" s="149"/>
      <c r="AD1318" s="149"/>
      <c r="AE1318" s="149"/>
      <c r="AF1318" s="149"/>
      <c r="AG1318" s="149"/>
      <c r="AH1318" s="149"/>
      <c r="AI1318" s="149"/>
      <c r="AJ1318" s="149"/>
      <c r="AK1318" s="149"/>
      <c r="AL1318" s="149"/>
      <c r="AM1318" s="149"/>
      <c r="AN1318" s="149"/>
      <c r="AO1318" s="149"/>
      <c r="AP1318" s="149"/>
    </row>
    <row r="1319" ht="18.75" customHeight="1">
      <c r="A1319" s="149"/>
      <c r="B1319" s="149"/>
      <c r="C1319" s="304"/>
      <c r="D1319" s="149"/>
      <c r="E1319" s="149"/>
      <c r="F1319" s="149"/>
      <c r="G1319" s="149"/>
      <c r="H1319" s="149"/>
      <c r="I1319" s="149"/>
      <c r="J1319" s="149"/>
      <c r="K1319" s="149"/>
      <c r="L1319" s="149"/>
      <c r="M1319" s="149"/>
      <c r="N1319" s="149"/>
      <c r="O1319" s="149"/>
      <c r="P1319" s="149"/>
      <c r="Q1319" s="149"/>
      <c r="R1319" s="149"/>
      <c r="S1319" s="149"/>
      <c r="T1319" s="149"/>
      <c r="U1319" s="149"/>
      <c r="V1319" s="149"/>
      <c r="W1319" s="149"/>
      <c r="X1319" s="149"/>
      <c r="Y1319" s="149"/>
      <c r="Z1319" s="149"/>
      <c r="AA1319" s="149"/>
      <c r="AB1319" s="149"/>
      <c r="AC1319" s="149"/>
      <c r="AD1319" s="149"/>
      <c r="AE1319" s="149"/>
      <c r="AF1319" s="149"/>
      <c r="AG1319" s="149"/>
      <c r="AH1319" s="149"/>
      <c r="AI1319" s="149"/>
      <c r="AJ1319" s="149"/>
      <c r="AK1319" s="149"/>
      <c r="AL1319" s="149"/>
      <c r="AM1319" s="149"/>
      <c r="AN1319" s="149"/>
      <c r="AO1319" s="149"/>
      <c r="AP1319" s="149"/>
    </row>
    <row r="1320" ht="18.75" customHeight="1">
      <c r="A1320" s="149"/>
      <c r="B1320" s="149"/>
      <c r="C1320" s="304"/>
      <c r="D1320" s="149"/>
      <c r="E1320" s="149"/>
      <c r="F1320" s="149"/>
      <c r="G1320" s="149"/>
      <c r="H1320" s="149"/>
      <c r="I1320" s="149"/>
      <c r="J1320" s="149"/>
      <c r="K1320" s="149"/>
      <c r="L1320" s="149"/>
      <c r="M1320" s="149"/>
      <c r="N1320" s="149"/>
      <c r="O1320" s="149"/>
      <c r="P1320" s="149"/>
      <c r="Q1320" s="149"/>
      <c r="R1320" s="149"/>
      <c r="S1320" s="149"/>
      <c r="T1320" s="149"/>
      <c r="U1320" s="149"/>
      <c r="V1320" s="149"/>
      <c r="W1320" s="149"/>
      <c r="X1320" s="149"/>
      <c r="Y1320" s="149"/>
      <c r="Z1320" s="149"/>
      <c r="AA1320" s="149"/>
      <c r="AB1320" s="149"/>
      <c r="AC1320" s="149"/>
      <c r="AD1320" s="149"/>
      <c r="AE1320" s="149"/>
      <c r="AF1320" s="149"/>
      <c r="AG1320" s="149"/>
      <c r="AH1320" s="149"/>
      <c r="AI1320" s="149"/>
      <c r="AJ1320" s="149"/>
      <c r="AK1320" s="149"/>
      <c r="AL1320" s="149"/>
      <c r="AM1320" s="149"/>
      <c r="AN1320" s="149"/>
      <c r="AO1320" s="149"/>
      <c r="AP1320" s="149"/>
    </row>
    <row r="1321" ht="18.75" customHeight="1">
      <c r="A1321" s="149"/>
      <c r="B1321" s="149"/>
      <c r="C1321" s="304"/>
      <c r="D1321" s="149"/>
      <c r="E1321" s="149"/>
      <c r="F1321" s="149"/>
      <c r="G1321" s="149"/>
      <c r="H1321" s="149"/>
      <c r="I1321" s="149"/>
      <c r="J1321" s="149"/>
      <c r="K1321" s="149"/>
      <c r="L1321" s="149"/>
      <c r="M1321" s="149"/>
      <c r="N1321" s="149"/>
      <c r="O1321" s="149"/>
      <c r="P1321" s="149"/>
      <c r="Q1321" s="149"/>
      <c r="R1321" s="149"/>
      <c r="S1321" s="149"/>
      <c r="T1321" s="149"/>
      <c r="U1321" s="149"/>
      <c r="V1321" s="149"/>
      <c r="W1321" s="149"/>
      <c r="X1321" s="149"/>
      <c r="Y1321" s="149"/>
      <c r="Z1321" s="149"/>
      <c r="AA1321" s="149"/>
      <c r="AB1321" s="149"/>
      <c r="AC1321" s="149"/>
      <c r="AD1321" s="149"/>
      <c r="AE1321" s="149"/>
      <c r="AF1321" s="149"/>
      <c r="AG1321" s="149"/>
      <c r="AH1321" s="149"/>
      <c r="AI1321" s="149"/>
      <c r="AJ1321" s="149"/>
      <c r="AK1321" s="149"/>
      <c r="AL1321" s="149"/>
      <c r="AM1321" s="149"/>
      <c r="AN1321" s="149"/>
      <c r="AO1321" s="149"/>
      <c r="AP1321" s="149"/>
    </row>
    <row r="1322" ht="18.75" customHeight="1">
      <c r="A1322" s="149"/>
      <c r="B1322" s="149"/>
      <c r="C1322" s="304"/>
      <c r="D1322" s="149"/>
      <c r="E1322" s="149"/>
      <c r="F1322" s="149"/>
      <c r="G1322" s="149"/>
      <c r="H1322" s="149"/>
      <c r="I1322" s="149"/>
      <c r="J1322" s="149"/>
      <c r="K1322" s="149"/>
      <c r="L1322" s="149"/>
      <c r="M1322" s="149"/>
      <c r="N1322" s="149"/>
      <c r="O1322" s="149"/>
      <c r="P1322" s="149"/>
      <c r="Q1322" s="149"/>
      <c r="R1322" s="149"/>
      <c r="S1322" s="149"/>
      <c r="T1322" s="149"/>
      <c r="U1322" s="149"/>
      <c r="V1322" s="149"/>
      <c r="W1322" s="149"/>
      <c r="X1322" s="149"/>
      <c r="Y1322" s="149"/>
      <c r="Z1322" s="149"/>
      <c r="AA1322" s="149"/>
      <c r="AB1322" s="149"/>
      <c r="AC1322" s="149"/>
      <c r="AD1322" s="149"/>
      <c r="AE1322" s="149"/>
      <c r="AF1322" s="149"/>
      <c r="AG1322" s="149"/>
      <c r="AH1322" s="149"/>
      <c r="AI1322" s="149"/>
      <c r="AJ1322" s="149"/>
      <c r="AK1322" s="149"/>
      <c r="AL1322" s="149"/>
      <c r="AM1322" s="149"/>
      <c r="AN1322" s="149"/>
      <c r="AO1322" s="149"/>
      <c r="AP1322" s="149"/>
    </row>
    <row r="1323" ht="18.75" customHeight="1">
      <c r="A1323" s="149"/>
      <c r="B1323" s="149"/>
      <c r="C1323" s="304"/>
      <c r="D1323" s="149"/>
      <c r="E1323" s="149"/>
      <c r="F1323" s="149"/>
      <c r="G1323" s="149"/>
      <c r="H1323" s="149"/>
      <c r="I1323" s="149"/>
      <c r="J1323" s="149"/>
      <c r="K1323" s="149"/>
      <c r="L1323" s="149"/>
      <c r="M1323" s="149"/>
      <c r="N1323" s="149"/>
      <c r="O1323" s="149"/>
      <c r="P1323" s="149"/>
      <c r="Q1323" s="149"/>
      <c r="R1323" s="149"/>
      <c r="S1323" s="149"/>
      <c r="T1323" s="149"/>
      <c r="U1323" s="149"/>
      <c r="V1323" s="149"/>
      <c r="W1323" s="149"/>
      <c r="X1323" s="149"/>
      <c r="Y1323" s="149"/>
      <c r="Z1323" s="149"/>
      <c r="AA1323" s="149"/>
      <c r="AB1323" s="149"/>
      <c r="AC1323" s="149"/>
      <c r="AD1323" s="149"/>
      <c r="AE1323" s="149"/>
      <c r="AF1323" s="149"/>
      <c r="AG1323" s="149"/>
      <c r="AH1323" s="149"/>
      <c r="AI1323" s="149"/>
      <c r="AJ1323" s="149"/>
      <c r="AK1323" s="149"/>
      <c r="AL1323" s="149"/>
      <c r="AM1323" s="149"/>
      <c r="AN1323" s="149"/>
      <c r="AO1323" s="149"/>
      <c r="AP1323" s="149"/>
    </row>
    <row r="1324" ht="18.75" customHeight="1">
      <c r="A1324" s="149"/>
      <c r="B1324" s="149"/>
      <c r="C1324" s="304"/>
      <c r="D1324" s="149"/>
      <c r="E1324" s="149"/>
      <c r="F1324" s="149"/>
      <c r="G1324" s="149"/>
      <c r="H1324" s="149"/>
      <c r="I1324" s="149"/>
      <c r="J1324" s="149"/>
      <c r="K1324" s="149"/>
      <c r="L1324" s="149"/>
      <c r="M1324" s="149"/>
      <c r="N1324" s="149"/>
      <c r="O1324" s="149"/>
      <c r="P1324" s="149"/>
      <c r="Q1324" s="149"/>
      <c r="R1324" s="149"/>
      <c r="S1324" s="149"/>
      <c r="T1324" s="149"/>
      <c r="U1324" s="149"/>
      <c r="V1324" s="149"/>
      <c r="W1324" s="149"/>
      <c r="X1324" s="149"/>
      <c r="Y1324" s="149"/>
      <c r="Z1324" s="149"/>
      <c r="AA1324" s="149"/>
      <c r="AB1324" s="149"/>
      <c r="AC1324" s="149"/>
      <c r="AD1324" s="149"/>
      <c r="AE1324" s="149"/>
      <c r="AF1324" s="149"/>
      <c r="AG1324" s="149"/>
      <c r="AH1324" s="149"/>
      <c r="AI1324" s="149"/>
      <c r="AJ1324" s="149"/>
      <c r="AK1324" s="149"/>
      <c r="AL1324" s="149"/>
      <c r="AM1324" s="149"/>
      <c r="AN1324" s="149"/>
      <c r="AO1324" s="149"/>
      <c r="AP1324" s="149"/>
    </row>
    <row r="1325" ht="18.75" customHeight="1">
      <c r="A1325" s="149"/>
      <c r="B1325" s="149"/>
      <c r="C1325" s="304"/>
      <c r="D1325" s="149"/>
      <c r="E1325" s="149"/>
      <c r="F1325" s="149"/>
      <c r="G1325" s="149"/>
      <c r="H1325" s="149"/>
      <c r="I1325" s="149"/>
      <c r="J1325" s="149"/>
      <c r="K1325" s="149"/>
      <c r="L1325" s="149"/>
      <c r="M1325" s="149"/>
      <c r="N1325" s="149"/>
      <c r="O1325" s="149"/>
      <c r="P1325" s="149"/>
      <c r="Q1325" s="149"/>
      <c r="R1325" s="149"/>
      <c r="S1325" s="149"/>
      <c r="T1325" s="149"/>
      <c r="U1325" s="149"/>
      <c r="V1325" s="149"/>
      <c r="W1325" s="149"/>
      <c r="X1325" s="149"/>
      <c r="Y1325" s="149"/>
      <c r="Z1325" s="149"/>
      <c r="AA1325" s="149"/>
      <c r="AB1325" s="149"/>
      <c r="AC1325" s="149"/>
      <c r="AD1325" s="149"/>
      <c r="AE1325" s="149"/>
      <c r="AF1325" s="149"/>
      <c r="AG1325" s="149"/>
      <c r="AH1325" s="149"/>
      <c r="AI1325" s="149"/>
      <c r="AJ1325" s="149"/>
      <c r="AK1325" s="149"/>
      <c r="AL1325" s="149"/>
      <c r="AM1325" s="149"/>
      <c r="AN1325" s="149"/>
      <c r="AO1325" s="149"/>
      <c r="AP1325" s="149"/>
    </row>
    <row r="1326" ht="18.75" customHeight="1">
      <c r="A1326" s="149"/>
      <c r="B1326" s="149"/>
      <c r="C1326" s="304"/>
      <c r="D1326" s="149"/>
      <c r="E1326" s="149"/>
      <c r="F1326" s="149"/>
      <c r="G1326" s="149"/>
      <c r="H1326" s="149"/>
      <c r="I1326" s="149"/>
      <c r="J1326" s="149"/>
      <c r="K1326" s="149"/>
      <c r="L1326" s="149"/>
      <c r="M1326" s="149"/>
      <c r="N1326" s="149"/>
      <c r="O1326" s="149"/>
      <c r="P1326" s="149"/>
      <c r="Q1326" s="149"/>
      <c r="R1326" s="149"/>
      <c r="S1326" s="149"/>
      <c r="T1326" s="149"/>
      <c r="U1326" s="149"/>
      <c r="V1326" s="149"/>
      <c r="W1326" s="149"/>
      <c r="X1326" s="149"/>
      <c r="Y1326" s="149"/>
      <c r="Z1326" s="149"/>
      <c r="AA1326" s="149"/>
      <c r="AB1326" s="149"/>
      <c r="AC1326" s="149"/>
      <c r="AD1326" s="149"/>
      <c r="AE1326" s="149"/>
      <c r="AF1326" s="149"/>
      <c r="AG1326" s="149"/>
      <c r="AH1326" s="149"/>
      <c r="AI1326" s="149"/>
      <c r="AJ1326" s="149"/>
      <c r="AK1326" s="149"/>
      <c r="AL1326" s="149"/>
      <c r="AM1326" s="149"/>
      <c r="AN1326" s="149"/>
      <c r="AO1326" s="149"/>
      <c r="AP1326" s="149"/>
    </row>
    <row r="1327" ht="18.75" customHeight="1">
      <c r="A1327" s="149"/>
      <c r="B1327" s="149"/>
      <c r="C1327" s="304"/>
      <c r="D1327" s="149"/>
      <c r="E1327" s="149"/>
      <c r="F1327" s="149"/>
      <c r="G1327" s="149"/>
      <c r="H1327" s="149"/>
      <c r="I1327" s="149"/>
      <c r="J1327" s="149"/>
      <c r="K1327" s="149"/>
      <c r="L1327" s="149"/>
      <c r="M1327" s="149"/>
      <c r="N1327" s="149"/>
      <c r="O1327" s="149"/>
      <c r="P1327" s="149"/>
      <c r="Q1327" s="149"/>
      <c r="R1327" s="149"/>
      <c r="S1327" s="149"/>
      <c r="T1327" s="149"/>
      <c r="U1327" s="149"/>
      <c r="V1327" s="149"/>
      <c r="W1327" s="149"/>
      <c r="X1327" s="149"/>
      <c r="Y1327" s="149"/>
      <c r="Z1327" s="149"/>
      <c r="AA1327" s="149"/>
      <c r="AB1327" s="149"/>
      <c r="AC1327" s="149"/>
      <c r="AD1327" s="149"/>
      <c r="AE1327" s="149"/>
      <c r="AF1327" s="149"/>
      <c r="AG1327" s="149"/>
      <c r="AH1327" s="149"/>
      <c r="AI1327" s="149"/>
      <c r="AJ1327" s="149"/>
      <c r="AK1327" s="149"/>
      <c r="AL1327" s="149"/>
      <c r="AM1327" s="149"/>
      <c r="AN1327" s="149"/>
      <c r="AO1327" s="149"/>
      <c r="AP1327" s="149"/>
    </row>
    <row r="1328" ht="18.75" customHeight="1">
      <c r="A1328" s="149"/>
      <c r="B1328" s="149"/>
      <c r="C1328" s="304"/>
      <c r="D1328" s="149"/>
      <c r="E1328" s="149"/>
      <c r="F1328" s="149"/>
      <c r="G1328" s="149"/>
      <c r="H1328" s="149"/>
      <c r="I1328" s="149"/>
      <c r="J1328" s="149"/>
      <c r="K1328" s="149"/>
      <c r="L1328" s="149"/>
      <c r="M1328" s="149"/>
      <c r="N1328" s="149"/>
      <c r="O1328" s="149"/>
      <c r="P1328" s="149"/>
      <c r="Q1328" s="149"/>
      <c r="R1328" s="149"/>
      <c r="S1328" s="149"/>
      <c r="T1328" s="149"/>
      <c r="U1328" s="149"/>
      <c r="V1328" s="149"/>
      <c r="W1328" s="149"/>
      <c r="X1328" s="149"/>
      <c r="Y1328" s="149"/>
      <c r="Z1328" s="149"/>
      <c r="AA1328" s="149"/>
      <c r="AB1328" s="149"/>
      <c r="AC1328" s="149"/>
      <c r="AD1328" s="149"/>
      <c r="AE1328" s="149"/>
      <c r="AF1328" s="149"/>
      <c r="AG1328" s="149"/>
      <c r="AH1328" s="149"/>
      <c r="AI1328" s="149"/>
      <c r="AJ1328" s="149"/>
      <c r="AK1328" s="149"/>
      <c r="AL1328" s="149"/>
      <c r="AM1328" s="149"/>
      <c r="AN1328" s="149"/>
      <c r="AO1328" s="149"/>
      <c r="AP1328" s="149"/>
    </row>
    <row r="1329" ht="18.75" customHeight="1">
      <c r="A1329" s="149"/>
      <c r="B1329" s="149"/>
      <c r="C1329" s="304"/>
      <c r="D1329" s="149"/>
      <c r="E1329" s="149"/>
      <c r="F1329" s="149"/>
      <c r="G1329" s="149"/>
      <c r="H1329" s="149"/>
      <c r="I1329" s="149"/>
      <c r="J1329" s="149"/>
      <c r="K1329" s="149"/>
      <c r="L1329" s="149"/>
      <c r="M1329" s="149"/>
      <c r="N1329" s="149"/>
      <c r="O1329" s="149"/>
      <c r="P1329" s="149"/>
      <c r="Q1329" s="149"/>
      <c r="R1329" s="149"/>
      <c r="S1329" s="149"/>
      <c r="T1329" s="149"/>
      <c r="U1329" s="149"/>
      <c r="V1329" s="149"/>
      <c r="W1329" s="149"/>
      <c r="X1329" s="149"/>
      <c r="Y1329" s="149"/>
      <c r="Z1329" s="149"/>
      <c r="AA1329" s="149"/>
      <c r="AB1329" s="149"/>
      <c r="AC1329" s="149"/>
      <c r="AD1329" s="149"/>
      <c r="AE1329" s="149"/>
      <c r="AF1329" s="149"/>
      <c r="AG1329" s="149"/>
      <c r="AH1329" s="149"/>
      <c r="AI1329" s="149"/>
      <c r="AJ1329" s="149"/>
      <c r="AK1329" s="149"/>
      <c r="AL1329" s="149"/>
      <c r="AM1329" s="149"/>
      <c r="AN1329" s="149"/>
      <c r="AO1329" s="149"/>
      <c r="AP1329" s="149"/>
    </row>
    <row r="1330" ht="18.75" customHeight="1">
      <c r="A1330" s="149"/>
      <c r="B1330" s="149"/>
      <c r="C1330" s="304"/>
      <c r="D1330" s="149"/>
      <c r="E1330" s="149"/>
      <c r="F1330" s="149"/>
      <c r="G1330" s="149"/>
      <c r="H1330" s="149"/>
      <c r="I1330" s="149"/>
      <c r="J1330" s="149"/>
      <c r="K1330" s="149"/>
      <c r="L1330" s="149"/>
      <c r="M1330" s="149"/>
      <c r="N1330" s="149"/>
      <c r="O1330" s="149"/>
      <c r="P1330" s="149"/>
      <c r="Q1330" s="149"/>
      <c r="R1330" s="149"/>
      <c r="S1330" s="149"/>
      <c r="T1330" s="149"/>
      <c r="U1330" s="149"/>
      <c r="V1330" s="149"/>
      <c r="W1330" s="149"/>
      <c r="X1330" s="149"/>
      <c r="Y1330" s="149"/>
      <c r="Z1330" s="149"/>
      <c r="AA1330" s="149"/>
      <c r="AB1330" s="149"/>
      <c r="AC1330" s="149"/>
      <c r="AD1330" s="149"/>
      <c r="AE1330" s="149"/>
      <c r="AF1330" s="149"/>
      <c r="AG1330" s="149"/>
      <c r="AH1330" s="149"/>
      <c r="AI1330" s="149"/>
      <c r="AJ1330" s="149"/>
      <c r="AK1330" s="149"/>
      <c r="AL1330" s="149"/>
      <c r="AM1330" s="149"/>
      <c r="AN1330" s="149"/>
      <c r="AO1330" s="149"/>
      <c r="AP1330" s="149"/>
    </row>
    <row r="1331" ht="18.75" customHeight="1">
      <c r="A1331" s="149"/>
      <c r="B1331" s="149"/>
      <c r="C1331" s="304"/>
      <c r="D1331" s="149"/>
      <c r="E1331" s="149"/>
      <c r="F1331" s="149"/>
      <c r="G1331" s="149"/>
      <c r="H1331" s="149"/>
      <c r="I1331" s="149"/>
      <c r="J1331" s="149"/>
      <c r="K1331" s="149"/>
      <c r="L1331" s="149"/>
      <c r="M1331" s="149"/>
      <c r="N1331" s="149"/>
      <c r="O1331" s="149"/>
      <c r="P1331" s="149"/>
      <c r="Q1331" s="149"/>
      <c r="R1331" s="149"/>
      <c r="S1331" s="149"/>
      <c r="T1331" s="149"/>
      <c r="U1331" s="149"/>
      <c r="V1331" s="149"/>
      <c r="W1331" s="149"/>
      <c r="X1331" s="149"/>
      <c r="Y1331" s="149"/>
      <c r="Z1331" s="149"/>
      <c r="AA1331" s="149"/>
      <c r="AB1331" s="149"/>
      <c r="AC1331" s="149"/>
      <c r="AD1331" s="149"/>
      <c r="AE1331" s="149"/>
      <c r="AF1331" s="149"/>
      <c r="AG1331" s="149"/>
      <c r="AH1331" s="149"/>
      <c r="AI1331" s="149"/>
      <c r="AJ1331" s="149"/>
      <c r="AK1331" s="149"/>
      <c r="AL1331" s="149"/>
      <c r="AM1331" s="149"/>
      <c r="AN1331" s="149"/>
      <c r="AO1331" s="149"/>
      <c r="AP1331" s="149"/>
    </row>
    <row r="1332" ht="18.75" customHeight="1">
      <c r="A1332" s="149"/>
      <c r="B1332" s="149"/>
      <c r="C1332" s="304"/>
      <c r="D1332" s="149"/>
      <c r="E1332" s="149"/>
      <c r="F1332" s="149"/>
      <c r="G1332" s="149"/>
      <c r="H1332" s="149"/>
      <c r="I1332" s="149"/>
      <c r="J1332" s="149"/>
      <c r="K1332" s="149"/>
      <c r="L1332" s="149"/>
      <c r="M1332" s="149"/>
      <c r="N1332" s="149"/>
      <c r="O1332" s="149"/>
      <c r="P1332" s="149"/>
      <c r="Q1332" s="149"/>
      <c r="R1332" s="149"/>
      <c r="S1332" s="149"/>
      <c r="T1332" s="149"/>
      <c r="U1332" s="149"/>
      <c r="V1332" s="149"/>
      <c r="W1332" s="149"/>
      <c r="X1332" s="149"/>
      <c r="Y1332" s="149"/>
      <c r="Z1332" s="149"/>
      <c r="AA1332" s="149"/>
      <c r="AB1332" s="149"/>
      <c r="AC1332" s="149"/>
      <c r="AD1332" s="149"/>
      <c r="AE1332" s="149"/>
      <c r="AF1332" s="149"/>
      <c r="AG1332" s="149"/>
      <c r="AH1332" s="149"/>
      <c r="AI1332" s="149"/>
      <c r="AJ1332" s="149"/>
      <c r="AK1332" s="149"/>
      <c r="AL1332" s="149"/>
      <c r="AM1332" s="149"/>
      <c r="AN1332" s="149"/>
      <c r="AO1332" s="149"/>
      <c r="AP1332" s="149"/>
    </row>
    <row r="1333" ht="18.75" customHeight="1">
      <c r="A1333" s="149"/>
      <c r="B1333" s="149"/>
      <c r="C1333" s="304"/>
      <c r="D1333" s="149"/>
      <c r="E1333" s="149"/>
      <c r="F1333" s="149"/>
      <c r="G1333" s="149"/>
      <c r="H1333" s="149"/>
      <c r="I1333" s="149"/>
      <c r="J1333" s="149"/>
      <c r="K1333" s="149"/>
      <c r="L1333" s="149"/>
      <c r="M1333" s="149"/>
      <c r="N1333" s="149"/>
      <c r="O1333" s="149"/>
      <c r="P1333" s="149"/>
      <c r="Q1333" s="149"/>
      <c r="R1333" s="149"/>
      <c r="S1333" s="149"/>
      <c r="T1333" s="149"/>
      <c r="U1333" s="149"/>
      <c r="V1333" s="149"/>
      <c r="W1333" s="149"/>
      <c r="X1333" s="149"/>
      <c r="Y1333" s="149"/>
      <c r="Z1333" s="149"/>
      <c r="AA1333" s="149"/>
      <c r="AB1333" s="149"/>
      <c r="AC1333" s="149"/>
      <c r="AD1333" s="149"/>
      <c r="AE1333" s="149"/>
      <c r="AF1333" s="149"/>
      <c r="AG1333" s="149"/>
      <c r="AH1333" s="149"/>
      <c r="AI1333" s="149"/>
      <c r="AJ1333" s="149"/>
      <c r="AK1333" s="149"/>
      <c r="AL1333" s="149"/>
      <c r="AM1333" s="149"/>
      <c r="AN1333" s="149"/>
      <c r="AO1333" s="149"/>
      <c r="AP1333" s="149"/>
    </row>
    <row r="1334" ht="18.75" customHeight="1">
      <c r="A1334" s="149"/>
      <c r="B1334" s="149"/>
      <c r="C1334" s="304"/>
      <c r="D1334" s="149"/>
      <c r="E1334" s="149"/>
      <c r="F1334" s="149"/>
      <c r="G1334" s="149"/>
      <c r="H1334" s="149"/>
      <c r="I1334" s="149"/>
      <c r="J1334" s="149"/>
      <c r="K1334" s="149"/>
      <c r="L1334" s="149"/>
      <c r="M1334" s="149"/>
      <c r="N1334" s="149"/>
      <c r="O1334" s="149"/>
      <c r="P1334" s="149"/>
      <c r="Q1334" s="149"/>
      <c r="R1334" s="149"/>
      <c r="S1334" s="149"/>
      <c r="T1334" s="149"/>
      <c r="U1334" s="149"/>
      <c r="V1334" s="149"/>
      <c r="W1334" s="149"/>
      <c r="X1334" s="149"/>
      <c r="Y1334" s="149"/>
      <c r="Z1334" s="149"/>
      <c r="AA1334" s="149"/>
      <c r="AB1334" s="149"/>
      <c r="AC1334" s="149"/>
      <c r="AD1334" s="149"/>
      <c r="AE1334" s="149"/>
      <c r="AF1334" s="149"/>
      <c r="AG1334" s="149"/>
      <c r="AH1334" s="149"/>
      <c r="AI1334" s="149"/>
      <c r="AJ1334" s="149"/>
      <c r="AK1334" s="149"/>
      <c r="AL1334" s="149"/>
      <c r="AM1334" s="149"/>
      <c r="AN1334" s="149"/>
      <c r="AO1334" s="149"/>
      <c r="AP1334" s="149"/>
    </row>
    <row r="1335" ht="18.75" customHeight="1">
      <c r="A1335" s="149"/>
      <c r="B1335" s="149"/>
      <c r="C1335" s="304"/>
      <c r="D1335" s="149"/>
      <c r="E1335" s="149"/>
      <c r="F1335" s="149"/>
      <c r="G1335" s="149"/>
      <c r="H1335" s="149"/>
      <c r="I1335" s="149"/>
      <c r="J1335" s="149"/>
      <c r="K1335" s="149"/>
      <c r="L1335" s="149"/>
      <c r="M1335" s="149"/>
      <c r="N1335" s="149"/>
      <c r="O1335" s="149"/>
      <c r="P1335" s="149"/>
      <c r="Q1335" s="149"/>
      <c r="R1335" s="149"/>
      <c r="S1335" s="149"/>
      <c r="T1335" s="149"/>
      <c r="U1335" s="149"/>
      <c r="V1335" s="149"/>
      <c r="W1335" s="149"/>
      <c r="X1335" s="149"/>
      <c r="Y1335" s="149"/>
      <c r="Z1335" s="149"/>
      <c r="AA1335" s="149"/>
      <c r="AB1335" s="149"/>
      <c r="AC1335" s="149"/>
      <c r="AD1335" s="149"/>
      <c r="AE1335" s="149"/>
      <c r="AF1335" s="149"/>
      <c r="AG1335" s="149"/>
      <c r="AH1335" s="149"/>
      <c r="AI1335" s="149"/>
      <c r="AJ1335" s="149"/>
      <c r="AK1335" s="149"/>
      <c r="AL1335" s="149"/>
      <c r="AM1335" s="149"/>
      <c r="AN1335" s="149"/>
      <c r="AO1335" s="149"/>
      <c r="AP1335" s="149"/>
    </row>
    <row r="1336" ht="18.75" customHeight="1">
      <c r="A1336" s="149"/>
      <c r="B1336" s="149"/>
      <c r="C1336" s="304"/>
      <c r="D1336" s="149"/>
      <c r="E1336" s="149"/>
      <c r="F1336" s="149"/>
      <c r="G1336" s="149"/>
      <c r="H1336" s="149"/>
      <c r="I1336" s="149"/>
      <c r="J1336" s="149"/>
      <c r="K1336" s="149"/>
      <c r="L1336" s="149"/>
      <c r="M1336" s="149"/>
      <c r="N1336" s="149"/>
      <c r="O1336" s="149"/>
      <c r="P1336" s="149"/>
      <c r="Q1336" s="149"/>
      <c r="R1336" s="149"/>
      <c r="S1336" s="149"/>
      <c r="T1336" s="149"/>
      <c r="U1336" s="149"/>
      <c r="V1336" s="149"/>
      <c r="W1336" s="149"/>
      <c r="X1336" s="149"/>
      <c r="Y1336" s="149"/>
      <c r="Z1336" s="149"/>
      <c r="AA1336" s="149"/>
      <c r="AB1336" s="149"/>
      <c r="AC1336" s="149"/>
      <c r="AD1336" s="149"/>
      <c r="AE1336" s="149"/>
      <c r="AF1336" s="149"/>
      <c r="AG1336" s="149"/>
      <c r="AH1336" s="149"/>
      <c r="AI1336" s="149"/>
      <c r="AJ1336" s="149"/>
      <c r="AK1336" s="149"/>
      <c r="AL1336" s="149"/>
      <c r="AM1336" s="149"/>
      <c r="AN1336" s="149"/>
      <c r="AO1336" s="149"/>
      <c r="AP1336" s="149"/>
    </row>
    <row r="1337" ht="18.75" customHeight="1">
      <c r="A1337" s="149"/>
      <c r="B1337" s="149"/>
      <c r="C1337" s="304"/>
      <c r="D1337" s="149"/>
      <c r="E1337" s="149"/>
      <c r="F1337" s="149"/>
      <c r="G1337" s="149"/>
      <c r="H1337" s="149"/>
      <c r="I1337" s="149"/>
      <c r="J1337" s="149"/>
      <c r="K1337" s="149"/>
      <c r="L1337" s="149"/>
      <c r="M1337" s="149"/>
      <c r="N1337" s="149"/>
      <c r="O1337" s="149"/>
      <c r="P1337" s="149"/>
      <c r="Q1337" s="149"/>
      <c r="R1337" s="149"/>
      <c r="S1337" s="149"/>
      <c r="T1337" s="149"/>
      <c r="U1337" s="149"/>
      <c r="V1337" s="149"/>
      <c r="W1337" s="149"/>
      <c r="X1337" s="149"/>
      <c r="Y1337" s="149"/>
      <c r="Z1337" s="149"/>
      <c r="AA1337" s="149"/>
      <c r="AB1337" s="149"/>
      <c r="AC1337" s="149"/>
      <c r="AD1337" s="149"/>
      <c r="AE1337" s="149"/>
      <c r="AF1337" s="149"/>
      <c r="AG1337" s="149"/>
      <c r="AH1337" s="149"/>
      <c r="AI1337" s="149"/>
      <c r="AJ1337" s="149"/>
      <c r="AK1337" s="149"/>
      <c r="AL1337" s="149"/>
      <c r="AM1337" s="149"/>
      <c r="AN1337" s="149"/>
      <c r="AO1337" s="149"/>
      <c r="AP1337" s="149"/>
    </row>
    <row r="1338" ht="18.75" customHeight="1">
      <c r="A1338" s="149"/>
      <c r="B1338" s="149"/>
      <c r="C1338" s="304"/>
      <c r="D1338" s="149"/>
      <c r="E1338" s="149"/>
      <c r="F1338" s="149"/>
      <c r="G1338" s="149"/>
      <c r="H1338" s="149"/>
      <c r="I1338" s="149"/>
      <c r="J1338" s="149"/>
      <c r="K1338" s="149"/>
      <c r="L1338" s="149"/>
      <c r="M1338" s="149"/>
      <c r="N1338" s="149"/>
      <c r="O1338" s="149"/>
      <c r="P1338" s="149"/>
      <c r="Q1338" s="149"/>
      <c r="R1338" s="149"/>
      <c r="S1338" s="149"/>
      <c r="T1338" s="149"/>
      <c r="U1338" s="149"/>
      <c r="V1338" s="149"/>
      <c r="W1338" s="149"/>
      <c r="X1338" s="149"/>
      <c r="Y1338" s="149"/>
      <c r="Z1338" s="149"/>
      <c r="AA1338" s="149"/>
      <c r="AB1338" s="149"/>
      <c r="AC1338" s="149"/>
      <c r="AD1338" s="149"/>
      <c r="AE1338" s="149"/>
      <c r="AF1338" s="149"/>
      <c r="AG1338" s="149"/>
      <c r="AH1338" s="149"/>
      <c r="AI1338" s="149"/>
      <c r="AJ1338" s="149"/>
      <c r="AK1338" s="149"/>
      <c r="AL1338" s="149"/>
      <c r="AM1338" s="149"/>
      <c r="AN1338" s="149"/>
      <c r="AO1338" s="149"/>
      <c r="AP1338" s="149"/>
    </row>
    <row r="1339" ht="18.75" customHeight="1">
      <c r="A1339" s="149"/>
      <c r="B1339" s="149"/>
      <c r="C1339" s="304"/>
      <c r="D1339" s="149"/>
      <c r="E1339" s="149"/>
      <c r="F1339" s="149"/>
      <c r="G1339" s="149"/>
      <c r="H1339" s="149"/>
      <c r="I1339" s="149"/>
      <c r="J1339" s="149"/>
      <c r="K1339" s="149"/>
      <c r="L1339" s="149"/>
      <c r="M1339" s="149"/>
      <c r="N1339" s="149"/>
      <c r="O1339" s="149"/>
      <c r="P1339" s="149"/>
      <c r="Q1339" s="149"/>
      <c r="R1339" s="149"/>
      <c r="S1339" s="149"/>
      <c r="T1339" s="149"/>
      <c r="U1339" s="149"/>
      <c r="V1339" s="149"/>
      <c r="W1339" s="149"/>
      <c r="X1339" s="149"/>
      <c r="Y1339" s="149"/>
      <c r="Z1339" s="149"/>
      <c r="AA1339" s="149"/>
      <c r="AB1339" s="149"/>
      <c r="AC1339" s="149"/>
      <c r="AD1339" s="149"/>
      <c r="AE1339" s="149"/>
      <c r="AF1339" s="149"/>
      <c r="AG1339" s="149"/>
      <c r="AH1339" s="149"/>
      <c r="AI1339" s="149"/>
      <c r="AJ1339" s="149"/>
      <c r="AK1339" s="149"/>
      <c r="AL1339" s="149"/>
      <c r="AM1339" s="149"/>
      <c r="AN1339" s="149"/>
      <c r="AO1339" s="149"/>
      <c r="AP1339" s="149"/>
    </row>
    <row r="1340" ht="18.75" customHeight="1">
      <c r="A1340" s="149"/>
      <c r="B1340" s="149"/>
      <c r="C1340" s="304"/>
      <c r="D1340" s="149"/>
      <c r="E1340" s="149"/>
      <c r="F1340" s="149"/>
      <c r="G1340" s="149"/>
      <c r="H1340" s="149"/>
      <c r="I1340" s="149"/>
      <c r="J1340" s="149"/>
      <c r="K1340" s="149"/>
      <c r="L1340" s="149"/>
      <c r="M1340" s="149"/>
      <c r="N1340" s="149"/>
      <c r="O1340" s="149"/>
      <c r="P1340" s="149"/>
      <c r="Q1340" s="149"/>
      <c r="R1340" s="149"/>
      <c r="S1340" s="149"/>
      <c r="T1340" s="149"/>
      <c r="U1340" s="149"/>
      <c r="V1340" s="149"/>
      <c r="W1340" s="149"/>
      <c r="X1340" s="149"/>
      <c r="Y1340" s="149"/>
      <c r="Z1340" s="149"/>
      <c r="AA1340" s="149"/>
      <c r="AB1340" s="149"/>
      <c r="AC1340" s="149"/>
      <c r="AD1340" s="149"/>
      <c r="AE1340" s="149"/>
      <c r="AF1340" s="149"/>
      <c r="AG1340" s="149"/>
      <c r="AH1340" s="149"/>
      <c r="AI1340" s="149"/>
      <c r="AJ1340" s="149"/>
      <c r="AK1340" s="149"/>
      <c r="AL1340" s="149"/>
      <c r="AM1340" s="149"/>
      <c r="AN1340" s="149"/>
      <c r="AO1340" s="149"/>
      <c r="AP1340" s="149"/>
    </row>
    <row r="1341" ht="18.75" customHeight="1">
      <c r="A1341" s="149"/>
      <c r="B1341" s="149"/>
      <c r="C1341" s="304"/>
      <c r="D1341" s="149"/>
      <c r="E1341" s="149"/>
      <c r="F1341" s="149"/>
      <c r="G1341" s="149"/>
      <c r="H1341" s="149"/>
      <c r="I1341" s="149"/>
      <c r="J1341" s="149"/>
      <c r="K1341" s="149"/>
      <c r="L1341" s="149"/>
      <c r="M1341" s="149"/>
      <c r="N1341" s="149"/>
      <c r="O1341" s="149"/>
      <c r="P1341" s="149"/>
      <c r="Q1341" s="149"/>
      <c r="R1341" s="149"/>
      <c r="S1341" s="149"/>
      <c r="T1341" s="149"/>
      <c r="U1341" s="149"/>
      <c r="V1341" s="149"/>
      <c r="W1341" s="149"/>
      <c r="X1341" s="149"/>
      <c r="Y1341" s="149"/>
      <c r="Z1341" s="149"/>
      <c r="AA1341" s="149"/>
      <c r="AB1341" s="149"/>
      <c r="AC1341" s="149"/>
      <c r="AD1341" s="149"/>
      <c r="AE1341" s="149"/>
      <c r="AF1341" s="149"/>
      <c r="AG1341" s="149"/>
      <c r="AH1341" s="149"/>
      <c r="AI1341" s="149"/>
      <c r="AJ1341" s="149"/>
      <c r="AK1341" s="149"/>
      <c r="AL1341" s="149"/>
      <c r="AM1341" s="149"/>
      <c r="AN1341" s="149"/>
      <c r="AO1341" s="149"/>
      <c r="AP1341" s="149"/>
    </row>
    <row r="1342" ht="18.75" customHeight="1">
      <c r="A1342" s="149"/>
      <c r="B1342" s="149"/>
      <c r="C1342" s="304"/>
      <c r="D1342" s="149"/>
      <c r="E1342" s="149"/>
      <c r="F1342" s="149"/>
      <c r="G1342" s="149"/>
      <c r="H1342" s="149"/>
      <c r="I1342" s="149"/>
      <c r="J1342" s="149"/>
      <c r="K1342" s="149"/>
      <c r="L1342" s="149"/>
      <c r="M1342" s="149"/>
      <c r="N1342" s="149"/>
      <c r="O1342" s="149"/>
      <c r="P1342" s="149"/>
      <c r="Q1342" s="149"/>
      <c r="R1342" s="149"/>
      <c r="S1342" s="149"/>
      <c r="T1342" s="149"/>
      <c r="U1342" s="149"/>
      <c r="V1342" s="149"/>
      <c r="W1342" s="149"/>
      <c r="X1342" s="149"/>
      <c r="Y1342" s="149"/>
      <c r="Z1342" s="149"/>
      <c r="AA1342" s="149"/>
      <c r="AB1342" s="149"/>
      <c r="AC1342" s="149"/>
      <c r="AD1342" s="149"/>
      <c r="AE1342" s="149"/>
      <c r="AF1342" s="149"/>
      <c r="AG1342" s="149"/>
      <c r="AH1342" s="149"/>
      <c r="AI1342" s="149"/>
      <c r="AJ1342" s="149"/>
      <c r="AK1342" s="149"/>
      <c r="AL1342" s="149"/>
      <c r="AM1342" s="149"/>
      <c r="AN1342" s="149"/>
      <c r="AO1342" s="149"/>
      <c r="AP1342" s="149"/>
    </row>
    <row r="1343" ht="18.75" customHeight="1">
      <c r="A1343" s="149"/>
      <c r="B1343" s="149"/>
      <c r="C1343" s="304"/>
      <c r="D1343" s="149"/>
      <c r="E1343" s="149"/>
      <c r="F1343" s="149"/>
      <c r="G1343" s="149"/>
      <c r="H1343" s="149"/>
      <c r="I1343" s="149"/>
      <c r="J1343" s="149"/>
      <c r="K1343" s="149"/>
      <c r="L1343" s="149"/>
      <c r="M1343" s="149"/>
      <c r="N1343" s="149"/>
      <c r="O1343" s="149"/>
      <c r="P1343" s="149"/>
      <c r="Q1343" s="149"/>
      <c r="R1343" s="149"/>
      <c r="S1343" s="149"/>
      <c r="T1343" s="149"/>
      <c r="U1343" s="149"/>
      <c r="V1343" s="149"/>
      <c r="W1343" s="149"/>
      <c r="X1343" s="149"/>
      <c r="Y1343" s="149"/>
      <c r="Z1343" s="149"/>
      <c r="AA1343" s="149"/>
      <c r="AB1343" s="149"/>
      <c r="AC1343" s="149"/>
      <c r="AD1343" s="149"/>
      <c r="AE1343" s="149"/>
      <c r="AF1343" s="149"/>
      <c r="AG1343" s="149"/>
      <c r="AH1343" s="149"/>
      <c r="AI1343" s="149"/>
      <c r="AJ1343" s="149"/>
      <c r="AK1343" s="149"/>
      <c r="AL1343" s="149"/>
      <c r="AM1343" s="149"/>
      <c r="AN1343" s="149"/>
      <c r="AO1343" s="149"/>
      <c r="AP1343" s="149"/>
    </row>
    <row r="1344" ht="18.75" customHeight="1">
      <c r="A1344" s="149"/>
      <c r="B1344" s="149"/>
      <c r="C1344" s="304"/>
      <c r="D1344" s="149"/>
      <c r="E1344" s="149"/>
      <c r="F1344" s="149"/>
      <c r="G1344" s="149"/>
      <c r="H1344" s="149"/>
      <c r="I1344" s="149"/>
      <c r="J1344" s="149"/>
      <c r="K1344" s="149"/>
      <c r="L1344" s="149"/>
      <c r="M1344" s="149"/>
      <c r="N1344" s="149"/>
      <c r="O1344" s="149"/>
      <c r="P1344" s="149"/>
      <c r="Q1344" s="149"/>
      <c r="R1344" s="149"/>
      <c r="S1344" s="149"/>
      <c r="T1344" s="149"/>
      <c r="U1344" s="149"/>
      <c r="V1344" s="149"/>
      <c r="W1344" s="149"/>
      <c r="X1344" s="149"/>
      <c r="Y1344" s="149"/>
      <c r="Z1344" s="149"/>
      <c r="AA1344" s="149"/>
      <c r="AB1344" s="149"/>
      <c r="AC1344" s="149"/>
      <c r="AD1344" s="149"/>
      <c r="AE1344" s="149"/>
      <c r="AF1344" s="149"/>
      <c r="AG1344" s="149"/>
      <c r="AH1344" s="149"/>
      <c r="AI1344" s="149"/>
      <c r="AJ1344" s="149"/>
      <c r="AK1344" s="149"/>
      <c r="AL1344" s="149"/>
      <c r="AM1344" s="149"/>
      <c r="AN1344" s="149"/>
      <c r="AO1344" s="149"/>
      <c r="AP1344" s="149"/>
    </row>
    <row r="1345" ht="18.75" customHeight="1">
      <c r="A1345" s="149"/>
      <c r="B1345" s="149"/>
      <c r="C1345" s="304"/>
      <c r="D1345" s="149"/>
      <c r="E1345" s="149"/>
      <c r="F1345" s="149"/>
      <c r="G1345" s="149"/>
      <c r="H1345" s="149"/>
      <c r="I1345" s="149"/>
      <c r="J1345" s="149"/>
      <c r="K1345" s="149"/>
      <c r="L1345" s="149"/>
      <c r="M1345" s="149"/>
      <c r="N1345" s="149"/>
      <c r="O1345" s="149"/>
      <c r="P1345" s="149"/>
      <c r="Q1345" s="149"/>
      <c r="R1345" s="149"/>
      <c r="S1345" s="149"/>
      <c r="T1345" s="149"/>
      <c r="U1345" s="149"/>
      <c r="V1345" s="149"/>
      <c r="W1345" s="149"/>
      <c r="X1345" s="149"/>
      <c r="Y1345" s="149"/>
      <c r="Z1345" s="149"/>
      <c r="AA1345" s="149"/>
      <c r="AB1345" s="149"/>
      <c r="AC1345" s="149"/>
      <c r="AD1345" s="149"/>
      <c r="AE1345" s="149"/>
      <c r="AF1345" s="149"/>
      <c r="AG1345" s="149"/>
      <c r="AH1345" s="149"/>
      <c r="AI1345" s="149"/>
      <c r="AJ1345" s="149"/>
      <c r="AK1345" s="149"/>
      <c r="AL1345" s="149"/>
      <c r="AM1345" s="149"/>
      <c r="AN1345" s="149"/>
      <c r="AO1345" s="149"/>
      <c r="AP1345" s="149"/>
    </row>
    <row r="1346" ht="18.75" customHeight="1">
      <c r="A1346" s="149"/>
      <c r="B1346" s="149"/>
      <c r="C1346" s="304"/>
      <c r="D1346" s="149"/>
      <c r="E1346" s="149"/>
      <c r="F1346" s="149"/>
      <c r="G1346" s="149"/>
      <c r="H1346" s="149"/>
      <c r="I1346" s="149"/>
      <c r="J1346" s="149"/>
      <c r="K1346" s="149"/>
      <c r="L1346" s="149"/>
      <c r="M1346" s="149"/>
      <c r="N1346" s="149"/>
      <c r="O1346" s="149"/>
      <c r="P1346" s="149"/>
      <c r="Q1346" s="149"/>
      <c r="R1346" s="149"/>
      <c r="S1346" s="149"/>
      <c r="T1346" s="149"/>
      <c r="U1346" s="149"/>
      <c r="V1346" s="149"/>
      <c r="W1346" s="149"/>
      <c r="X1346" s="149"/>
      <c r="Y1346" s="149"/>
      <c r="Z1346" s="149"/>
      <c r="AA1346" s="149"/>
      <c r="AB1346" s="149"/>
      <c r="AC1346" s="149"/>
      <c r="AD1346" s="149"/>
      <c r="AE1346" s="149"/>
      <c r="AF1346" s="149"/>
      <c r="AG1346" s="149"/>
      <c r="AH1346" s="149"/>
      <c r="AI1346" s="149"/>
      <c r="AJ1346" s="149"/>
      <c r="AK1346" s="149"/>
      <c r="AL1346" s="149"/>
      <c r="AM1346" s="149"/>
      <c r="AN1346" s="149"/>
      <c r="AO1346" s="149"/>
      <c r="AP1346" s="149"/>
    </row>
    <row r="1347" ht="18.75" customHeight="1">
      <c r="A1347" s="149"/>
      <c r="B1347" s="149"/>
      <c r="C1347" s="304"/>
      <c r="D1347" s="149"/>
      <c r="E1347" s="149"/>
      <c r="F1347" s="149"/>
      <c r="G1347" s="149"/>
      <c r="H1347" s="149"/>
      <c r="I1347" s="149"/>
      <c r="J1347" s="149"/>
      <c r="K1347" s="149"/>
      <c r="L1347" s="149"/>
      <c r="M1347" s="149"/>
      <c r="N1347" s="149"/>
      <c r="O1347" s="149"/>
      <c r="P1347" s="149"/>
      <c r="Q1347" s="149"/>
      <c r="R1347" s="149"/>
      <c r="S1347" s="149"/>
      <c r="T1347" s="149"/>
      <c r="U1347" s="149"/>
      <c r="V1347" s="149"/>
      <c r="W1347" s="149"/>
      <c r="X1347" s="149"/>
      <c r="Y1347" s="149"/>
      <c r="Z1347" s="149"/>
      <c r="AA1347" s="149"/>
      <c r="AB1347" s="149"/>
      <c r="AC1347" s="149"/>
      <c r="AD1347" s="149"/>
      <c r="AE1347" s="149"/>
      <c r="AF1347" s="149"/>
      <c r="AG1347" s="149"/>
      <c r="AH1347" s="149"/>
      <c r="AI1347" s="149"/>
      <c r="AJ1347" s="149"/>
      <c r="AK1347" s="149"/>
      <c r="AL1347" s="149"/>
      <c r="AM1347" s="149"/>
      <c r="AN1347" s="149"/>
      <c r="AO1347" s="149"/>
      <c r="AP1347" s="149"/>
    </row>
    <row r="1348" ht="18.75" customHeight="1">
      <c r="A1348" s="149"/>
      <c r="B1348" s="149"/>
      <c r="C1348" s="304"/>
      <c r="D1348" s="149"/>
      <c r="E1348" s="149"/>
      <c r="F1348" s="149"/>
      <c r="G1348" s="149"/>
      <c r="H1348" s="149"/>
      <c r="I1348" s="149"/>
      <c r="J1348" s="149"/>
      <c r="K1348" s="149"/>
      <c r="L1348" s="149"/>
      <c r="M1348" s="149"/>
      <c r="N1348" s="149"/>
      <c r="O1348" s="149"/>
      <c r="P1348" s="149"/>
      <c r="Q1348" s="149"/>
      <c r="R1348" s="149"/>
      <c r="S1348" s="149"/>
      <c r="T1348" s="149"/>
      <c r="U1348" s="149"/>
      <c r="V1348" s="149"/>
      <c r="W1348" s="149"/>
      <c r="X1348" s="149"/>
      <c r="Y1348" s="149"/>
      <c r="Z1348" s="149"/>
      <c r="AA1348" s="149"/>
      <c r="AB1348" s="149"/>
      <c r="AC1348" s="149"/>
      <c r="AD1348" s="149"/>
      <c r="AE1348" s="149"/>
      <c r="AF1348" s="149"/>
      <c r="AG1348" s="149"/>
      <c r="AH1348" s="149"/>
      <c r="AI1348" s="149"/>
      <c r="AJ1348" s="149"/>
      <c r="AK1348" s="149"/>
      <c r="AL1348" s="149"/>
      <c r="AM1348" s="149"/>
      <c r="AN1348" s="149"/>
      <c r="AO1348" s="149"/>
      <c r="AP1348" s="149"/>
    </row>
    <row r="1349" ht="18.75" customHeight="1">
      <c r="A1349" s="149"/>
      <c r="B1349" s="149"/>
      <c r="C1349" s="304"/>
      <c r="D1349" s="149"/>
      <c r="E1349" s="149"/>
      <c r="F1349" s="149"/>
      <c r="G1349" s="149"/>
      <c r="H1349" s="149"/>
      <c r="I1349" s="149"/>
      <c r="J1349" s="149"/>
      <c r="K1349" s="149"/>
      <c r="L1349" s="149"/>
      <c r="M1349" s="149"/>
      <c r="N1349" s="149"/>
      <c r="O1349" s="149"/>
      <c r="P1349" s="149"/>
      <c r="Q1349" s="149"/>
      <c r="R1349" s="149"/>
      <c r="S1349" s="149"/>
      <c r="T1349" s="149"/>
      <c r="U1349" s="149"/>
      <c r="V1349" s="149"/>
      <c r="W1349" s="149"/>
      <c r="X1349" s="149"/>
      <c r="Y1349" s="149"/>
      <c r="Z1349" s="149"/>
      <c r="AA1349" s="149"/>
      <c r="AB1349" s="149"/>
      <c r="AC1349" s="149"/>
      <c r="AD1349" s="149"/>
      <c r="AE1349" s="149"/>
      <c r="AF1349" s="149"/>
      <c r="AG1349" s="149"/>
      <c r="AH1349" s="149"/>
      <c r="AI1349" s="149"/>
      <c r="AJ1349" s="149"/>
      <c r="AK1349" s="149"/>
      <c r="AL1349" s="149"/>
      <c r="AM1349" s="149"/>
      <c r="AN1349" s="149"/>
      <c r="AO1349" s="149"/>
      <c r="AP1349" s="149"/>
    </row>
    <row r="1350" ht="18.75" customHeight="1">
      <c r="A1350" s="149"/>
      <c r="B1350" s="149"/>
      <c r="C1350" s="304"/>
      <c r="D1350" s="149"/>
      <c r="E1350" s="149"/>
      <c r="F1350" s="149"/>
      <c r="G1350" s="149"/>
      <c r="H1350" s="149"/>
      <c r="I1350" s="149"/>
      <c r="J1350" s="149"/>
      <c r="K1350" s="149"/>
      <c r="L1350" s="149"/>
      <c r="M1350" s="149"/>
      <c r="N1350" s="149"/>
      <c r="O1350" s="149"/>
      <c r="P1350" s="149"/>
      <c r="Q1350" s="149"/>
      <c r="R1350" s="149"/>
      <c r="S1350" s="149"/>
      <c r="T1350" s="149"/>
      <c r="U1350" s="149"/>
      <c r="V1350" s="149"/>
      <c r="W1350" s="149"/>
      <c r="X1350" s="149"/>
      <c r="Y1350" s="149"/>
      <c r="Z1350" s="149"/>
      <c r="AA1350" s="149"/>
      <c r="AB1350" s="149"/>
      <c r="AC1350" s="149"/>
      <c r="AD1350" s="149"/>
      <c r="AE1350" s="149"/>
      <c r="AF1350" s="149"/>
      <c r="AG1350" s="149"/>
      <c r="AH1350" s="149"/>
      <c r="AI1350" s="149"/>
      <c r="AJ1350" s="149"/>
      <c r="AK1350" s="149"/>
      <c r="AL1350" s="149"/>
      <c r="AM1350" s="149"/>
      <c r="AN1350" s="149"/>
      <c r="AO1350" s="149"/>
      <c r="AP1350" s="149"/>
    </row>
    <row r="1351" ht="18.75" customHeight="1">
      <c r="A1351" s="149"/>
      <c r="B1351" s="149"/>
      <c r="C1351" s="304"/>
      <c r="D1351" s="149"/>
      <c r="E1351" s="149"/>
      <c r="F1351" s="149"/>
      <c r="G1351" s="149"/>
      <c r="H1351" s="149"/>
      <c r="I1351" s="149"/>
      <c r="J1351" s="149"/>
      <c r="K1351" s="149"/>
      <c r="L1351" s="149"/>
      <c r="M1351" s="149"/>
      <c r="N1351" s="149"/>
      <c r="O1351" s="149"/>
      <c r="P1351" s="149"/>
      <c r="Q1351" s="149"/>
      <c r="R1351" s="149"/>
      <c r="S1351" s="149"/>
      <c r="T1351" s="149"/>
      <c r="U1351" s="149"/>
      <c r="V1351" s="149"/>
      <c r="W1351" s="149"/>
      <c r="X1351" s="149"/>
      <c r="Y1351" s="149"/>
      <c r="Z1351" s="149"/>
      <c r="AA1351" s="149"/>
      <c r="AB1351" s="149"/>
      <c r="AC1351" s="149"/>
      <c r="AD1351" s="149"/>
      <c r="AE1351" s="149"/>
      <c r="AF1351" s="149"/>
      <c r="AG1351" s="149"/>
      <c r="AH1351" s="149"/>
      <c r="AI1351" s="149"/>
      <c r="AJ1351" s="149"/>
      <c r="AK1351" s="149"/>
      <c r="AL1351" s="149"/>
      <c r="AM1351" s="149"/>
      <c r="AN1351" s="149"/>
      <c r="AO1351" s="149"/>
      <c r="AP1351" s="149"/>
    </row>
    <row r="1352" ht="18.75" customHeight="1">
      <c r="A1352" s="149"/>
      <c r="B1352" s="149"/>
      <c r="C1352" s="304"/>
      <c r="D1352" s="149"/>
      <c r="E1352" s="149"/>
      <c r="F1352" s="149"/>
      <c r="G1352" s="149"/>
      <c r="H1352" s="149"/>
      <c r="I1352" s="149"/>
      <c r="J1352" s="149"/>
      <c r="K1352" s="149"/>
      <c r="L1352" s="149"/>
      <c r="M1352" s="149"/>
      <c r="N1352" s="149"/>
      <c r="O1352" s="149"/>
      <c r="P1352" s="149"/>
      <c r="Q1352" s="149"/>
      <c r="R1352" s="149"/>
      <c r="S1352" s="149"/>
      <c r="T1352" s="149"/>
      <c r="U1352" s="149"/>
      <c r="V1352" s="149"/>
      <c r="W1352" s="149"/>
      <c r="X1352" s="149"/>
      <c r="Y1352" s="149"/>
      <c r="Z1352" s="149"/>
      <c r="AA1352" s="149"/>
      <c r="AB1352" s="149"/>
      <c r="AC1352" s="149"/>
      <c r="AD1352" s="149"/>
      <c r="AE1352" s="149"/>
      <c r="AF1352" s="149"/>
      <c r="AG1352" s="149"/>
      <c r="AH1352" s="149"/>
      <c r="AI1352" s="149"/>
      <c r="AJ1352" s="149"/>
      <c r="AK1352" s="149"/>
      <c r="AL1352" s="149"/>
      <c r="AM1352" s="149"/>
      <c r="AN1352" s="149"/>
      <c r="AO1352" s="149"/>
      <c r="AP1352" s="149"/>
    </row>
    <row r="1353" ht="18.75" customHeight="1">
      <c r="A1353" s="149"/>
      <c r="B1353" s="149"/>
      <c r="C1353" s="304"/>
      <c r="D1353" s="149"/>
      <c r="E1353" s="149"/>
      <c r="F1353" s="149"/>
      <c r="G1353" s="149"/>
      <c r="H1353" s="149"/>
      <c r="I1353" s="149"/>
      <c r="J1353" s="149"/>
      <c r="K1353" s="149"/>
      <c r="L1353" s="149"/>
      <c r="M1353" s="149"/>
      <c r="N1353" s="149"/>
      <c r="O1353" s="149"/>
      <c r="P1353" s="149"/>
      <c r="Q1353" s="149"/>
      <c r="R1353" s="149"/>
      <c r="S1353" s="149"/>
      <c r="T1353" s="149"/>
      <c r="U1353" s="149"/>
      <c r="V1353" s="149"/>
      <c r="W1353" s="149"/>
      <c r="X1353" s="149"/>
      <c r="Y1353" s="149"/>
      <c r="Z1353" s="149"/>
      <c r="AA1353" s="149"/>
      <c r="AB1353" s="149"/>
      <c r="AC1353" s="149"/>
      <c r="AD1353" s="149"/>
      <c r="AE1353" s="149"/>
      <c r="AF1353" s="149"/>
      <c r="AG1353" s="149"/>
      <c r="AH1353" s="149"/>
      <c r="AI1353" s="149"/>
      <c r="AJ1353" s="149"/>
      <c r="AK1353" s="149"/>
      <c r="AL1353" s="149"/>
      <c r="AM1353" s="149"/>
      <c r="AN1353" s="149"/>
      <c r="AO1353" s="149"/>
      <c r="AP1353" s="149"/>
    </row>
    <row r="1354" ht="18.75" customHeight="1">
      <c r="A1354" s="149"/>
      <c r="B1354" s="149"/>
      <c r="C1354" s="304"/>
      <c r="D1354" s="149"/>
      <c r="E1354" s="149"/>
      <c r="F1354" s="149"/>
      <c r="G1354" s="149"/>
      <c r="H1354" s="149"/>
      <c r="I1354" s="149"/>
      <c r="J1354" s="149"/>
      <c r="K1354" s="149"/>
      <c r="L1354" s="149"/>
      <c r="M1354" s="149"/>
      <c r="N1354" s="149"/>
      <c r="O1354" s="149"/>
      <c r="P1354" s="149"/>
      <c r="Q1354" s="149"/>
      <c r="R1354" s="149"/>
      <c r="S1354" s="149"/>
      <c r="T1354" s="149"/>
      <c r="U1354" s="149"/>
      <c r="V1354" s="149"/>
      <c r="W1354" s="149"/>
      <c r="X1354" s="149"/>
      <c r="Y1354" s="149"/>
      <c r="Z1354" s="149"/>
      <c r="AA1354" s="149"/>
      <c r="AB1354" s="149"/>
      <c r="AC1354" s="149"/>
      <c r="AD1354" s="149"/>
      <c r="AE1354" s="149"/>
      <c r="AF1354" s="149"/>
      <c r="AG1354" s="149"/>
      <c r="AH1354" s="149"/>
      <c r="AI1354" s="149"/>
      <c r="AJ1354" s="149"/>
      <c r="AK1354" s="149"/>
      <c r="AL1354" s="149"/>
      <c r="AM1354" s="149"/>
      <c r="AN1354" s="149"/>
      <c r="AO1354" s="149"/>
      <c r="AP1354" s="149"/>
    </row>
    <row r="1355" ht="18.75" customHeight="1">
      <c r="A1355" s="149"/>
      <c r="B1355" s="149"/>
      <c r="C1355" s="304"/>
      <c r="D1355" s="149"/>
      <c r="E1355" s="149"/>
      <c r="F1355" s="149"/>
      <c r="G1355" s="149"/>
      <c r="H1355" s="149"/>
      <c r="I1355" s="149"/>
      <c r="J1355" s="149"/>
      <c r="K1355" s="149"/>
      <c r="L1355" s="149"/>
      <c r="M1355" s="149"/>
      <c r="N1355" s="149"/>
      <c r="O1355" s="149"/>
      <c r="P1355" s="149"/>
      <c r="Q1355" s="149"/>
      <c r="R1355" s="149"/>
      <c r="S1355" s="149"/>
      <c r="T1355" s="149"/>
      <c r="U1355" s="149"/>
      <c r="V1355" s="149"/>
      <c r="W1355" s="149"/>
      <c r="X1355" s="149"/>
      <c r="Y1355" s="149"/>
      <c r="Z1355" s="149"/>
      <c r="AA1355" s="149"/>
      <c r="AB1355" s="149"/>
      <c r="AC1355" s="149"/>
      <c r="AD1355" s="149"/>
      <c r="AE1355" s="149"/>
      <c r="AF1355" s="149"/>
      <c r="AG1355" s="149"/>
      <c r="AH1355" s="149"/>
      <c r="AI1355" s="149"/>
      <c r="AJ1355" s="149"/>
      <c r="AK1355" s="149"/>
      <c r="AL1355" s="149"/>
      <c r="AM1355" s="149"/>
      <c r="AN1355" s="149"/>
      <c r="AO1355" s="149"/>
      <c r="AP1355" s="149"/>
    </row>
    <row r="1356" ht="18.75" customHeight="1">
      <c r="A1356" s="149"/>
      <c r="B1356" s="149"/>
      <c r="C1356" s="304"/>
      <c r="D1356" s="149"/>
      <c r="E1356" s="149"/>
      <c r="F1356" s="149"/>
      <c r="G1356" s="149"/>
      <c r="H1356" s="149"/>
      <c r="I1356" s="149"/>
      <c r="J1356" s="149"/>
      <c r="K1356" s="149"/>
      <c r="L1356" s="149"/>
      <c r="M1356" s="149"/>
      <c r="N1356" s="149"/>
      <c r="O1356" s="149"/>
      <c r="P1356" s="149"/>
      <c r="Q1356" s="149"/>
      <c r="R1356" s="149"/>
      <c r="S1356" s="149"/>
      <c r="T1356" s="149"/>
      <c r="U1356" s="149"/>
      <c r="V1356" s="149"/>
      <c r="W1356" s="149"/>
      <c r="X1356" s="149"/>
      <c r="Y1356" s="149"/>
      <c r="Z1356" s="149"/>
      <c r="AA1356" s="149"/>
      <c r="AB1356" s="149"/>
      <c r="AC1356" s="149"/>
      <c r="AD1356" s="149"/>
      <c r="AE1356" s="149"/>
      <c r="AF1356" s="149"/>
      <c r="AG1356" s="149"/>
      <c r="AH1356" s="149"/>
      <c r="AI1356" s="149"/>
      <c r="AJ1356" s="149"/>
      <c r="AK1356" s="149"/>
      <c r="AL1356" s="149"/>
      <c r="AM1356" s="149"/>
      <c r="AN1356" s="149"/>
      <c r="AO1356" s="149"/>
      <c r="AP1356" s="149"/>
    </row>
    <row r="1357" ht="18.75" customHeight="1">
      <c r="A1357" s="149"/>
      <c r="B1357" s="149"/>
      <c r="C1357" s="304"/>
      <c r="D1357" s="149"/>
      <c r="E1357" s="149"/>
      <c r="F1357" s="149"/>
      <c r="G1357" s="149"/>
      <c r="H1357" s="149"/>
      <c r="I1357" s="149"/>
      <c r="J1357" s="149"/>
      <c r="K1357" s="149"/>
      <c r="L1357" s="149"/>
      <c r="M1357" s="149"/>
      <c r="N1357" s="149"/>
      <c r="O1357" s="149"/>
      <c r="P1357" s="149"/>
      <c r="Q1357" s="149"/>
      <c r="R1357" s="149"/>
      <c r="S1357" s="149"/>
      <c r="T1357" s="149"/>
      <c r="U1357" s="149"/>
      <c r="V1357" s="149"/>
      <c r="W1357" s="149"/>
      <c r="X1357" s="149"/>
      <c r="Y1357" s="149"/>
      <c r="Z1357" s="149"/>
      <c r="AA1357" s="149"/>
      <c r="AB1357" s="149"/>
      <c r="AC1357" s="149"/>
      <c r="AD1357" s="149"/>
      <c r="AE1357" s="149"/>
      <c r="AF1357" s="149"/>
      <c r="AG1357" s="149"/>
      <c r="AH1357" s="149"/>
      <c r="AI1357" s="149"/>
      <c r="AJ1357" s="149"/>
      <c r="AK1357" s="149"/>
      <c r="AL1357" s="149"/>
      <c r="AM1357" s="149"/>
      <c r="AN1357" s="149"/>
      <c r="AO1357" s="149"/>
      <c r="AP1357" s="149"/>
    </row>
    <row r="1358" ht="18.75" customHeight="1">
      <c r="A1358" s="149"/>
      <c r="B1358" s="149"/>
      <c r="C1358" s="304"/>
      <c r="D1358" s="149"/>
      <c r="E1358" s="149"/>
      <c r="F1358" s="149"/>
      <c r="G1358" s="149"/>
      <c r="H1358" s="149"/>
      <c r="I1358" s="149"/>
      <c r="J1358" s="149"/>
      <c r="K1358" s="149"/>
      <c r="L1358" s="149"/>
      <c r="M1358" s="149"/>
      <c r="N1358" s="149"/>
      <c r="O1358" s="149"/>
      <c r="P1358" s="149"/>
      <c r="Q1358" s="149"/>
      <c r="R1358" s="149"/>
      <c r="S1358" s="149"/>
      <c r="T1358" s="149"/>
      <c r="U1358" s="149"/>
      <c r="V1358" s="149"/>
      <c r="W1358" s="149"/>
      <c r="X1358" s="149"/>
      <c r="Y1358" s="149"/>
      <c r="Z1358" s="149"/>
      <c r="AA1358" s="149"/>
      <c r="AB1358" s="149"/>
      <c r="AC1358" s="149"/>
      <c r="AD1358" s="149"/>
      <c r="AE1358" s="149"/>
      <c r="AF1358" s="149"/>
      <c r="AG1358" s="149"/>
      <c r="AH1358" s="149"/>
      <c r="AI1358" s="149"/>
      <c r="AJ1358" s="149"/>
      <c r="AK1358" s="149"/>
      <c r="AL1358" s="149"/>
      <c r="AM1358" s="149"/>
      <c r="AN1358" s="149"/>
      <c r="AO1358" s="149"/>
      <c r="AP1358" s="149"/>
    </row>
    <row r="1359" ht="18.75" customHeight="1">
      <c r="A1359" s="149"/>
      <c r="B1359" s="149"/>
      <c r="C1359" s="304"/>
      <c r="D1359" s="149"/>
      <c r="E1359" s="149"/>
      <c r="F1359" s="149"/>
      <c r="G1359" s="149"/>
      <c r="H1359" s="149"/>
      <c r="I1359" s="149"/>
      <c r="J1359" s="149"/>
      <c r="K1359" s="149"/>
      <c r="L1359" s="149"/>
      <c r="M1359" s="149"/>
      <c r="N1359" s="149"/>
      <c r="O1359" s="149"/>
      <c r="P1359" s="149"/>
      <c r="Q1359" s="149"/>
      <c r="R1359" s="149"/>
      <c r="S1359" s="149"/>
      <c r="T1359" s="149"/>
      <c r="U1359" s="149"/>
      <c r="V1359" s="149"/>
      <c r="W1359" s="149"/>
      <c r="X1359" s="149"/>
      <c r="Y1359" s="149"/>
      <c r="Z1359" s="149"/>
      <c r="AA1359" s="149"/>
      <c r="AB1359" s="149"/>
      <c r="AC1359" s="149"/>
      <c r="AD1359" s="149"/>
      <c r="AE1359" s="149"/>
      <c r="AF1359" s="149"/>
      <c r="AG1359" s="149"/>
      <c r="AH1359" s="149"/>
      <c r="AI1359" s="149"/>
      <c r="AJ1359" s="149"/>
      <c r="AK1359" s="149"/>
      <c r="AL1359" s="149"/>
      <c r="AM1359" s="149"/>
      <c r="AN1359" s="149"/>
      <c r="AO1359" s="149"/>
      <c r="AP1359" s="149"/>
    </row>
    <row r="1360" ht="18.75" customHeight="1">
      <c r="A1360" s="149"/>
      <c r="B1360" s="149"/>
      <c r="C1360" s="304"/>
      <c r="D1360" s="149"/>
      <c r="E1360" s="149"/>
      <c r="F1360" s="149"/>
      <c r="G1360" s="149"/>
      <c r="H1360" s="149"/>
      <c r="I1360" s="149"/>
      <c r="J1360" s="149"/>
      <c r="K1360" s="149"/>
      <c r="L1360" s="149"/>
      <c r="M1360" s="149"/>
      <c r="N1360" s="149"/>
      <c r="O1360" s="149"/>
      <c r="P1360" s="149"/>
      <c r="Q1360" s="149"/>
      <c r="R1360" s="149"/>
      <c r="S1360" s="149"/>
      <c r="T1360" s="149"/>
      <c r="U1360" s="149"/>
      <c r="V1360" s="149"/>
      <c r="W1360" s="149"/>
      <c r="X1360" s="149"/>
      <c r="Y1360" s="149"/>
      <c r="Z1360" s="149"/>
      <c r="AA1360" s="149"/>
      <c r="AB1360" s="149"/>
      <c r="AC1360" s="149"/>
      <c r="AD1360" s="149"/>
      <c r="AE1360" s="149"/>
      <c r="AF1360" s="149"/>
      <c r="AG1360" s="149"/>
      <c r="AH1360" s="149"/>
      <c r="AI1360" s="149"/>
      <c r="AJ1360" s="149"/>
      <c r="AK1360" s="149"/>
      <c r="AL1360" s="149"/>
      <c r="AM1360" s="149"/>
      <c r="AN1360" s="149"/>
      <c r="AO1360" s="149"/>
      <c r="AP1360" s="149"/>
    </row>
    <row r="1361" ht="18.75" customHeight="1">
      <c r="A1361" s="149"/>
      <c r="B1361" s="149"/>
      <c r="C1361" s="304"/>
      <c r="D1361" s="149"/>
      <c r="E1361" s="149"/>
      <c r="F1361" s="149"/>
      <c r="G1361" s="149"/>
      <c r="H1361" s="149"/>
      <c r="I1361" s="149"/>
      <c r="J1361" s="149"/>
      <c r="K1361" s="149"/>
      <c r="L1361" s="149"/>
      <c r="M1361" s="149"/>
      <c r="N1361" s="149"/>
      <c r="O1361" s="149"/>
      <c r="P1361" s="149"/>
      <c r="Q1361" s="149"/>
      <c r="R1361" s="149"/>
      <c r="S1361" s="149"/>
      <c r="T1361" s="149"/>
      <c r="U1361" s="149"/>
      <c r="V1361" s="149"/>
      <c r="W1361" s="149"/>
      <c r="X1361" s="149"/>
      <c r="Y1361" s="149"/>
      <c r="Z1361" s="149"/>
      <c r="AA1361" s="149"/>
      <c r="AB1361" s="149"/>
      <c r="AC1361" s="149"/>
      <c r="AD1361" s="149"/>
      <c r="AE1361" s="149"/>
      <c r="AF1361" s="149"/>
      <c r="AG1361" s="149"/>
      <c r="AH1361" s="149"/>
      <c r="AI1361" s="149"/>
      <c r="AJ1361" s="149"/>
      <c r="AK1361" s="149"/>
      <c r="AL1361" s="149"/>
      <c r="AM1361" s="149"/>
      <c r="AN1361" s="149"/>
      <c r="AO1361" s="149"/>
      <c r="AP1361" s="149"/>
    </row>
    <row r="1362" ht="18.75" customHeight="1">
      <c r="A1362" s="149"/>
      <c r="B1362" s="149"/>
      <c r="C1362" s="304"/>
      <c r="D1362" s="149"/>
      <c r="E1362" s="149"/>
      <c r="F1362" s="149"/>
      <c r="G1362" s="149"/>
      <c r="H1362" s="149"/>
      <c r="I1362" s="149"/>
      <c r="J1362" s="149"/>
      <c r="K1362" s="149"/>
      <c r="L1362" s="149"/>
      <c r="M1362" s="149"/>
      <c r="N1362" s="149"/>
      <c r="O1362" s="149"/>
      <c r="P1362" s="149"/>
      <c r="Q1362" s="149"/>
      <c r="R1362" s="149"/>
      <c r="S1362" s="149"/>
      <c r="T1362" s="149"/>
      <c r="U1362" s="149"/>
      <c r="V1362" s="149"/>
      <c r="W1362" s="149"/>
      <c r="X1362" s="149"/>
      <c r="Y1362" s="149"/>
      <c r="Z1362" s="149"/>
      <c r="AA1362" s="149"/>
      <c r="AB1362" s="149"/>
      <c r="AC1362" s="149"/>
      <c r="AD1362" s="149"/>
      <c r="AE1362" s="149"/>
      <c r="AF1362" s="149"/>
      <c r="AG1362" s="149"/>
      <c r="AH1362" s="149"/>
      <c r="AI1362" s="149"/>
      <c r="AJ1362" s="149"/>
      <c r="AK1362" s="149"/>
      <c r="AL1362" s="149"/>
      <c r="AM1362" s="149"/>
      <c r="AN1362" s="149"/>
      <c r="AO1362" s="149"/>
      <c r="AP1362" s="149"/>
    </row>
    <row r="1363" ht="18.75" customHeight="1">
      <c r="A1363" s="149"/>
      <c r="B1363" s="149"/>
      <c r="C1363" s="304"/>
      <c r="D1363" s="149"/>
      <c r="E1363" s="149"/>
      <c r="F1363" s="149"/>
      <c r="G1363" s="149"/>
      <c r="H1363" s="149"/>
      <c r="I1363" s="149"/>
      <c r="J1363" s="149"/>
      <c r="K1363" s="149"/>
      <c r="L1363" s="149"/>
      <c r="M1363" s="149"/>
      <c r="N1363" s="149"/>
      <c r="O1363" s="149"/>
      <c r="P1363" s="149"/>
      <c r="Q1363" s="149"/>
      <c r="R1363" s="149"/>
      <c r="S1363" s="149"/>
      <c r="T1363" s="149"/>
      <c r="U1363" s="149"/>
      <c r="V1363" s="149"/>
      <c r="W1363" s="149"/>
      <c r="X1363" s="149"/>
      <c r="Y1363" s="149"/>
      <c r="Z1363" s="149"/>
      <c r="AA1363" s="149"/>
      <c r="AB1363" s="149"/>
      <c r="AC1363" s="149"/>
      <c r="AD1363" s="149"/>
      <c r="AE1363" s="149"/>
      <c r="AF1363" s="149"/>
      <c r="AG1363" s="149"/>
      <c r="AH1363" s="149"/>
      <c r="AI1363" s="149"/>
      <c r="AJ1363" s="149"/>
      <c r="AK1363" s="149"/>
      <c r="AL1363" s="149"/>
      <c r="AM1363" s="149"/>
      <c r="AN1363" s="149"/>
      <c r="AO1363" s="149"/>
      <c r="AP1363" s="149"/>
    </row>
    <row r="1364" ht="18.75" customHeight="1">
      <c r="A1364" s="149"/>
      <c r="B1364" s="149"/>
      <c r="C1364" s="304"/>
      <c r="D1364" s="149"/>
      <c r="E1364" s="149"/>
      <c r="F1364" s="149"/>
      <c r="G1364" s="149"/>
      <c r="H1364" s="149"/>
      <c r="I1364" s="149"/>
      <c r="J1364" s="149"/>
      <c r="K1364" s="149"/>
      <c r="L1364" s="149"/>
      <c r="M1364" s="149"/>
      <c r="N1364" s="149"/>
      <c r="O1364" s="149"/>
      <c r="P1364" s="149"/>
      <c r="Q1364" s="149"/>
      <c r="R1364" s="149"/>
      <c r="S1364" s="149"/>
      <c r="T1364" s="149"/>
      <c r="U1364" s="149"/>
      <c r="V1364" s="149"/>
      <c r="W1364" s="149"/>
      <c r="X1364" s="149"/>
      <c r="Y1364" s="149"/>
      <c r="Z1364" s="149"/>
      <c r="AA1364" s="149"/>
      <c r="AB1364" s="149"/>
      <c r="AC1364" s="149"/>
      <c r="AD1364" s="149"/>
      <c r="AE1364" s="149"/>
      <c r="AF1364" s="149"/>
      <c r="AG1364" s="149"/>
      <c r="AH1364" s="149"/>
      <c r="AI1364" s="149"/>
      <c r="AJ1364" s="149"/>
      <c r="AK1364" s="149"/>
      <c r="AL1364" s="149"/>
      <c r="AM1364" s="149"/>
      <c r="AN1364" s="149"/>
      <c r="AO1364" s="149"/>
      <c r="AP1364" s="149"/>
    </row>
    <row r="1365" ht="18.75" customHeight="1">
      <c r="A1365" s="149"/>
      <c r="B1365" s="149"/>
      <c r="C1365" s="304"/>
      <c r="D1365" s="149"/>
      <c r="E1365" s="149"/>
      <c r="F1365" s="149"/>
      <c r="G1365" s="149"/>
      <c r="H1365" s="149"/>
      <c r="I1365" s="149"/>
      <c r="J1365" s="149"/>
      <c r="K1365" s="149"/>
      <c r="L1365" s="149"/>
      <c r="M1365" s="149"/>
      <c r="N1365" s="149"/>
      <c r="O1365" s="149"/>
      <c r="P1365" s="149"/>
      <c r="Q1365" s="149"/>
      <c r="R1365" s="149"/>
      <c r="S1365" s="149"/>
      <c r="T1365" s="149"/>
      <c r="U1365" s="149"/>
      <c r="V1365" s="149"/>
      <c r="W1365" s="149"/>
      <c r="X1365" s="149"/>
      <c r="Y1365" s="149"/>
      <c r="Z1365" s="149"/>
      <c r="AA1365" s="149"/>
      <c r="AB1365" s="149"/>
      <c r="AC1365" s="149"/>
      <c r="AD1365" s="149"/>
      <c r="AE1365" s="149"/>
      <c r="AF1365" s="149"/>
      <c r="AG1365" s="149"/>
      <c r="AH1365" s="149"/>
      <c r="AI1365" s="149"/>
      <c r="AJ1365" s="149"/>
      <c r="AK1365" s="149"/>
      <c r="AL1365" s="149"/>
      <c r="AM1365" s="149"/>
      <c r="AN1365" s="149"/>
      <c r="AO1365" s="149"/>
      <c r="AP1365" s="149"/>
    </row>
    <row r="1366" ht="18.75" customHeight="1">
      <c r="A1366" s="149"/>
      <c r="B1366" s="149"/>
      <c r="C1366" s="304"/>
      <c r="D1366" s="149"/>
      <c r="E1366" s="149"/>
      <c r="F1366" s="149"/>
      <c r="G1366" s="149"/>
      <c r="H1366" s="149"/>
      <c r="I1366" s="149"/>
      <c r="J1366" s="149"/>
      <c r="K1366" s="149"/>
      <c r="L1366" s="149"/>
      <c r="M1366" s="149"/>
      <c r="N1366" s="149"/>
      <c r="O1366" s="149"/>
      <c r="P1366" s="149"/>
      <c r="Q1366" s="149"/>
      <c r="R1366" s="149"/>
      <c r="S1366" s="149"/>
      <c r="T1366" s="149"/>
      <c r="U1366" s="149"/>
      <c r="V1366" s="149"/>
      <c r="W1366" s="149"/>
      <c r="X1366" s="149"/>
      <c r="Y1366" s="149"/>
      <c r="Z1366" s="149"/>
      <c r="AA1366" s="149"/>
      <c r="AB1366" s="149"/>
      <c r="AC1366" s="149"/>
      <c r="AD1366" s="149"/>
      <c r="AE1366" s="149"/>
      <c r="AF1366" s="149"/>
      <c r="AG1366" s="149"/>
      <c r="AH1366" s="149"/>
      <c r="AI1366" s="149"/>
      <c r="AJ1366" s="149"/>
      <c r="AK1366" s="149"/>
      <c r="AL1366" s="149"/>
      <c r="AM1366" s="149"/>
      <c r="AN1366" s="149"/>
      <c r="AO1366" s="149"/>
      <c r="AP1366" s="149"/>
    </row>
    <row r="1367" ht="18.75" customHeight="1">
      <c r="A1367" s="149"/>
      <c r="B1367" s="149"/>
      <c r="C1367" s="304"/>
      <c r="D1367" s="149"/>
      <c r="E1367" s="149"/>
      <c r="F1367" s="149"/>
      <c r="G1367" s="149"/>
      <c r="H1367" s="149"/>
      <c r="I1367" s="149"/>
      <c r="J1367" s="149"/>
      <c r="K1367" s="149"/>
      <c r="L1367" s="149"/>
      <c r="M1367" s="149"/>
      <c r="N1367" s="149"/>
      <c r="O1367" s="149"/>
      <c r="P1367" s="149"/>
      <c r="Q1367" s="149"/>
      <c r="R1367" s="149"/>
      <c r="S1367" s="149"/>
      <c r="T1367" s="149"/>
      <c r="U1367" s="149"/>
      <c r="V1367" s="149"/>
      <c r="W1367" s="149"/>
      <c r="X1367" s="149"/>
      <c r="Y1367" s="149"/>
      <c r="Z1367" s="149"/>
      <c r="AA1367" s="149"/>
      <c r="AB1367" s="149"/>
      <c r="AC1367" s="149"/>
      <c r="AD1367" s="149"/>
      <c r="AE1367" s="149"/>
      <c r="AF1367" s="149"/>
      <c r="AG1367" s="149"/>
      <c r="AH1367" s="149"/>
      <c r="AI1367" s="149"/>
      <c r="AJ1367" s="149"/>
      <c r="AK1367" s="149"/>
      <c r="AL1367" s="149"/>
      <c r="AM1367" s="149"/>
      <c r="AN1367" s="149"/>
      <c r="AO1367" s="149"/>
      <c r="AP1367" s="149"/>
    </row>
    <row r="1368" ht="18.75" customHeight="1">
      <c r="A1368" s="149"/>
      <c r="B1368" s="149"/>
      <c r="C1368" s="304"/>
      <c r="D1368" s="149"/>
      <c r="E1368" s="149"/>
      <c r="F1368" s="149"/>
      <c r="G1368" s="149"/>
      <c r="H1368" s="149"/>
      <c r="I1368" s="149"/>
      <c r="J1368" s="149"/>
      <c r="K1368" s="149"/>
      <c r="L1368" s="149"/>
      <c r="M1368" s="149"/>
      <c r="N1368" s="149"/>
      <c r="O1368" s="149"/>
      <c r="P1368" s="149"/>
      <c r="Q1368" s="149"/>
      <c r="R1368" s="149"/>
      <c r="S1368" s="149"/>
      <c r="T1368" s="149"/>
      <c r="U1368" s="149"/>
      <c r="V1368" s="149"/>
      <c r="W1368" s="149"/>
      <c r="X1368" s="149"/>
      <c r="Y1368" s="149"/>
      <c r="Z1368" s="149"/>
      <c r="AA1368" s="149"/>
      <c r="AB1368" s="149"/>
      <c r="AC1368" s="149"/>
      <c r="AD1368" s="149"/>
      <c r="AE1368" s="149"/>
      <c r="AF1368" s="149"/>
      <c r="AG1368" s="149"/>
      <c r="AH1368" s="149"/>
      <c r="AI1368" s="149"/>
      <c r="AJ1368" s="149"/>
      <c r="AK1368" s="149"/>
      <c r="AL1368" s="149"/>
      <c r="AM1368" s="149"/>
      <c r="AN1368" s="149"/>
      <c r="AO1368" s="149"/>
      <c r="AP1368" s="149"/>
    </row>
    <row r="1369" ht="18.75" customHeight="1">
      <c r="A1369" s="149"/>
      <c r="B1369" s="149"/>
      <c r="C1369" s="304"/>
      <c r="D1369" s="149"/>
      <c r="E1369" s="149"/>
      <c r="F1369" s="149"/>
      <c r="G1369" s="149"/>
      <c r="H1369" s="149"/>
      <c r="I1369" s="149"/>
      <c r="J1369" s="149"/>
      <c r="K1369" s="149"/>
      <c r="L1369" s="149"/>
      <c r="M1369" s="149"/>
      <c r="N1369" s="149"/>
      <c r="O1369" s="149"/>
      <c r="P1369" s="149"/>
      <c r="Q1369" s="149"/>
      <c r="R1369" s="149"/>
      <c r="S1369" s="149"/>
      <c r="T1369" s="149"/>
      <c r="U1369" s="149"/>
      <c r="V1369" s="149"/>
      <c r="W1369" s="149"/>
      <c r="X1369" s="149"/>
      <c r="Y1369" s="149"/>
      <c r="Z1369" s="149"/>
      <c r="AA1369" s="149"/>
      <c r="AB1369" s="149"/>
      <c r="AC1369" s="149"/>
      <c r="AD1369" s="149"/>
      <c r="AE1369" s="149"/>
      <c r="AF1369" s="149"/>
      <c r="AG1369" s="149"/>
      <c r="AH1369" s="149"/>
      <c r="AI1369" s="149"/>
      <c r="AJ1369" s="149"/>
      <c r="AK1369" s="149"/>
      <c r="AL1369" s="149"/>
      <c r="AM1369" s="149"/>
      <c r="AN1369" s="149"/>
      <c r="AO1369" s="149"/>
      <c r="AP1369" s="149"/>
    </row>
    <row r="1370" ht="18.75" customHeight="1">
      <c r="A1370" s="149"/>
      <c r="B1370" s="149"/>
      <c r="C1370" s="304"/>
      <c r="D1370" s="149"/>
      <c r="E1370" s="149"/>
      <c r="F1370" s="149"/>
      <c r="G1370" s="149"/>
      <c r="H1370" s="149"/>
      <c r="I1370" s="149"/>
      <c r="J1370" s="149"/>
      <c r="K1370" s="149"/>
      <c r="L1370" s="149"/>
      <c r="M1370" s="149"/>
      <c r="N1370" s="149"/>
      <c r="O1370" s="149"/>
      <c r="P1370" s="149"/>
      <c r="Q1370" s="149"/>
      <c r="R1370" s="149"/>
      <c r="S1370" s="149"/>
      <c r="T1370" s="149"/>
      <c r="U1370" s="149"/>
      <c r="V1370" s="149"/>
      <c r="W1370" s="149"/>
      <c r="X1370" s="149"/>
      <c r="Y1370" s="149"/>
      <c r="Z1370" s="149"/>
      <c r="AA1370" s="149"/>
      <c r="AB1370" s="149"/>
      <c r="AC1370" s="149"/>
      <c r="AD1370" s="149"/>
      <c r="AE1370" s="149"/>
      <c r="AF1370" s="149"/>
      <c r="AG1370" s="149"/>
      <c r="AH1370" s="149"/>
      <c r="AI1370" s="149"/>
      <c r="AJ1370" s="149"/>
      <c r="AK1370" s="149"/>
      <c r="AL1370" s="149"/>
      <c r="AM1370" s="149"/>
      <c r="AN1370" s="149"/>
      <c r="AO1370" s="149"/>
      <c r="AP1370" s="149"/>
    </row>
    <row r="1371" ht="18.75" customHeight="1">
      <c r="A1371" s="149"/>
      <c r="B1371" s="149"/>
      <c r="C1371" s="304"/>
      <c r="D1371" s="149"/>
      <c r="E1371" s="149"/>
      <c r="F1371" s="149"/>
      <c r="G1371" s="149"/>
      <c r="H1371" s="149"/>
      <c r="I1371" s="149"/>
      <c r="J1371" s="149"/>
      <c r="K1371" s="149"/>
      <c r="L1371" s="149"/>
      <c r="M1371" s="149"/>
      <c r="N1371" s="149"/>
      <c r="O1371" s="149"/>
      <c r="P1371" s="149"/>
      <c r="Q1371" s="149"/>
      <c r="R1371" s="149"/>
      <c r="S1371" s="149"/>
      <c r="T1371" s="149"/>
      <c r="U1371" s="149"/>
      <c r="V1371" s="149"/>
      <c r="W1371" s="149"/>
      <c r="X1371" s="149"/>
      <c r="Y1371" s="149"/>
      <c r="Z1371" s="149"/>
      <c r="AA1371" s="149"/>
      <c r="AB1371" s="149"/>
      <c r="AC1371" s="149"/>
      <c r="AD1371" s="149"/>
      <c r="AE1371" s="149"/>
      <c r="AF1371" s="149"/>
      <c r="AG1371" s="149"/>
      <c r="AH1371" s="149"/>
      <c r="AI1371" s="149"/>
      <c r="AJ1371" s="149"/>
      <c r="AK1371" s="149"/>
      <c r="AL1371" s="149"/>
      <c r="AM1371" s="149"/>
      <c r="AN1371" s="149"/>
      <c r="AO1371" s="149"/>
      <c r="AP1371" s="149"/>
    </row>
    <row r="1372" ht="18.75" customHeight="1">
      <c r="A1372" s="149"/>
      <c r="B1372" s="149"/>
      <c r="C1372" s="304"/>
      <c r="D1372" s="149"/>
      <c r="E1372" s="149"/>
      <c r="F1372" s="149"/>
      <c r="G1372" s="149"/>
      <c r="H1372" s="149"/>
      <c r="I1372" s="149"/>
      <c r="J1372" s="149"/>
      <c r="K1372" s="149"/>
      <c r="L1372" s="149"/>
      <c r="M1372" s="149"/>
      <c r="N1372" s="149"/>
      <c r="O1372" s="149"/>
      <c r="P1372" s="149"/>
      <c r="Q1372" s="149"/>
      <c r="R1372" s="149"/>
      <c r="S1372" s="149"/>
      <c r="T1372" s="149"/>
      <c r="U1372" s="149"/>
      <c r="V1372" s="149"/>
      <c r="W1372" s="149"/>
      <c r="X1372" s="149"/>
      <c r="Y1372" s="149"/>
      <c r="Z1372" s="149"/>
      <c r="AA1372" s="149"/>
      <c r="AB1372" s="149"/>
      <c r="AC1372" s="149"/>
      <c r="AD1372" s="149"/>
      <c r="AE1372" s="149"/>
      <c r="AF1372" s="149"/>
      <c r="AG1372" s="149"/>
      <c r="AH1372" s="149"/>
      <c r="AI1372" s="149"/>
      <c r="AJ1372" s="149"/>
      <c r="AK1372" s="149"/>
      <c r="AL1372" s="149"/>
      <c r="AM1372" s="149"/>
      <c r="AN1372" s="149"/>
      <c r="AO1372" s="149"/>
      <c r="AP1372" s="149"/>
    </row>
    <row r="1373" ht="18.75" customHeight="1">
      <c r="A1373" s="149"/>
      <c r="B1373" s="149"/>
      <c r="C1373" s="304"/>
      <c r="D1373" s="149"/>
      <c r="E1373" s="149"/>
      <c r="F1373" s="149"/>
      <c r="G1373" s="149"/>
      <c r="H1373" s="149"/>
      <c r="I1373" s="149"/>
      <c r="J1373" s="149"/>
      <c r="K1373" s="149"/>
      <c r="L1373" s="149"/>
      <c r="M1373" s="149"/>
      <c r="N1373" s="149"/>
      <c r="O1373" s="149"/>
      <c r="P1373" s="149"/>
      <c r="Q1373" s="149"/>
      <c r="R1373" s="149"/>
      <c r="S1373" s="149"/>
      <c r="T1373" s="149"/>
      <c r="U1373" s="149"/>
      <c r="V1373" s="149"/>
      <c r="W1373" s="149"/>
      <c r="X1373" s="149"/>
      <c r="Y1373" s="149"/>
      <c r="Z1373" s="149"/>
      <c r="AA1373" s="149"/>
      <c r="AB1373" s="149"/>
      <c r="AC1373" s="149"/>
      <c r="AD1373" s="149"/>
      <c r="AE1373" s="149"/>
      <c r="AF1373" s="149"/>
      <c r="AG1373" s="149"/>
      <c r="AH1373" s="149"/>
      <c r="AI1373" s="149"/>
      <c r="AJ1373" s="149"/>
      <c r="AK1373" s="149"/>
      <c r="AL1373" s="149"/>
      <c r="AM1373" s="149"/>
      <c r="AN1373" s="149"/>
      <c r="AO1373" s="149"/>
      <c r="AP1373" s="149"/>
    </row>
    <row r="1374" ht="18.75" customHeight="1">
      <c r="A1374" s="149"/>
      <c r="B1374" s="149"/>
      <c r="C1374" s="304"/>
      <c r="D1374" s="149"/>
      <c r="E1374" s="149"/>
      <c r="F1374" s="149"/>
      <c r="G1374" s="149"/>
      <c r="H1374" s="149"/>
      <c r="I1374" s="149"/>
      <c r="J1374" s="149"/>
      <c r="K1374" s="149"/>
      <c r="L1374" s="149"/>
      <c r="M1374" s="149"/>
      <c r="N1374" s="149"/>
      <c r="O1374" s="149"/>
      <c r="P1374" s="149"/>
      <c r="Q1374" s="149"/>
      <c r="R1374" s="149"/>
      <c r="S1374" s="149"/>
      <c r="T1374" s="149"/>
      <c r="U1374" s="149"/>
      <c r="V1374" s="149"/>
      <c r="W1374" s="149"/>
      <c r="X1374" s="149"/>
      <c r="Y1374" s="149"/>
      <c r="Z1374" s="149"/>
      <c r="AA1374" s="149"/>
      <c r="AB1374" s="149"/>
      <c r="AC1374" s="149"/>
      <c r="AD1374" s="149"/>
      <c r="AE1374" s="149"/>
      <c r="AF1374" s="149"/>
      <c r="AG1374" s="149"/>
      <c r="AH1374" s="149"/>
      <c r="AI1374" s="149"/>
      <c r="AJ1374" s="149"/>
      <c r="AK1374" s="149"/>
      <c r="AL1374" s="149"/>
      <c r="AM1374" s="149"/>
      <c r="AN1374" s="149"/>
      <c r="AO1374" s="149"/>
      <c r="AP1374" s="149"/>
    </row>
    <row r="1375" ht="18.75" customHeight="1">
      <c r="A1375" s="149"/>
      <c r="B1375" s="149"/>
      <c r="C1375" s="304"/>
      <c r="D1375" s="149"/>
      <c r="E1375" s="149"/>
      <c r="F1375" s="149"/>
      <c r="G1375" s="149"/>
      <c r="H1375" s="149"/>
      <c r="I1375" s="149"/>
      <c r="J1375" s="149"/>
      <c r="K1375" s="149"/>
      <c r="L1375" s="149"/>
      <c r="M1375" s="149"/>
      <c r="N1375" s="149"/>
      <c r="O1375" s="149"/>
      <c r="P1375" s="149"/>
      <c r="Q1375" s="149"/>
      <c r="R1375" s="149"/>
      <c r="S1375" s="149"/>
      <c r="T1375" s="149"/>
      <c r="U1375" s="149"/>
      <c r="V1375" s="149"/>
      <c r="W1375" s="149"/>
      <c r="X1375" s="149"/>
      <c r="Y1375" s="149"/>
      <c r="Z1375" s="149"/>
      <c r="AA1375" s="149"/>
      <c r="AB1375" s="149"/>
      <c r="AC1375" s="149"/>
      <c r="AD1375" s="149"/>
      <c r="AE1375" s="149"/>
      <c r="AF1375" s="149"/>
      <c r="AG1375" s="149"/>
      <c r="AH1375" s="149"/>
      <c r="AI1375" s="149"/>
      <c r="AJ1375" s="149"/>
      <c r="AK1375" s="149"/>
      <c r="AL1375" s="149"/>
      <c r="AM1375" s="149"/>
      <c r="AN1375" s="149"/>
      <c r="AO1375" s="149"/>
      <c r="AP1375" s="149"/>
    </row>
    <row r="1376" ht="18.75" customHeight="1">
      <c r="A1376" s="149"/>
      <c r="B1376" s="149"/>
      <c r="C1376" s="304"/>
      <c r="D1376" s="149"/>
      <c r="E1376" s="149"/>
      <c r="F1376" s="149"/>
      <c r="G1376" s="149"/>
      <c r="H1376" s="149"/>
      <c r="I1376" s="149"/>
      <c r="J1376" s="149"/>
      <c r="K1376" s="149"/>
      <c r="L1376" s="149"/>
      <c r="M1376" s="149"/>
      <c r="N1376" s="149"/>
      <c r="O1376" s="149"/>
      <c r="P1376" s="149"/>
      <c r="Q1376" s="149"/>
      <c r="R1376" s="149"/>
      <c r="S1376" s="149"/>
      <c r="T1376" s="149"/>
      <c r="U1376" s="149"/>
      <c r="V1376" s="149"/>
      <c r="W1376" s="149"/>
      <c r="X1376" s="149"/>
      <c r="Y1376" s="149"/>
      <c r="Z1376" s="149"/>
      <c r="AA1376" s="149"/>
      <c r="AB1376" s="149"/>
      <c r="AC1376" s="149"/>
      <c r="AD1376" s="149"/>
      <c r="AE1376" s="149"/>
      <c r="AF1376" s="149"/>
      <c r="AG1376" s="149"/>
      <c r="AH1376" s="149"/>
      <c r="AI1376" s="149"/>
      <c r="AJ1376" s="149"/>
      <c r="AK1376" s="149"/>
      <c r="AL1376" s="149"/>
      <c r="AM1376" s="149"/>
      <c r="AN1376" s="149"/>
      <c r="AO1376" s="149"/>
      <c r="AP1376" s="149"/>
    </row>
    <row r="1377" ht="18.75" customHeight="1">
      <c r="A1377" s="149"/>
      <c r="B1377" s="149"/>
      <c r="C1377" s="304"/>
      <c r="D1377" s="149"/>
      <c r="E1377" s="149"/>
      <c r="F1377" s="149"/>
      <c r="G1377" s="149"/>
      <c r="H1377" s="149"/>
      <c r="I1377" s="149"/>
      <c r="J1377" s="149"/>
      <c r="K1377" s="149"/>
      <c r="L1377" s="149"/>
      <c r="M1377" s="149"/>
      <c r="N1377" s="149"/>
      <c r="O1377" s="149"/>
      <c r="P1377" s="149"/>
      <c r="Q1377" s="149"/>
      <c r="R1377" s="149"/>
      <c r="S1377" s="149"/>
      <c r="T1377" s="149"/>
      <c r="U1377" s="149"/>
      <c r="V1377" s="149"/>
      <c r="W1377" s="149"/>
      <c r="X1377" s="149"/>
      <c r="Y1377" s="149"/>
      <c r="Z1377" s="149"/>
      <c r="AA1377" s="149"/>
      <c r="AB1377" s="149"/>
      <c r="AC1377" s="149"/>
      <c r="AD1377" s="149"/>
      <c r="AE1377" s="149"/>
      <c r="AF1377" s="149"/>
      <c r="AG1377" s="149"/>
      <c r="AH1377" s="149"/>
      <c r="AI1377" s="149"/>
      <c r="AJ1377" s="149"/>
      <c r="AK1377" s="149"/>
      <c r="AL1377" s="149"/>
      <c r="AM1377" s="149"/>
      <c r="AN1377" s="149"/>
      <c r="AO1377" s="149"/>
      <c r="AP1377" s="149"/>
    </row>
    <row r="1378" ht="18.75" customHeight="1">
      <c r="A1378" s="149"/>
      <c r="B1378" s="149"/>
      <c r="C1378" s="304"/>
      <c r="D1378" s="149"/>
      <c r="E1378" s="149"/>
      <c r="F1378" s="149"/>
      <c r="G1378" s="149"/>
      <c r="H1378" s="149"/>
      <c r="I1378" s="149"/>
      <c r="J1378" s="149"/>
      <c r="K1378" s="149"/>
      <c r="L1378" s="149"/>
      <c r="M1378" s="149"/>
      <c r="N1378" s="149"/>
      <c r="O1378" s="149"/>
      <c r="P1378" s="149"/>
      <c r="Q1378" s="149"/>
      <c r="R1378" s="149"/>
      <c r="S1378" s="149"/>
      <c r="T1378" s="149"/>
      <c r="U1378" s="149"/>
      <c r="V1378" s="149"/>
      <c r="W1378" s="149"/>
      <c r="X1378" s="149"/>
      <c r="Y1378" s="149"/>
      <c r="Z1378" s="149"/>
      <c r="AA1378" s="149"/>
      <c r="AB1378" s="149"/>
      <c r="AC1378" s="149"/>
      <c r="AD1378" s="149"/>
      <c r="AE1378" s="149"/>
      <c r="AF1378" s="149"/>
      <c r="AG1378" s="149"/>
      <c r="AH1378" s="149"/>
      <c r="AI1378" s="149"/>
      <c r="AJ1378" s="149"/>
      <c r="AK1378" s="149"/>
      <c r="AL1378" s="149"/>
      <c r="AM1378" s="149"/>
      <c r="AN1378" s="149"/>
      <c r="AO1378" s="149"/>
      <c r="AP1378" s="149"/>
    </row>
    <row r="1379" ht="18.75" customHeight="1">
      <c r="A1379" s="149"/>
      <c r="B1379" s="149"/>
      <c r="C1379" s="304"/>
      <c r="D1379" s="149"/>
      <c r="E1379" s="149"/>
      <c r="F1379" s="149"/>
      <c r="G1379" s="149"/>
      <c r="H1379" s="149"/>
      <c r="I1379" s="149"/>
      <c r="J1379" s="149"/>
      <c r="K1379" s="149"/>
      <c r="L1379" s="149"/>
      <c r="M1379" s="149"/>
      <c r="N1379" s="149"/>
      <c r="O1379" s="149"/>
      <c r="P1379" s="149"/>
      <c r="Q1379" s="149"/>
      <c r="R1379" s="149"/>
      <c r="S1379" s="149"/>
      <c r="T1379" s="149"/>
      <c r="U1379" s="149"/>
      <c r="V1379" s="149"/>
      <c r="W1379" s="149"/>
      <c r="X1379" s="149"/>
      <c r="Y1379" s="149"/>
      <c r="Z1379" s="149"/>
      <c r="AA1379" s="149"/>
      <c r="AB1379" s="149"/>
      <c r="AC1379" s="149"/>
      <c r="AD1379" s="149"/>
      <c r="AE1379" s="149"/>
      <c r="AF1379" s="149"/>
      <c r="AG1379" s="149"/>
      <c r="AH1379" s="149"/>
      <c r="AI1379" s="149"/>
      <c r="AJ1379" s="149"/>
      <c r="AK1379" s="149"/>
      <c r="AL1379" s="149"/>
      <c r="AM1379" s="149"/>
      <c r="AN1379" s="149"/>
      <c r="AO1379" s="149"/>
      <c r="AP1379" s="149"/>
    </row>
    <row r="1380" ht="18.75" customHeight="1">
      <c r="A1380" s="149"/>
      <c r="B1380" s="149"/>
      <c r="C1380" s="304"/>
      <c r="D1380" s="149"/>
      <c r="E1380" s="149"/>
      <c r="F1380" s="149"/>
      <c r="G1380" s="149"/>
      <c r="H1380" s="149"/>
      <c r="I1380" s="149"/>
      <c r="J1380" s="149"/>
      <c r="K1380" s="149"/>
      <c r="L1380" s="149"/>
      <c r="M1380" s="149"/>
      <c r="N1380" s="149"/>
      <c r="O1380" s="149"/>
      <c r="P1380" s="149"/>
      <c r="Q1380" s="149"/>
      <c r="R1380" s="149"/>
      <c r="S1380" s="149"/>
      <c r="T1380" s="149"/>
      <c r="U1380" s="149"/>
      <c r="V1380" s="149"/>
      <c r="W1380" s="149"/>
      <c r="X1380" s="149"/>
      <c r="Y1380" s="149"/>
      <c r="Z1380" s="149"/>
      <c r="AA1380" s="149"/>
      <c r="AB1380" s="149"/>
      <c r="AC1380" s="149"/>
      <c r="AD1380" s="149"/>
      <c r="AE1380" s="149"/>
      <c r="AF1380" s="149"/>
      <c r="AG1380" s="149"/>
      <c r="AH1380" s="149"/>
      <c r="AI1380" s="149"/>
      <c r="AJ1380" s="149"/>
      <c r="AK1380" s="149"/>
      <c r="AL1380" s="149"/>
      <c r="AM1380" s="149"/>
      <c r="AN1380" s="149"/>
      <c r="AO1380" s="149"/>
      <c r="AP1380" s="149"/>
    </row>
    <row r="1381" ht="18.75" customHeight="1">
      <c r="A1381" s="149"/>
      <c r="B1381" s="149"/>
      <c r="C1381" s="304"/>
      <c r="D1381" s="149"/>
      <c r="E1381" s="149"/>
      <c r="F1381" s="149"/>
      <c r="G1381" s="149"/>
      <c r="H1381" s="149"/>
      <c r="I1381" s="149"/>
      <c r="J1381" s="149"/>
      <c r="K1381" s="149"/>
      <c r="L1381" s="149"/>
      <c r="M1381" s="149"/>
      <c r="N1381" s="149"/>
      <c r="O1381" s="149"/>
      <c r="P1381" s="149"/>
      <c r="Q1381" s="149"/>
      <c r="R1381" s="149"/>
      <c r="S1381" s="149"/>
      <c r="T1381" s="149"/>
      <c r="U1381" s="149"/>
      <c r="V1381" s="149"/>
      <c r="W1381" s="149"/>
      <c r="X1381" s="149"/>
      <c r="Y1381" s="149"/>
      <c r="Z1381" s="149"/>
      <c r="AA1381" s="149"/>
      <c r="AB1381" s="149"/>
      <c r="AC1381" s="149"/>
      <c r="AD1381" s="149"/>
      <c r="AE1381" s="149"/>
      <c r="AF1381" s="149"/>
      <c r="AG1381" s="149"/>
      <c r="AH1381" s="149"/>
      <c r="AI1381" s="149"/>
      <c r="AJ1381" s="149"/>
      <c r="AK1381" s="149"/>
      <c r="AL1381" s="149"/>
      <c r="AM1381" s="149"/>
      <c r="AN1381" s="149"/>
      <c r="AO1381" s="149"/>
      <c r="AP1381" s="149"/>
    </row>
    <row r="1382" ht="18.75" customHeight="1">
      <c r="A1382" s="149"/>
      <c r="B1382" s="149"/>
      <c r="C1382" s="304"/>
      <c r="D1382" s="149"/>
      <c r="E1382" s="149"/>
      <c r="F1382" s="149"/>
      <c r="G1382" s="149"/>
      <c r="H1382" s="149"/>
      <c r="I1382" s="149"/>
      <c r="J1382" s="149"/>
      <c r="K1382" s="149"/>
      <c r="L1382" s="149"/>
      <c r="M1382" s="149"/>
      <c r="N1382" s="149"/>
      <c r="O1382" s="149"/>
      <c r="P1382" s="149"/>
      <c r="Q1382" s="149"/>
      <c r="R1382" s="149"/>
      <c r="S1382" s="149"/>
      <c r="T1382" s="149"/>
      <c r="U1382" s="149"/>
      <c r="V1382" s="149"/>
      <c r="W1382" s="149"/>
      <c r="X1382" s="149"/>
      <c r="Y1382" s="149"/>
      <c r="Z1382" s="149"/>
      <c r="AA1382" s="149"/>
      <c r="AB1382" s="149"/>
      <c r="AC1382" s="149"/>
      <c r="AD1382" s="149"/>
      <c r="AE1382" s="149"/>
      <c r="AF1382" s="149"/>
      <c r="AG1382" s="149"/>
      <c r="AH1382" s="149"/>
      <c r="AI1382" s="149"/>
      <c r="AJ1382" s="149"/>
      <c r="AK1382" s="149"/>
      <c r="AL1382" s="149"/>
      <c r="AM1382" s="149"/>
      <c r="AN1382" s="149"/>
      <c r="AO1382" s="149"/>
      <c r="AP1382" s="149"/>
    </row>
    <row r="1383" ht="18.75" customHeight="1">
      <c r="A1383" s="149"/>
      <c r="B1383" s="149"/>
      <c r="C1383" s="304"/>
      <c r="D1383" s="149"/>
      <c r="E1383" s="149"/>
      <c r="F1383" s="149"/>
      <c r="G1383" s="149"/>
      <c r="H1383" s="149"/>
      <c r="I1383" s="149"/>
      <c r="J1383" s="149"/>
      <c r="K1383" s="149"/>
      <c r="L1383" s="149"/>
      <c r="M1383" s="149"/>
      <c r="N1383" s="149"/>
      <c r="O1383" s="149"/>
      <c r="P1383" s="149"/>
      <c r="Q1383" s="149"/>
      <c r="R1383" s="149"/>
      <c r="S1383" s="149"/>
      <c r="T1383" s="149"/>
      <c r="U1383" s="149"/>
      <c r="V1383" s="149"/>
      <c r="W1383" s="149"/>
      <c r="X1383" s="149"/>
      <c r="Y1383" s="149"/>
      <c r="Z1383" s="149"/>
      <c r="AA1383" s="149"/>
      <c r="AB1383" s="149"/>
      <c r="AC1383" s="149"/>
      <c r="AD1383" s="149"/>
      <c r="AE1383" s="149"/>
      <c r="AF1383" s="149"/>
      <c r="AG1383" s="149"/>
      <c r="AH1383" s="149"/>
      <c r="AI1383" s="149"/>
      <c r="AJ1383" s="149"/>
      <c r="AK1383" s="149"/>
      <c r="AL1383" s="149"/>
      <c r="AM1383" s="149"/>
      <c r="AN1383" s="149"/>
      <c r="AO1383" s="149"/>
      <c r="AP1383" s="149"/>
    </row>
    <row r="1384" ht="18.75" customHeight="1">
      <c r="A1384" s="149"/>
      <c r="B1384" s="149"/>
      <c r="C1384" s="304"/>
      <c r="D1384" s="149"/>
      <c r="E1384" s="149"/>
      <c r="F1384" s="149"/>
      <c r="G1384" s="149"/>
      <c r="H1384" s="149"/>
      <c r="I1384" s="149"/>
      <c r="J1384" s="149"/>
      <c r="K1384" s="149"/>
      <c r="L1384" s="149"/>
      <c r="M1384" s="149"/>
      <c r="N1384" s="149"/>
      <c r="O1384" s="149"/>
      <c r="P1384" s="149"/>
      <c r="Q1384" s="149"/>
      <c r="R1384" s="149"/>
      <c r="S1384" s="149"/>
      <c r="T1384" s="149"/>
      <c r="U1384" s="149"/>
      <c r="V1384" s="149"/>
      <c r="W1384" s="149"/>
      <c r="X1384" s="149"/>
      <c r="Y1384" s="149"/>
      <c r="Z1384" s="149"/>
      <c r="AA1384" s="149"/>
      <c r="AB1384" s="149"/>
      <c r="AC1384" s="149"/>
      <c r="AD1384" s="149"/>
      <c r="AE1384" s="149"/>
      <c r="AF1384" s="149"/>
      <c r="AG1384" s="149"/>
      <c r="AH1384" s="149"/>
      <c r="AI1384" s="149"/>
      <c r="AJ1384" s="149"/>
      <c r="AK1384" s="149"/>
      <c r="AL1384" s="149"/>
      <c r="AM1384" s="149"/>
      <c r="AN1384" s="149"/>
      <c r="AO1384" s="149"/>
      <c r="AP1384" s="149"/>
    </row>
    <row r="1385" ht="18.75" customHeight="1">
      <c r="A1385" s="149"/>
      <c r="B1385" s="149"/>
      <c r="C1385" s="304"/>
      <c r="D1385" s="149"/>
      <c r="E1385" s="149"/>
      <c r="F1385" s="149"/>
      <c r="G1385" s="149"/>
      <c r="H1385" s="149"/>
      <c r="I1385" s="149"/>
      <c r="J1385" s="149"/>
      <c r="K1385" s="149"/>
      <c r="L1385" s="149"/>
      <c r="M1385" s="149"/>
      <c r="N1385" s="149"/>
      <c r="O1385" s="149"/>
      <c r="P1385" s="149"/>
      <c r="Q1385" s="149"/>
      <c r="R1385" s="149"/>
      <c r="S1385" s="149"/>
      <c r="T1385" s="149"/>
      <c r="U1385" s="149"/>
      <c r="V1385" s="149"/>
      <c r="W1385" s="149"/>
      <c r="X1385" s="149"/>
      <c r="Y1385" s="149"/>
      <c r="Z1385" s="149"/>
      <c r="AA1385" s="149"/>
      <c r="AB1385" s="149"/>
      <c r="AC1385" s="149"/>
      <c r="AD1385" s="149"/>
      <c r="AE1385" s="149"/>
      <c r="AF1385" s="149"/>
      <c r="AG1385" s="149"/>
      <c r="AH1385" s="149"/>
      <c r="AI1385" s="149"/>
      <c r="AJ1385" s="149"/>
      <c r="AK1385" s="149"/>
      <c r="AL1385" s="149"/>
      <c r="AM1385" s="149"/>
      <c r="AN1385" s="149"/>
      <c r="AO1385" s="149"/>
      <c r="AP1385" s="149"/>
    </row>
    <row r="1386" ht="18.75" customHeight="1">
      <c r="A1386" s="149"/>
      <c r="B1386" s="149"/>
      <c r="C1386" s="304"/>
      <c r="D1386" s="149"/>
      <c r="E1386" s="149"/>
      <c r="F1386" s="149"/>
      <c r="G1386" s="149"/>
      <c r="H1386" s="149"/>
      <c r="I1386" s="149"/>
      <c r="J1386" s="149"/>
      <c r="K1386" s="149"/>
      <c r="L1386" s="149"/>
      <c r="M1386" s="149"/>
      <c r="N1386" s="149"/>
      <c r="O1386" s="149"/>
      <c r="P1386" s="149"/>
      <c r="Q1386" s="149"/>
      <c r="R1386" s="149"/>
      <c r="S1386" s="149"/>
      <c r="T1386" s="149"/>
      <c r="U1386" s="149"/>
      <c r="V1386" s="149"/>
      <c r="W1386" s="149"/>
      <c r="X1386" s="149"/>
      <c r="Y1386" s="149"/>
      <c r="Z1386" s="149"/>
      <c r="AA1386" s="149"/>
      <c r="AB1386" s="149"/>
      <c r="AC1386" s="149"/>
      <c r="AD1386" s="149"/>
      <c r="AE1386" s="149"/>
      <c r="AF1386" s="149"/>
      <c r="AG1386" s="149"/>
      <c r="AH1386" s="149"/>
      <c r="AI1386" s="149"/>
      <c r="AJ1386" s="149"/>
      <c r="AK1386" s="149"/>
      <c r="AL1386" s="149"/>
      <c r="AM1386" s="149"/>
      <c r="AN1386" s="149"/>
      <c r="AO1386" s="149"/>
      <c r="AP1386" s="149"/>
    </row>
    <row r="1387" ht="18.75" customHeight="1">
      <c r="A1387" s="149"/>
      <c r="B1387" s="149"/>
      <c r="C1387" s="304"/>
      <c r="D1387" s="149"/>
      <c r="E1387" s="149"/>
      <c r="F1387" s="149"/>
      <c r="G1387" s="149"/>
      <c r="H1387" s="149"/>
      <c r="I1387" s="149"/>
      <c r="J1387" s="149"/>
      <c r="K1387" s="149"/>
      <c r="L1387" s="149"/>
      <c r="M1387" s="149"/>
      <c r="N1387" s="149"/>
      <c r="O1387" s="149"/>
      <c r="P1387" s="149"/>
      <c r="Q1387" s="149"/>
      <c r="R1387" s="149"/>
      <c r="S1387" s="149"/>
      <c r="T1387" s="149"/>
      <c r="U1387" s="149"/>
      <c r="V1387" s="149"/>
      <c r="W1387" s="149"/>
      <c r="X1387" s="149"/>
      <c r="Y1387" s="149"/>
      <c r="Z1387" s="149"/>
      <c r="AA1387" s="149"/>
      <c r="AB1387" s="149"/>
      <c r="AC1387" s="149"/>
      <c r="AD1387" s="149"/>
      <c r="AE1387" s="149"/>
      <c r="AF1387" s="149"/>
      <c r="AG1387" s="149"/>
      <c r="AH1387" s="149"/>
      <c r="AI1387" s="149"/>
      <c r="AJ1387" s="149"/>
      <c r="AK1387" s="149"/>
      <c r="AL1387" s="149"/>
      <c r="AM1387" s="149"/>
      <c r="AN1387" s="149"/>
      <c r="AO1387" s="149"/>
      <c r="AP1387" s="149"/>
    </row>
    <row r="1388" ht="18.75" customHeight="1">
      <c r="A1388" s="149"/>
      <c r="B1388" s="149"/>
      <c r="C1388" s="304"/>
      <c r="D1388" s="149"/>
      <c r="E1388" s="149"/>
      <c r="F1388" s="149"/>
      <c r="G1388" s="149"/>
      <c r="H1388" s="149"/>
      <c r="I1388" s="149"/>
      <c r="J1388" s="149"/>
      <c r="K1388" s="149"/>
      <c r="L1388" s="149"/>
      <c r="M1388" s="149"/>
      <c r="N1388" s="149"/>
      <c r="O1388" s="149"/>
      <c r="P1388" s="149"/>
      <c r="Q1388" s="149"/>
      <c r="R1388" s="149"/>
      <c r="S1388" s="149"/>
      <c r="T1388" s="149"/>
      <c r="U1388" s="149"/>
      <c r="V1388" s="149"/>
      <c r="W1388" s="149"/>
      <c r="X1388" s="149"/>
      <c r="Y1388" s="149"/>
      <c r="Z1388" s="149"/>
      <c r="AA1388" s="149"/>
      <c r="AB1388" s="149"/>
      <c r="AC1388" s="149"/>
      <c r="AD1388" s="149"/>
      <c r="AE1388" s="149"/>
      <c r="AF1388" s="149"/>
      <c r="AG1388" s="149"/>
      <c r="AH1388" s="149"/>
      <c r="AI1388" s="149"/>
      <c r="AJ1388" s="149"/>
      <c r="AK1388" s="149"/>
      <c r="AL1388" s="149"/>
      <c r="AM1388" s="149"/>
      <c r="AN1388" s="149"/>
      <c r="AO1388" s="149"/>
      <c r="AP1388" s="149"/>
    </row>
    <row r="1389" ht="18.75" customHeight="1">
      <c r="A1389" s="149"/>
      <c r="B1389" s="149"/>
      <c r="C1389" s="304"/>
      <c r="D1389" s="149"/>
      <c r="E1389" s="149"/>
      <c r="F1389" s="149"/>
      <c r="G1389" s="149"/>
      <c r="H1389" s="149"/>
      <c r="I1389" s="149"/>
      <c r="J1389" s="149"/>
      <c r="K1389" s="149"/>
      <c r="L1389" s="149"/>
      <c r="M1389" s="149"/>
      <c r="N1389" s="149"/>
      <c r="O1389" s="149"/>
      <c r="P1389" s="149"/>
      <c r="Q1389" s="149"/>
      <c r="R1389" s="149"/>
      <c r="S1389" s="149"/>
      <c r="T1389" s="149"/>
      <c r="U1389" s="149"/>
      <c r="V1389" s="149"/>
      <c r="W1389" s="149"/>
      <c r="X1389" s="149"/>
      <c r="Y1389" s="149"/>
      <c r="Z1389" s="149"/>
      <c r="AA1389" s="149"/>
      <c r="AB1389" s="149"/>
      <c r="AC1389" s="149"/>
      <c r="AD1389" s="149"/>
      <c r="AE1389" s="149"/>
      <c r="AF1389" s="149"/>
      <c r="AG1389" s="149"/>
      <c r="AH1389" s="149"/>
      <c r="AI1389" s="149"/>
      <c r="AJ1389" s="149"/>
      <c r="AK1389" s="149"/>
      <c r="AL1389" s="149"/>
      <c r="AM1389" s="149"/>
      <c r="AN1389" s="149"/>
      <c r="AO1389" s="149"/>
      <c r="AP1389" s="149"/>
    </row>
    <row r="1390" ht="18.75" customHeight="1">
      <c r="A1390" s="149"/>
      <c r="B1390" s="149"/>
      <c r="C1390" s="304"/>
      <c r="D1390" s="149"/>
      <c r="E1390" s="149"/>
      <c r="F1390" s="149"/>
      <c r="G1390" s="149"/>
      <c r="H1390" s="149"/>
      <c r="I1390" s="149"/>
      <c r="J1390" s="149"/>
      <c r="K1390" s="149"/>
      <c r="L1390" s="149"/>
      <c r="M1390" s="149"/>
      <c r="N1390" s="149"/>
      <c r="O1390" s="149"/>
      <c r="P1390" s="149"/>
      <c r="Q1390" s="149"/>
      <c r="R1390" s="149"/>
      <c r="S1390" s="149"/>
      <c r="T1390" s="149"/>
      <c r="U1390" s="149"/>
      <c r="V1390" s="149"/>
      <c r="W1390" s="149"/>
      <c r="X1390" s="149"/>
      <c r="Y1390" s="149"/>
      <c r="Z1390" s="149"/>
      <c r="AA1390" s="149"/>
      <c r="AB1390" s="149"/>
      <c r="AC1390" s="149"/>
      <c r="AD1390" s="149"/>
      <c r="AE1390" s="149"/>
      <c r="AF1390" s="149"/>
      <c r="AG1390" s="149"/>
      <c r="AH1390" s="149"/>
      <c r="AI1390" s="149"/>
      <c r="AJ1390" s="149"/>
      <c r="AK1390" s="149"/>
      <c r="AL1390" s="149"/>
      <c r="AM1390" s="149"/>
      <c r="AN1390" s="149"/>
      <c r="AO1390" s="149"/>
      <c r="AP1390" s="149"/>
    </row>
    <row r="1391" ht="18.75" customHeight="1">
      <c r="A1391" s="149"/>
      <c r="B1391" s="149"/>
      <c r="C1391" s="304"/>
      <c r="D1391" s="149"/>
      <c r="E1391" s="149"/>
      <c r="F1391" s="149"/>
      <c r="G1391" s="149"/>
      <c r="H1391" s="149"/>
      <c r="I1391" s="149"/>
      <c r="J1391" s="149"/>
      <c r="K1391" s="149"/>
      <c r="L1391" s="149"/>
      <c r="M1391" s="149"/>
      <c r="N1391" s="149"/>
      <c r="O1391" s="149"/>
      <c r="P1391" s="149"/>
      <c r="Q1391" s="149"/>
      <c r="R1391" s="149"/>
      <c r="S1391" s="149"/>
      <c r="T1391" s="149"/>
      <c r="U1391" s="149"/>
      <c r="V1391" s="149"/>
      <c r="W1391" s="149"/>
      <c r="X1391" s="149"/>
      <c r="Y1391" s="149"/>
      <c r="Z1391" s="149"/>
      <c r="AA1391" s="149"/>
      <c r="AB1391" s="149"/>
      <c r="AC1391" s="149"/>
      <c r="AD1391" s="149"/>
      <c r="AE1391" s="149"/>
      <c r="AF1391" s="149"/>
      <c r="AG1391" s="149"/>
      <c r="AH1391" s="149"/>
      <c r="AI1391" s="149"/>
      <c r="AJ1391" s="149"/>
      <c r="AK1391" s="149"/>
      <c r="AL1391" s="149"/>
      <c r="AM1391" s="149"/>
      <c r="AN1391" s="149"/>
      <c r="AO1391" s="149"/>
      <c r="AP1391" s="149"/>
    </row>
    <row r="1392" ht="18.75" customHeight="1">
      <c r="A1392" s="149"/>
      <c r="B1392" s="149"/>
      <c r="C1392" s="304"/>
      <c r="D1392" s="149"/>
      <c r="E1392" s="149"/>
      <c r="F1392" s="149"/>
      <c r="G1392" s="149"/>
      <c r="H1392" s="149"/>
      <c r="I1392" s="149"/>
      <c r="J1392" s="149"/>
      <c r="K1392" s="149"/>
      <c r="L1392" s="149"/>
      <c r="M1392" s="149"/>
      <c r="N1392" s="149"/>
      <c r="O1392" s="149"/>
      <c r="P1392" s="149"/>
      <c r="Q1392" s="149"/>
      <c r="R1392" s="149"/>
      <c r="S1392" s="149"/>
      <c r="T1392" s="149"/>
      <c r="U1392" s="149"/>
      <c r="V1392" s="149"/>
      <c r="W1392" s="149"/>
      <c r="X1392" s="149"/>
      <c r="Y1392" s="149"/>
      <c r="Z1392" s="149"/>
      <c r="AA1392" s="149"/>
      <c r="AB1392" s="149"/>
      <c r="AC1392" s="149"/>
      <c r="AD1392" s="149"/>
      <c r="AE1392" s="149"/>
      <c r="AF1392" s="149"/>
      <c r="AG1392" s="149"/>
      <c r="AH1392" s="149"/>
      <c r="AI1392" s="149"/>
      <c r="AJ1392" s="149"/>
      <c r="AK1392" s="149"/>
      <c r="AL1392" s="149"/>
      <c r="AM1392" s="149"/>
      <c r="AN1392" s="149"/>
      <c r="AO1392" s="149"/>
      <c r="AP1392" s="149"/>
    </row>
    <row r="1393" ht="18.75" customHeight="1">
      <c r="A1393" s="149"/>
      <c r="B1393" s="149"/>
      <c r="C1393" s="304"/>
      <c r="D1393" s="149"/>
      <c r="E1393" s="149"/>
      <c r="F1393" s="149"/>
      <c r="G1393" s="149"/>
      <c r="H1393" s="149"/>
      <c r="I1393" s="149"/>
      <c r="J1393" s="149"/>
      <c r="K1393" s="149"/>
      <c r="L1393" s="149"/>
      <c r="M1393" s="149"/>
      <c r="N1393" s="149"/>
      <c r="O1393" s="149"/>
      <c r="P1393" s="149"/>
      <c r="Q1393" s="149"/>
      <c r="R1393" s="149"/>
      <c r="S1393" s="149"/>
      <c r="T1393" s="149"/>
      <c r="U1393" s="149"/>
      <c r="V1393" s="149"/>
      <c r="W1393" s="149"/>
      <c r="X1393" s="149"/>
      <c r="Y1393" s="149"/>
      <c r="Z1393" s="149"/>
      <c r="AA1393" s="149"/>
      <c r="AB1393" s="149"/>
      <c r="AC1393" s="149"/>
      <c r="AD1393" s="149"/>
      <c r="AE1393" s="149"/>
      <c r="AF1393" s="149"/>
      <c r="AG1393" s="149"/>
      <c r="AH1393" s="149"/>
      <c r="AI1393" s="149"/>
      <c r="AJ1393" s="149"/>
      <c r="AK1393" s="149"/>
      <c r="AL1393" s="149"/>
      <c r="AM1393" s="149"/>
      <c r="AN1393" s="149"/>
      <c r="AO1393" s="149"/>
      <c r="AP1393" s="149"/>
    </row>
    <row r="1394" ht="18.75" customHeight="1">
      <c r="A1394" s="149"/>
      <c r="B1394" s="149"/>
      <c r="C1394" s="304"/>
      <c r="D1394" s="149"/>
      <c r="E1394" s="149"/>
      <c r="F1394" s="149"/>
      <c r="G1394" s="149"/>
      <c r="H1394" s="149"/>
      <c r="I1394" s="149"/>
      <c r="J1394" s="149"/>
      <c r="K1394" s="149"/>
      <c r="L1394" s="149"/>
      <c r="M1394" s="149"/>
      <c r="N1394" s="149"/>
      <c r="O1394" s="149"/>
      <c r="P1394" s="149"/>
      <c r="Q1394" s="149"/>
      <c r="R1394" s="149"/>
      <c r="S1394" s="149"/>
      <c r="T1394" s="149"/>
      <c r="U1394" s="149"/>
      <c r="V1394" s="149"/>
      <c r="W1394" s="149"/>
      <c r="X1394" s="149"/>
      <c r="Y1394" s="149"/>
      <c r="Z1394" s="149"/>
      <c r="AA1394" s="149"/>
      <c r="AB1394" s="149"/>
      <c r="AC1394" s="149"/>
      <c r="AD1394" s="149"/>
      <c r="AE1394" s="149"/>
      <c r="AF1394" s="149"/>
      <c r="AG1394" s="149"/>
      <c r="AH1394" s="149"/>
      <c r="AI1394" s="149"/>
      <c r="AJ1394" s="149"/>
      <c r="AK1394" s="149"/>
      <c r="AL1394" s="149"/>
      <c r="AM1394" s="149"/>
      <c r="AN1394" s="149"/>
      <c r="AO1394" s="149"/>
      <c r="AP1394" s="149"/>
    </row>
    <row r="1395" ht="18.75" customHeight="1">
      <c r="A1395" s="149"/>
      <c r="B1395" s="149"/>
      <c r="C1395" s="304"/>
      <c r="D1395" s="149"/>
      <c r="E1395" s="149"/>
      <c r="F1395" s="149"/>
      <c r="G1395" s="149"/>
      <c r="H1395" s="149"/>
      <c r="I1395" s="149"/>
      <c r="J1395" s="149"/>
      <c r="K1395" s="149"/>
      <c r="L1395" s="149"/>
      <c r="M1395" s="149"/>
      <c r="N1395" s="149"/>
      <c r="O1395" s="149"/>
      <c r="P1395" s="149"/>
      <c r="Q1395" s="149"/>
      <c r="R1395" s="149"/>
      <c r="S1395" s="149"/>
      <c r="T1395" s="149"/>
      <c r="U1395" s="149"/>
      <c r="V1395" s="149"/>
      <c r="W1395" s="149"/>
      <c r="X1395" s="149"/>
      <c r="Y1395" s="149"/>
      <c r="Z1395" s="149"/>
      <c r="AA1395" s="149"/>
      <c r="AB1395" s="149"/>
      <c r="AC1395" s="149"/>
      <c r="AD1395" s="149"/>
      <c r="AE1395" s="149"/>
      <c r="AF1395" s="149"/>
      <c r="AG1395" s="149"/>
      <c r="AH1395" s="149"/>
      <c r="AI1395" s="149"/>
      <c r="AJ1395" s="149"/>
      <c r="AK1395" s="149"/>
      <c r="AL1395" s="149"/>
      <c r="AM1395" s="149"/>
      <c r="AN1395" s="149"/>
      <c r="AO1395" s="149"/>
      <c r="AP1395" s="149"/>
    </row>
    <row r="1396" ht="18.75" customHeight="1">
      <c r="A1396" s="149"/>
      <c r="B1396" s="149"/>
      <c r="C1396" s="304"/>
      <c r="D1396" s="149"/>
      <c r="E1396" s="149"/>
      <c r="F1396" s="149"/>
      <c r="G1396" s="149"/>
      <c r="H1396" s="149"/>
      <c r="I1396" s="149"/>
      <c r="J1396" s="149"/>
      <c r="K1396" s="149"/>
      <c r="L1396" s="149"/>
      <c r="M1396" s="149"/>
      <c r="N1396" s="149"/>
      <c r="O1396" s="149"/>
      <c r="P1396" s="149"/>
      <c r="Q1396" s="149"/>
      <c r="R1396" s="149"/>
      <c r="S1396" s="149"/>
      <c r="T1396" s="149"/>
      <c r="U1396" s="149"/>
      <c r="V1396" s="149"/>
      <c r="W1396" s="149"/>
      <c r="X1396" s="149"/>
      <c r="Y1396" s="149"/>
      <c r="Z1396" s="149"/>
      <c r="AA1396" s="149"/>
      <c r="AB1396" s="149"/>
      <c r="AC1396" s="149"/>
      <c r="AD1396" s="149"/>
      <c r="AE1396" s="149"/>
      <c r="AF1396" s="149"/>
      <c r="AG1396" s="149"/>
      <c r="AH1396" s="149"/>
      <c r="AI1396" s="149"/>
      <c r="AJ1396" s="149"/>
      <c r="AK1396" s="149"/>
      <c r="AL1396" s="149"/>
      <c r="AM1396" s="149"/>
      <c r="AN1396" s="149"/>
      <c r="AO1396" s="149"/>
      <c r="AP1396" s="149"/>
    </row>
    <row r="1397" ht="18.75" customHeight="1">
      <c r="A1397" s="149"/>
      <c r="B1397" s="149"/>
      <c r="C1397" s="304"/>
      <c r="D1397" s="149"/>
      <c r="E1397" s="149"/>
      <c r="F1397" s="149"/>
      <c r="G1397" s="149"/>
      <c r="H1397" s="149"/>
      <c r="I1397" s="149"/>
      <c r="J1397" s="149"/>
      <c r="K1397" s="149"/>
      <c r="L1397" s="149"/>
      <c r="M1397" s="149"/>
      <c r="N1397" s="149"/>
      <c r="O1397" s="149"/>
      <c r="P1397" s="149"/>
      <c r="Q1397" s="149"/>
      <c r="R1397" s="149"/>
      <c r="S1397" s="149"/>
      <c r="T1397" s="149"/>
      <c r="U1397" s="149"/>
      <c r="V1397" s="149"/>
      <c r="W1397" s="149"/>
      <c r="X1397" s="149"/>
      <c r="Y1397" s="149"/>
      <c r="Z1397" s="149"/>
      <c r="AA1397" s="149"/>
      <c r="AB1397" s="149"/>
      <c r="AC1397" s="149"/>
      <c r="AD1397" s="149"/>
      <c r="AE1397" s="149"/>
      <c r="AF1397" s="149"/>
      <c r="AG1397" s="149"/>
      <c r="AH1397" s="149"/>
      <c r="AI1397" s="149"/>
      <c r="AJ1397" s="149"/>
      <c r="AK1397" s="149"/>
      <c r="AL1397" s="149"/>
      <c r="AM1397" s="149"/>
      <c r="AN1397" s="149"/>
      <c r="AO1397" s="149"/>
      <c r="AP1397" s="149"/>
    </row>
    <row r="1398" ht="18.75" customHeight="1">
      <c r="A1398" s="149"/>
      <c r="B1398" s="149"/>
      <c r="C1398" s="304"/>
      <c r="D1398" s="149"/>
      <c r="E1398" s="149"/>
      <c r="F1398" s="149"/>
      <c r="G1398" s="149"/>
      <c r="H1398" s="149"/>
      <c r="I1398" s="149"/>
      <c r="J1398" s="149"/>
      <c r="K1398" s="149"/>
      <c r="L1398" s="149"/>
      <c r="M1398" s="149"/>
      <c r="N1398" s="149"/>
      <c r="O1398" s="149"/>
      <c r="P1398" s="149"/>
      <c r="Q1398" s="149"/>
      <c r="R1398" s="149"/>
      <c r="S1398" s="149"/>
      <c r="T1398" s="149"/>
      <c r="U1398" s="149"/>
      <c r="V1398" s="149"/>
      <c r="W1398" s="149"/>
      <c r="X1398" s="149"/>
      <c r="Y1398" s="149"/>
      <c r="Z1398" s="149"/>
      <c r="AA1398" s="149"/>
      <c r="AB1398" s="149"/>
      <c r="AC1398" s="149"/>
      <c r="AD1398" s="149"/>
      <c r="AE1398" s="149"/>
      <c r="AF1398" s="149"/>
      <c r="AG1398" s="149"/>
      <c r="AH1398" s="149"/>
      <c r="AI1398" s="149"/>
      <c r="AJ1398" s="149"/>
      <c r="AK1398" s="149"/>
      <c r="AL1398" s="149"/>
      <c r="AM1398" s="149"/>
      <c r="AN1398" s="149"/>
      <c r="AO1398" s="149"/>
      <c r="AP1398" s="149"/>
    </row>
    <row r="1399" ht="18.75" customHeight="1">
      <c r="A1399" s="149"/>
      <c r="B1399" s="149"/>
      <c r="C1399" s="304"/>
      <c r="D1399" s="149"/>
      <c r="E1399" s="149"/>
      <c r="F1399" s="149"/>
      <c r="G1399" s="149"/>
      <c r="H1399" s="149"/>
      <c r="I1399" s="149"/>
      <c r="J1399" s="149"/>
      <c r="K1399" s="149"/>
      <c r="L1399" s="149"/>
      <c r="M1399" s="149"/>
      <c r="N1399" s="149"/>
      <c r="O1399" s="149"/>
      <c r="P1399" s="149"/>
      <c r="Q1399" s="149"/>
      <c r="R1399" s="149"/>
      <c r="S1399" s="149"/>
      <c r="T1399" s="149"/>
      <c r="U1399" s="149"/>
      <c r="V1399" s="149"/>
      <c r="W1399" s="149"/>
      <c r="X1399" s="149"/>
      <c r="Y1399" s="149"/>
      <c r="Z1399" s="149"/>
      <c r="AA1399" s="149"/>
      <c r="AB1399" s="149"/>
      <c r="AC1399" s="149"/>
      <c r="AD1399" s="149"/>
      <c r="AE1399" s="149"/>
      <c r="AF1399" s="149"/>
      <c r="AG1399" s="149"/>
      <c r="AH1399" s="149"/>
      <c r="AI1399" s="149"/>
      <c r="AJ1399" s="149"/>
      <c r="AK1399" s="149"/>
      <c r="AL1399" s="149"/>
      <c r="AM1399" s="149"/>
      <c r="AN1399" s="149"/>
      <c r="AO1399" s="149"/>
      <c r="AP1399" s="149"/>
    </row>
    <row r="1400" ht="18.75" customHeight="1">
      <c r="A1400" s="149"/>
      <c r="B1400" s="149"/>
      <c r="C1400" s="304"/>
      <c r="D1400" s="149"/>
      <c r="E1400" s="149"/>
      <c r="F1400" s="149"/>
      <c r="G1400" s="149"/>
      <c r="H1400" s="149"/>
      <c r="I1400" s="149"/>
      <c r="J1400" s="149"/>
      <c r="K1400" s="149"/>
      <c r="L1400" s="149"/>
      <c r="M1400" s="149"/>
      <c r="N1400" s="149"/>
      <c r="O1400" s="149"/>
      <c r="P1400" s="149"/>
      <c r="Q1400" s="149"/>
      <c r="R1400" s="149"/>
      <c r="S1400" s="149"/>
      <c r="T1400" s="149"/>
      <c r="U1400" s="149"/>
      <c r="V1400" s="149"/>
      <c r="W1400" s="149"/>
      <c r="X1400" s="149"/>
      <c r="Y1400" s="149"/>
      <c r="Z1400" s="149"/>
      <c r="AA1400" s="149"/>
      <c r="AB1400" s="149"/>
      <c r="AC1400" s="149"/>
      <c r="AD1400" s="149"/>
      <c r="AE1400" s="149"/>
      <c r="AF1400" s="149"/>
      <c r="AG1400" s="149"/>
      <c r="AH1400" s="149"/>
      <c r="AI1400" s="149"/>
      <c r="AJ1400" s="149"/>
      <c r="AK1400" s="149"/>
      <c r="AL1400" s="149"/>
      <c r="AM1400" s="149"/>
      <c r="AN1400" s="149"/>
      <c r="AO1400" s="149"/>
      <c r="AP1400" s="149"/>
    </row>
    <row r="1401" ht="18.75" customHeight="1">
      <c r="A1401" s="149"/>
      <c r="B1401" s="149"/>
      <c r="C1401" s="304"/>
      <c r="D1401" s="149"/>
      <c r="E1401" s="149"/>
      <c r="F1401" s="149"/>
      <c r="G1401" s="149"/>
      <c r="H1401" s="149"/>
      <c r="I1401" s="149"/>
      <c r="J1401" s="149"/>
      <c r="K1401" s="149"/>
      <c r="L1401" s="149"/>
      <c r="M1401" s="149"/>
      <c r="N1401" s="149"/>
      <c r="O1401" s="149"/>
      <c r="P1401" s="149"/>
      <c r="Q1401" s="149"/>
      <c r="R1401" s="149"/>
      <c r="S1401" s="149"/>
      <c r="T1401" s="149"/>
      <c r="U1401" s="149"/>
      <c r="V1401" s="149"/>
      <c r="W1401" s="149"/>
      <c r="X1401" s="149"/>
      <c r="Y1401" s="149"/>
      <c r="Z1401" s="149"/>
      <c r="AA1401" s="149"/>
      <c r="AB1401" s="149"/>
      <c r="AC1401" s="149"/>
      <c r="AD1401" s="149"/>
      <c r="AE1401" s="149"/>
      <c r="AF1401" s="149"/>
      <c r="AG1401" s="149"/>
      <c r="AH1401" s="149"/>
      <c r="AI1401" s="149"/>
      <c r="AJ1401" s="149"/>
      <c r="AK1401" s="149"/>
      <c r="AL1401" s="149"/>
      <c r="AM1401" s="149"/>
      <c r="AN1401" s="149"/>
      <c r="AO1401" s="149"/>
      <c r="AP1401" s="149"/>
    </row>
    <row r="1402" ht="18.75" customHeight="1">
      <c r="A1402" s="149"/>
      <c r="B1402" s="149"/>
      <c r="C1402" s="304"/>
      <c r="D1402" s="149"/>
      <c r="E1402" s="149"/>
      <c r="F1402" s="149"/>
      <c r="G1402" s="149"/>
      <c r="H1402" s="149"/>
      <c r="I1402" s="149"/>
      <c r="J1402" s="149"/>
      <c r="K1402" s="149"/>
      <c r="L1402" s="149"/>
      <c r="M1402" s="149"/>
      <c r="N1402" s="149"/>
      <c r="O1402" s="149"/>
      <c r="P1402" s="149"/>
      <c r="Q1402" s="149"/>
      <c r="R1402" s="149"/>
      <c r="S1402" s="149"/>
      <c r="T1402" s="149"/>
      <c r="U1402" s="149"/>
      <c r="V1402" s="149"/>
      <c r="W1402" s="149"/>
      <c r="X1402" s="149"/>
      <c r="Y1402" s="149"/>
      <c r="Z1402" s="149"/>
      <c r="AA1402" s="149"/>
      <c r="AB1402" s="149"/>
      <c r="AC1402" s="149"/>
      <c r="AD1402" s="149"/>
      <c r="AE1402" s="149"/>
      <c r="AF1402" s="149"/>
      <c r="AG1402" s="149"/>
      <c r="AH1402" s="149"/>
      <c r="AI1402" s="149"/>
      <c r="AJ1402" s="149"/>
      <c r="AK1402" s="149"/>
      <c r="AL1402" s="149"/>
      <c r="AM1402" s="149"/>
      <c r="AN1402" s="149"/>
      <c r="AO1402" s="149"/>
      <c r="AP1402" s="149"/>
    </row>
    <row r="1403" ht="18.75" customHeight="1">
      <c r="A1403" s="149"/>
      <c r="B1403" s="149"/>
      <c r="C1403" s="304"/>
      <c r="D1403" s="149"/>
      <c r="E1403" s="149"/>
      <c r="F1403" s="149"/>
      <c r="G1403" s="149"/>
      <c r="H1403" s="149"/>
      <c r="I1403" s="149"/>
      <c r="J1403" s="149"/>
      <c r="K1403" s="149"/>
      <c r="L1403" s="149"/>
      <c r="M1403" s="149"/>
      <c r="N1403" s="149"/>
      <c r="O1403" s="149"/>
      <c r="P1403" s="149"/>
      <c r="Q1403" s="149"/>
      <c r="R1403" s="149"/>
      <c r="S1403" s="149"/>
      <c r="T1403" s="149"/>
      <c r="U1403" s="149"/>
      <c r="V1403" s="149"/>
      <c r="W1403" s="149"/>
      <c r="X1403" s="149"/>
      <c r="Y1403" s="149"/>
      <c r="Z1403" s="149"/>
      <c r="AA1403" s="149"/>
      <c r="AB1403" s="149"/>
      <c r="AC1403" s="149"/>
      <c r="AD1403" s="149"/>
      <c r="AE1403" s="149"/>
      <c r="AF1403" s="149"/>
      <c r="AG1403" s="149"/>
      <c r="AH1403" s="149"/>
      <c r="AI1403" s="149"/>
      <c r="AJ1403" s="149"/>
      <c r="AK1403" s="149"/>
      <c r="AL1403" s="149"/>
      <c r="AM1403" s="149"/>
      <c r="AN1403" s="149"/>
      <c r="AO1403" s="149"/>
      <c r="AP1403" s="149"/>
    </row>
    <row r="1404" ht="18.75" customHeight="1">
      <c r="A1404" s="149"/>
      <c r="B1404" s="149"/>
      <c r="C1404" s="304"/>
      <c r="D1404" s="149"/>
      <c r="E1404" s="149"/>
      <c r="F1404" s="149"/>
      <c r="G1404" s="149"/>
      <c r="H1404" s="149"/>
      <c r="I1404" s="149"/>
      <c r="J1404" s="149"/>
      <c r="K1404" s="149"/>
      <c r="L1404" s="149"/>
      <c r="M1404" s="149"/>
      <c r="N1404" s="149"/>
      <c r="O1404" s="149"/>
      <c r="P1404" s="149"/>
      <c r="Q1404" s="149"/>
      <c r="R1404" s="149"/>
      <c r="S1404" s="149"/>
      <c r="T1404" s="149"/>
      <c r="U1404" s="149"/>
      <c r="V1404" s="149"/>
      <c r="W1404" s="149"/>
      <c r="X1404" s="149"/>
      <c r="Y1404" s="149"/>
      <c r="Z1404" s="149"/>
      <c r="AA1404" s="149"/>
      <c r="AB1404" s="149"/>
      <c r="AC1404" s="149"/>
      <c r="AD1404" s="149"/>
      <c r="AE1404" s="149"/>
      <c r="AF1404" s="149"/>
      <c r="AG1404" s="149"/>
      <c r="AH1404" s="149"/>
      <c r="AI1404" s="149"/>
      <c r="AJ1404" s="149"/>
      <c r="AK1404" s="149"/>
      <c r="AL1404" s="149"/>
      <c r="AM1404" s="149"/>
      <c r="AN1404" s="149"/>
      <c r="AO1404" s="149"/>
      <c r="AP1404" s="149"/>
    </row>
    <row r="1405" ht="18.75" customHeight="1">
      <c r="A1405" s="149"/>
      <c r="B1405" s="149"/>
      <c r="C1405" s="304"/>
      <c r="D1405" s="149"/>
      <c r="E1405" s="149"/>
      <c r="F1405" s="149"/>
      <c r="G1405" s="149"/>
      <c r="H1405" s="149"/>
      <c r="I1405" s="149"/>
      <c r="J1405" s="149"/>
      <c r="K1405" s="149"/>
      <c r="L1405" s="149"/>
      <c r="M1405" s="149"/>
      <c r="N1405" s="149"/>
      <c r="O1405" s="149"/>
      <c r="P1405" s="149"/>
      <c r="Q1405" s="149"/>
      <c r="R1405" s="149"/>
      <c r="S1405" s="149"/>
      <c r="T1405" s="149"/>
      <c r="U1405" s="149"/>
      <c r="V1405" s="149"/>
      <c r="W1405" s="149"/>
      <c r="X1405" s="149"/>
      <c r="Y1405" s="149"/>
      <c r="Z1405" s="149"/>
      <c r="AA1405" s="149"/>
      <c r="AB1405" s="149"/>
      <c r="AC1405" s="149"/>
      <c r="AD1405" s="149"/>
      <c r="AE1405" s="149"/>
      <c r="AF1405" s="149"/>
      <c r="AG1405" s="149"/>
      <c r="AH1405" s="149"/>
      <c r="AI1405" s="149"/>
      <c r="AJ1405" s="149"/>
      <c r="AK1405" s="149"/>
      <c r="AL1405" s="149"/>
      <c r="AM1405" s="149"/>
      <c r="AN1405" s="149"/>
      <c r="AO1405" s="149"/>
      <c r="AP1405" s="149"/>
    </row>
    <row r="1406" ht="18.75" customHeight="1">
      <c r="A1406" s="149"/>
      <c r="B1406" s="149"/>
      <c r="C1406" s="304"/>
      <c r="D1406" s="149"/>
      <c r="E1406" s="149"/>
      <c r="F1406" s="149"/>
      <c r="G1406" s="149"/>
      <c r="H1406" s="149"/>
      <c r="I1406" s="149"/>
      <c r="J1406" s="149"/>
      <c r="K1406" s="149"/>
      <c r="L1406" s="149"/>
      <c r="M1406" s="149"/>
      <c r="N1406" s="149"/>
      <c r="O1406" s="149"/>
      <c r="P1406" s="149"/>
      <c r="Q1406" s="149"/>
      <c r="R1406" s="149"/>
      <c r="S1406" s="149"/>
      <c r="T1406" s="149"/>
      <c r="U1406" s="149"/>
      <c r="V1406" s="149"/>
      <c r="W1406" s="149"/>
      <c r="X1406" s="149"/>
      <c r="Y1406" s="149"/>
      <c r="Z1406" s="149"/>
      <c r="AA1406" s="149"/>
      <c r="AB1406" s="149"/>
      <c r="AC1406" s="149"/>
      <c r="AD1406" s="149"/>
      <c r="AE1406" s="149"/>
      <c r="AF1406" s="149"/>
      <c r="AG1406" s="149"/>
      <c r="AH1406" s="149"/>
      <c r="AI1406" s="149"/>
      <c r="AJ1406" s="149"/>
      <c r="AK1406" s="149"/>
      <c r="AL1406" s="149"/>
      <c r="AM1406" s="149"/>
      <c r="AN1406" s="149"/>
      <c r="AO1406" s="149"/>
      <c r="AP1406" s="149"/>
    </row>
    <row r="1407" ht="18.75" customHeight="1">
      <c r="A1407" s="149"/>
      <c r="B1407" s="149"/>
      <c r="C1407" s="304"/>
      <c r="D1407" s="149"/>
      <c r="E1407" s="149"/>
      <c r="F1407" s="149"/>
      <c r="G1407" s="149"/>
      <c r="H1407" s="149"/>
      <c r="I1407" s="149"/>
      <c r="J1407" s="149"/>
      <c r="K1407" s="149"/>
      <c r="L1407" s="149"/>
      <c r="M1407" s="149"/>
      <c r="N1407" s="149"/>
      <c r="O1407" s="149"/>
      <c r="P1407" s="149"/>
      <c r="Q1407" s="149"/>
      <c r="R1407" s="149"/>
      <c r="S1407" s="149"/>
      <c r="T1407" s="149"/>
      <c r="U1407" s="149"/>
      <c r="V1407" s="149"/>
      <c r="W1407" s="149"/>
      <c r="X1407" s="149"/>
      <c r="Y1407" s="149"/>
      <c r="Z1407" s="149"/>
      <c r="AA1407" s="149"/>
      <c r="AB1407" s="149"/>
      <c r="AC1407" s="149"/>
      <c r="AD1407" s="149"/>
      <c r="AE1407" s="149"/>
      <c r="AF1407" s="149"/>
      <c r="AG1407" s="149"/>
      <c r="AH1407" s="149"/>
      <c r="AI1407" s="149"/>
      <c r="AJ1407" s="149"/>
      <c r="AK1407" s="149"/>
      <c r="AL1407" s="149"/>
      <c r="AM1407" s="149"/>
      <c r="AN1407" s="149"/>
      <c r="AO1407" s="149"/>
      <c r="AP1407" s="149"/>
    </row>
    <row r="1408" ht="18.75" customHeight="1">
      <c r="A1408" s="149"/>
      <c r="B1408" s="149"/>
      <c r="C1408" s="304"/>
      <c r="D1408" s="149"/>
      <c r="E1408" s="149"/>
      <c r="F1408" s="149"/>
      <c r="G1408" s="149"/>
      <c r="H1408" s="149"/>
      <c r="I1408" s="149"/>
      <c r="J1408" s="149"/>
      <c r="K1408" s="149"/>
      <c r="L1408" s="149"/>
      <c r="M1408" s="149"/>
      <c r="N1408" s="149"/>
      <c r="O1408" s="149"/>
      <c r="P1408" s="149"/>
      <c r="Q1408" s="149"/>
      <c r="R1408" s="149"/>
      <c r="S1408" s="149"/>
      <c r="T1408" s="149"/>
      <c r="U1408" s="149"/>
      <c r="V1408" s="149"/>
      <c r="W1408" s="149"/>
      <c r="X1408" s="149"/>
      <c r="Y1408" s="149"/>
      <c r="Z1408" s="149"/>
      <c r="AA1408" s="149"/>
      <c r="AB1408" s="149"/>
      <c r="AC1408" s="149"/>
      <c r="AD1408" s="149"/>
      <c r="AE1408" s="149"/>
      <c r="AF1408" s="149"/>
      <c r="AG1408" s="149"/>
      <c r="AH1408" s="149"/>
      <c r="AI1408" s="149"/>
      <c r="AJ1408" s="149"/>
      <c r="AK1408" s="149"/>
      <c r="AL1408" s="149"/>
      <c r="AM1408" s="149"/>
      <c r="AN1408" s="149"/>
      <c r="AO1408" s="149"/>
      <c r="AP1408" s="149"/>
    </row>
    <row r="1409" ht="18.75" customHeight="1">
      <c r="A1409" s="149"/>
      <c r="B1409" s="149"/>
      <c r="C1409" s="304"/>
      <c r="D1409" s="149"/>
      <c r="E1409" s="149"/>
      <c r="F1409" s="149"/>
      <c r="G1409" s="149"/>
      <c r="H1409" s="149"/>
      <c r="I1409" s="149"/>
      <c r="J1409" s="149"/>
      <c r="K1409" s="149"/>
      <c r="L1409" s="149"/>
      <c r="M1409" s="149"/>
      <c r="N1409" s="149"/>
      <c r="O1409" s="149"/>
      <c r="P1409" s="149"/>
      <c r="Q1409" s="149"/>
      <c r="R1409" s="149"/>
      <c r="S1409" s="149"/>
      <c r="T1409" s="149"/>
      <c r="U1409" s="149"/>
      <c r="V1409" s="149"/>
      <c r="W1409" s="149"/>
      <c r="X1409" s="149"/>
      <c r="Y1409" s="149"/>
      <c r="Z1409" s="149"/>
      <c r="AA1409" s="149"/>
      <c r="AB1409" s="149"/>
      <c r="AC1409" s="149"/>
      <c r="AD1409" s="149"/>
      <c r="AE1409" s="149"/>
      <c r="AF1409" s="149"/>
      <c r="AG1409" s="149"/>
      <c r="AH1409" s="149"/>
      <c r="AI1409" s="149"/>
      <c r="AJ1409" s="149"/>
      <c r="AK1409" s="149"/>
      <c r="AL1409" s="149"/>
      <c r="AM1409" s="149"/>
      <c r="AN1409" s="149"/>
      <c r="AO1409" s="149"/>
      <c r="AP1409" s="149"/>
    </row>
    <row r="1410" ht="18.75" customHeight="1">
      <c r="A1410" s="149"/>
      <c r="B1410" s="149"/>
      <c r="C1410" s="304"/>
      <c r="D1410" s="149"/>
      <c r="E1410" s="149"/>
      <c r="F1410" s="149"/>
      <c r="G1410" s="149"/>
      <c r="H1410" s="149"/>
      <c r="I1410" s="149"/>
      <c r="J1410" s="149"/>
      <c r="K1410" s="149"/>
      <c r="L1410" s="149"/>
      <c r="M1410" s="149"/>
      <c r="N1410" s="149"/>
      <c r="O1410" s="149"/>
      <c r="P1410" s="149"/>
      <c r="Q1410" s="149"/>
      <c r="R1410" s="149"/>
      <c r="S1410" s="149"/>
      <c r="T1410" s="149"/>
      <c r="U1410" s="149"/>
      <c r="V1410" s="149"/>
      <c r="W1410" s="149"/>
      <c r="X1410" s="149"/>
      <c r="Y1410" s="149"/>
      <c r="Z1410" s="149"/>
      <c r="AA1410" s="149"/>
      <c r="AB1410" s="149"/>
      <c r="AC1410" s="149"/>
      <c r="AD1410" s="149"/>
      <c r="AE1410" s="149"/>
      <c r="AF1410" s="149"/>
      <c r="AG1410" s="149"/>
      <c r="AH1410" s="149"/>
      <c r="AI1410" s="149"/>
      <c r="AJ1410" s="149"/>
      <c r="AK1410" s="149"/>
      <c r="AL1410" s="149"/>
      <c r="AM1410" s="149"/>
      <c r="AN1410" s="149"/>
      <c r="AO1410" s="149"/>
      <c r="AP1410" s="149"/>
    </row>
    <row r="1411" ht="18.75" customHeight="1">
      <c r="A1411" s="149"/>
      <c r="B1411" s="149"/>
      <c r="C1411" s="304"/>
      <c r="D1411" s="149"/>
      <c r="E1411" s="149"/>
      <c r="F1411" s="149"/>
      <c r="G1411" s="149"/>
      <c r="H1411" s="149"/>
      <c r="I1411" s="149"/>
      <c r="J1411" s="149"/>
      <c r="K1411" s="149"/>
      <c r="L1411" s="149"/>
      <c r="M1411" s="149"/>
      <c r="N1411" s="149"/>
      <c r="O1411" s="149"/>
      <c r="P1411" s="149"/>
      <c r="Q1411" s="149"/>
      <c r="R1411" s="149"/>
      <c r="S1411" s="149"/>
      <c r="T1411" s="149"/>
      <c r="U1411" s="149"/>
      <c r="V1411" s="149"/>
      <c r="W1411" s="149"/>
      <c r="X1411" s="149"/>
      <c r="Y1411" s="149"/>
      <c r="Z1411" s="149"/>
      <c r="AA1411" s="149"/>
      <c r="AB1411" s="149"/>
      <c r="AC1411" s="149"/>
      <c r="AD1411" s="149"/>
      <c r="AE1411" s="149"/>
      <c r="AF1411" s="149"/>
      <c r="AG1411" s="149"/>
      <c r="AH1411" s="149"/>
      <c r="AI1411" s="149"/>
      <c r="AJ1411" s="149"/>
      <c r="AK1411" s="149"/>
      <c r="AL1411" s="149"/>
      <c r="AM1411" s="149"/>
      <c r="AN1411" s="149"/>
      <c r="AO1411" s="149"/>
      <c r="AP1411" s="149"/>
    </row>
    <row r="1412" ht="18.75" customHeight="1">
      <c r="A1412" s="149"/>
      <c r="B1412" s="149"/>
      <c r="C1412" s="304"/>
      <c r="D1412" s="149"/>
      <c r="E1412" s="149"/>
      <c r="F1412" s="149"/>
      <c r="G1412" s="149"/>
      <c r="H1412" s="149"/>
      <c r="I1412" s="149"/>
      <c r="J1412" s="149"/>
      <c r="K1412" s="149"/>
      <c r="L1412" s="149"/>
      <c r="M1412" s="149"/>
      <c r="N1412" s="149"/>
      <c r="O1412" s="149"/>
      <c r="P1412" s="149"/>
      <c r="Q1412" s="149"/>
      <c r="R1412" s="149"/>
      <c r="S1412" s="149"/>
      <c r="T1412" s="149"/>
      <c r="U1412" s="149"/>
      <c r="V1412" s="149"/>
      <c r="W1412" s="149"/>
      <c r="X1412" s="149"/>
      <c r="Y1412" s="149"/>
      <c r="Z1412" s="149"/>
      <c r="AA1412" s="149"/>
      <c r="AB1412" s="149"/>
      <c r="AC1412" s="149"/>
      <c r="AD1412" s="149"/>
      <c r="AE1412" s="149"/>
      <c r="AF1412" s="149"/>
      <c r="AG1412" s="149"/>
      <c r="AH1412" s="149"/>
      <c r="AI1412" s="149"/>
      <c r="AJ1412" s="149"/>
      <c r="AK1412" s="149"/>
      <c r="AL1412" s="149"/>
      <c r="AM1412" s="149"/>
      <c r="AN1412" s="149"/>
      <c r="AO1412" s="149"/>
      <c r="AP1412" s="149"/>
    </row>
    <row r="1413" ht="18.75" customHeight="1">
      <c r="A1413" s="149"/>
      <c r="B1413" s="149"/>
      <c r="C1413" s="304"/>
      <c r="D1413" s="149"/>
      <c r="E1413" s="149"/>
      <c r="F1413" s="149"/>
      <c r="G1413" s="149"/>
      <c r="H1413" s="149"/>
      <c r="I1413" s="149"/>
      <c r="J1413" s="149"/>
      <c r="K1413" s="149"/>
      <c r="L1413" s="149"/>
      <c r="M1413" s="149"/>
      <c r="N1413" s="149"/>
      <c r="O1413" s="149"/>
      <c r="P1413" s="149"/>
      <c r="Q1413" s="149"/>
      <c r="R1413" s="149"/>
      <c r="S1413" s="149"/>
      <c r="T1413" s="149"/>
      <c r="U1413" s="149"/>
      <c r="V1413" s="149"/>
      <c r="W1413" s="149"/>
      <c r="X1413" s="149"/>
      <c r="Y1413" s="149"/>
      <c r="Z1413" s="149"/>
      <c r="AA1413" s="149"/>
      <c r="AB1413" s="149"/>
      <c r="AC1413" s="149"/>
      <c r="AD1413" s="149"/>
      <c r="AE1413" s="149"/>
      <c r="AF1413" s="149"/>
      <c r="AG1413" s="149"/>
      <c r="AH1413" s="149"/>
      <c r="AI1413" s="149"/>
      <c r="AJ1413" s="149"/>
      <c r="AK1413" s="149"/>
      <c r="AL1413" s="149"/>
      <c r="AM1413" s="149"/>
      <c r="AN1413" s="149"/>
      <c r="AO1413" s="149"/>
      <c r="AP1413" s="149"/>
    </row>
    <row r="1414" ht="18.75" customHeight="1">
      <c r="A1414" s="149"/>
      <c r="B1414" s="149"/>
      <c r="C1414" s="304"/>
      <c r="D1414" s="149"/>
      <c r="E1414" s="149"/>
      <c r="F1414" s="149"/>
      <c r="G1414" s="149"/>
      <c r="H1414" s="149"/>
      <c r="I1414" s="149"/>
      <c r="J1414" s="149"/>
      <c r="K1414" s="149"/>
      <c r="L1414" s="149"/>
      <c r="M1414" s="149"/>
      <c r="N1414" s="149"/>
      <c r="O1414" s="149"/>
      <c r="P1414" s="149"/>
      <c r="Q1414" s="149"/>
      <c r="R1414" s="149"/>
      <c r="S1414" s="149"/>
      <c r="T1414" s="149"/>
      <c r="U1414" s="149"/>
      <c r="V1414" s="149"/>
      <c r="W1414" s="149"/>
      <c r="X1414" s="149"/>
      <c r="Y1414" s="149"/>
      <c r="Z1414" s="149"/>
      <c r="AA1414" s="149"/>
      <c r="AB1414" s="149"/>
      <c r="AC1414" s="149"/>
      <c r="AD1414" s="149"/>
      <c r="AE1414" s="149"/>
      <c r="AF1414" s="149"/>
      <c r="AG1414" s="149"/>
      <c r="AH1414" s="149"/>
      <c r="AI1414" s="149"/>
      <c r="AJ1414" s="149"/>
      <c r="AK1414" s="149"/>
      <c r="AL1414" s="149"/>
      <c r="AM1414" s="149"/>
      <c r="AN1414" s="149"/>
      <c r="AO1414" s="149"/>
      <c r="AP1414" s="149"/>
    </row>
    <row r="1415" ht="18.75" customHeight="1">
      <c r="A1415" s="149"/>
      <c r="B1415" s="149"/>
      <c r="C1415" s="304"/>
      <c r="D1415" s="149"/>
      <c r="E1415" s="149"/>
      <c r="F1415" s="149"/>
      <c r="G1415" s="149"/>
      <c r="H1415" s="149"/>
      <c r="I1415" s="149"/>
      <c r="J1415" s="149"/>
      <c r="K1415" s="149"/>
      <c r="L1415" s="149"/>
      <c r="M1415" s="149"/>
      <c r="N1415" s="149"/>
      <c r="O1415" s="149"/>
      <c r="P1415" s="149"/>
      <c r="Q1415" s="149"/>
      <c r="R1415" s="149"/>
      <c r="S1415" s="149"/>
      <c r="T1415" s="149"/>
      <c r="U1415" s="149"/>
      <c r="V1415" s="149"/>
      <c r="W1415" s="149"/>
      <c r="X1415" s="149"/>
      <c r="Y1415" s="149"/>
      <c r="Z1415" s="149"/>
      <c r="AA1415" s="149"/>
      <c r="AB1415" s="149"/>
      <c r="AC1415" s="149"/>
      <c r="AD1415" s="149"/>
      <c r="AE1415" s="149"/>
      <c r="AF1415" s="149"/>
      <c r="AG1415" s="149"/>
      <c r="AH1415" s="149"/>
      <c r="AI1415" s="149"/>
      <c r="AJ1415" s="149"/>
      <c r="AK1415" s="149"/>
      <c r="AL1415" s="149"/>
      <c r="AM1415" s="149"/>
      <c r="AN1415" s="149"/>
      <c r="AO1415" s="149"/>
      <c r="AP1415" s="149"/>
    </row>
    <row r="1416" ht="18.75" customHeight="1">
      <c r="A1416" s="149"/>
      <c r="B1416" s="149"/>
      <c r="C1416" s="304"/>
      <c r="D1416" s="149"/>
      <c r="E1416" s="149"/>
      <c r="F1416" s="149"/>
      <c r="G1416" s="149"/>
      <c r="H1416" s="149"/>
      <c r="I1416" s="149"/>
      <c r="J1416" s="149"/>
      <c r="K1416" s="149"/>
      <c r="L1416" s="149"/>
      <c r="M1416" s="149"/>
      <c r="N1416" s="149"/>
      <c r="O1416" s="149"/>
      <c r="P1416" s="149"/>
      <c r="Q1416" s="149"/>
      <c r="R1416" s="149"/>
      <c r="S1416" s="149"/>
      <c r="T1416" s="149"/>
      <c r="U1416" s="149"/>
      <c r="V1416" s="149"/>
      <c r="W1416" s="149"/>
      <c r="X1416" s="149"/>
      <c r="Y1416" s="149"/>
      <c r="Z1416" s="149"/>
      <c r="AA1416" s="149"/>
      <c r="AB1416" s="149"/>
      <c r="AC1416" s="149"/>
      <c r="AD1416" s="149"/>
      <c r="AE1416" s="149"/>
      <c r="AF1416" s="149"/>
      <c r="AG1416" s="149"/>
      <c r="AH1416" s="149"/>
      <c r="AI1416" s="149"/>
      <c r="AJ1416" s="149"/>
      <c r="AK1416" s="149"/>
      <c r="AL1416" s="149"/>
      <c r="AM1416" s="149"/>
      <c r="AN1416" s="149"/>
      <c r="AO1416" s="149"/>
      <c r="AP1416" s="149"/>
    </row>
    <row r="1417" ht="18.75" customHeight="1">
      <c r="A1417" s="149"/>
      <c r="B1417" s="149"/>
      <c r="C1417" s="304"/>
      <c r="D1417" s="149"/>
      <c r="E1417" s="149"/>
      <c r="F1417" s="149"/>
      <c r="G1417" s="149"/>
      <c r="H1417" s="149"/>
      <c r="I1417" s="149"/>
      <c r="J1417" s="149"/>
      <c r="K1417" s="149"/>
      <c r="L1417" s="149"/>
      <c r="M1417" s="149"/>
      <c r="N1417" s="149"/>
      <c r="O1417" s="149"/>
      <c r="P1417" s="149"/>
      <c r="Q1417" s="149"/>
      <c r="R1417" s="149"/>
      <c r="S1417" s="149"/>
      <c r="T1417" s="149"/>
      <c r="U1417" s="149"/>
      <c r="V1417" s="149"/>
      <c r="W1417" s="149"/>
      <c r="X1417" s="149"/>
      <c r="Y1417" s="149"/>
      <c r="Z1417" s="149"/>
      <c r="AA1417" s="149"/>
      <c r="AB1417" s="149"/>
      <c r="AC1417" s="149"/>
      <c r="AD1417" s="149"/>
      <c r="AE1417" s="149"/>
      <c r="AF1417" s="149"/>
      <c r="AG1417" s="149"/>
      <c r="AH1417" s="149"/>
      <c r="AI1417" s="149"/>
      <c r="AJ1417" s="149"/>
      <c r="AK1417" s="149"/>
      <c r="AL1417" s="149"/>
      <c r="AM1417" s="149"/>
      <c r="AN1417" s="149"/>
      <c r="AO1417" s="149"/>
      <c r="AP1417" s="149"/>
    </row>
    <row r="1418" ht="18.75" customHeight="1">
      <c r="A1418" s="149"/>
      <c r="B1418" s="149"/>
      <c r="C1418" s="304"/>
      <c r="D1418" s="149"/>
      <c r="E1418" s="149"/>
      <c r="F1418" s="149"/>
      <c r="G1418" s="149"/>
      <c r="H1418" s="149"/>
      <c r="I1418" s="149"/>
      <c r="J1418" s="149"/>
      <c r="K1418" s="149"/>
      <c r="L1418" s="149"/>
      <c r="M1418" s="149"/>
      <c r="N1418" s="149"/>
      <c r="O1418" s="149"/>
      <c r="P1418" s="149"/>
      <c r="Q1418" s="149"/>
      <c r="R1418" s="149"/>
      <c r="S1418" s="149"/>
      <c r="T1418" s="149"/>
      <c r="U1418" s="149"/>
      <c r="V1418" s="149"/>
      <c r="W1418" s="149"/>
      <c r="X1418" s="149"/>
      <c r="Y1418" s="149"/>
      <c r="Z1418" s="149"/>
      <c r="AA1418" s="149"/>
      <c r="AB1418" s="149"/>
      <c r="AC1418" s="149"/>
      <c r="AD1418" s="149"/>
      <c r="AE1418" s="149"/>
      <c r="AF1418" s="149"/>
      <c r="AG1418" s="149"/>
      <c r="AH1418" s="149"/>
      <c r="AI1418" s="149"/>
      <c r="AJ1418" s="149"/>
      <c r="AK1418" s="149"/>
      <c r="AL1418" s="149"/>
      <c r="AM1418" s="149"/>
      <c r="AN1418" s="149"/>
      <c r="AO1418" s="149"/>
      <c r="AP1418" s="149"/>
    </row>
    <row r="1419" ht="18.75" customHeight="1">
      <c r="A1419" s="149"/>
      <c r="B1419" s="149"/>
      <c r="C1419" s="304"/>
      <c r="D1419" s="149"/>
      <c r="E1419" s="149"/>
      <c r="F1419" s="149"/>
      <c r="G1419" s="149"/>
      <c r="H1419" s="149"/>
      <c r="I1419" s="149"/>
      <c r="J1419" s="149"/>
      <c r="K1419" s="149"/>
      <c r="L1419" s="149"/>
      <c r="M1419" s="149"/>
      <c r="N1419" s="149"/>
      <c r="O1419" s="149"/>
      <c r="P1419" s="149"/>
      <c r="Q1419" s="149"/>
      <c r="R1419" s="149"/>
      <c r="S1419" s="149"/>
      <c r="T1419" s="149"/>
      <c r="U1419" s="149"/>
      <c r="V1419" s="149"/>
      <c r="W1419" s="149"/>
      <c r="X1419" s="149"/>
      <c r="Y1419" s="149"/>
      <c r="Z1419" s="149"/>
      <c r="AA1419" s="149"/>
      <c r="AB1419" s="149"/>
      <c r="AC1419" s="149"/>
      <c r="AD1419" s="149"/>
      <c r="AE1419" s="149"/>
      <c r="AF1419" s="149"/>
      <c r="AG1419" s="149"/>
      <c r="AH1419" s="149"/>
      <c r="AI1419" s="149"/>
      <c r="AJ1419" s="149"/>
      <c r="AK1419" s="149"/>
      <c r="AL1419" s="149"/>
      <c r="AM1419" s="149"/>
      <c r="AN1419" s="149"/>
      <c r="AO1419" s="149"/>
      <c r="AP1419" s="149"/>
    </row>
    <row r="1420" ht="18.75" customHeight="1">
      <c r="A1420" s="149"/>
      <c r="B1420" s="149"/>
      <c r="C1420" s="304"/>
      <c r="D1420" s="149"/>
      <c r="E1420" s="149"/>
      <c r="F1420" s="149"/>
      <c r="G1420" s="149"/>
      <c r="H1420" s="149"/>
      <c r="I1420" s="149"/>
      <c r="J1420" s="149"/>
      <c r="K1420" s="149"/>
      <c r="L1420" s="149"/>
      <c r="M1420" s="149"/>
      <c r="N1420" s="149"/>
      <c r="O1420" s="149"/>
      <c r="P1420" s="149"/>
      <c r="Q1420" s="149"/>
      <c r="R1420" s="149"/>
      <c r="S1420" s="149"/>
      <c r="T1420" s="149"/>
      <c r="U1420" s="149"/>
      <c r="V1420" s="149"/>
      <c r="W1420" s="149"/>
      <c r="X1420" s="149"/>
      <c r="Y1420" s="149"/>
      <c r="Z1420" s="149"/>
      <c r="AA1420" s="149"/>
      <c r="AB1420" s="149"/>
      <c r="AC1420" s="149"/>
      <c r="AD1420" s="149"/>
      <c r="AE1420" s="149"/>
      <c r="AF1420" s="149"/>
      <c r="AG1420" s="149"/>
      <c r="AH1420" s="149"/>
      <c r="AI1420" s="149"/>
      <c r="AJ1420" s="149"/>
      <c r="AK1420" s="149"/>
      <c r="AL1420" s="149"/>
      <c r="AM1420" s="149"/>
      <c r="AN1420" s="149"/>
      <c r="AO1420" s="149"/>
      <c r="AP1420" s="149"/>
    </row>
    <row r="1421" ht="18.75" customHeight="1">
      <c r="A1421" s="149"/>
      <c r="B1421" s="149"/>
      <c r="C1421" s="304"/>
      <c r="D1421" s="149"/>
      <c r="E1421" s="149"/>
      <c r="F1421" s="149"/>
      <c r="G1421" s="149"/>
      <c r="H1421" s="149"/>
      <c r="I1421" s="149"/>
      <c r="J1421" s="149"/>
      <c r="K1421" s="149"/>
      <c r="L1421" s="149"/>
      <c r="M1421" s="149"/>
      <c r="N1421" s="149"/>
      <c r="O1421" s="149"/>
      <c r="P1421" s="149"/>
      <c r="Q1421" s="149"/>
      <c r="R1421" s="149"/>
      <c r="S1421" s="149"/>
      <c r="T1421" s="149"/>
      <c r="U1421" s="149"/>
      <c r="V1421" s="149"/>
      <c r="W1421" s="149"/>
      <c r="X1421" s="149"/>
      <c r="Y1421" s="149"/>
      <c r="Z1421" s="149"/>
      <c r="AA1421" s="149"/>
      <c r="AB1421" s="149"/>
      <c r="AC1421" s="149"/>
      <c r="AD1421" s="149"/>
      <c r="AE1421" s="149"/>
      <c r="AF1421" s="149"/>
      <c r="AG1421" s="149"/>
      <c r="AH1421" s="149"/>
      <c r="AI1421" s="149"/>
      <c r="AJ1421" s="149"/>
      <c r="AK1421" s="149"/>
      <c r="AL1421" s="149"/>
      <c r="AM1421" s="149"/>
      <c r="AN1421" s="149"/>
      <c r="AO1421" s="149"/>
      <c r="AP1421" s="149"/>
    </row>
    <row r="1422" ht="18.75" customHeight="1">
      <c r="A1422" s="149"/>
      <c r="B1422" s="149"/>
      <c r="C1422" s="304"/>
      <c r="D1422" s="149"/>
      <c r="E1422" s="149"/>
      <c r="F1422" s="149"/>
      <c r="G1422" s="149"/>
      <c r="H1422" s="149"/>
      <c r="I1422" s="149"/>
      <c r="J1422" s="149"/>
      <c r="K1422" s="149"/>
      <c r="L1422" s="149"/>
      <c r="M1422" s="149"/>
      <c r="N1422" s="149"/>
      <c r="O1422" s="149"/>
      <c r="P1422" s="149"/>
      <c r="Q1422" s="149"/>
      <c r="R1422" s="149"/>
      <c r="S1422" s="149"/>
      <c r="T1422" s="149"/>
      <c r="U1422" s="149"/>
      <c r="V1422" s="149"/>
      <c r="W1422" s="149"/>
      <c r="X1422" s="149"/>
      <c r="Y1422" s="149"/>
      <c r="Z1422" s="149"/>
      <c r="AA1422" s="149"/>
      <c r="AB1422" s="149"/>
      <c r="AC1422" s="149"/>
      <c r="AD1422" s="149"/>
      <c r="AE1422" s="149"/>
      <c r="AF1422" s="149"/>
      <c r="AG1422" s="149"/>
      <c r="AH1422" s="149"/>
      <c r="AI1422" s="149"/>
      <c r="AJ1422" s="149"/>
      <c r="AK1422" s="149"/>
      <c r="AL1422" s="149"/>
      <c r="AM1422" s="149"/>
      <c r="AN1422" s="149"/>
      <c r="AO1422" s="149"/>
      <c r="AP1422" s="149"/>
    </row>
    <row r="1423" ht="18.75" customHeight="1">
      <c r="A1423" s="149"/>
      <c r="B1423" s="149"/>
      <c r="C1423" s="304"/>
      <c r="D1423" s="149"/>
      <c r="E1423" s="149"/>
      <c r="F1423" s="149"/>
      <c r="G1423" s="149"/>
      <c r="H1423" s="149"/>
      <c r="I1423" s="149"/>
      <c r="J1423" s="149"/>
      <c r="K1423" s="149"/>
      <c r="L1423" s="149"/>
      <c r="M1423" s="149"/>
      <c r="N1423" s="149"/>
      <c r="O1423" s="149"/>
      <c r="P1423" s="149"/>
      <c r="Q1423" s="149"/>
      <c r="R1423" s="149"/>
      <c r="S1423" s="149"/>
      <c r="T1423" s="149"/>
      <c r="U1423" s="149"/>
      <c r="V1423" s="149"/>
      <c r="W1423" s="149"/>
      <c r="X1423" s="149"/>
      <c r="Y1423" s="149"/>
      <c r="Z1423" s="149"/>
      <c r="AA1423" s="149"/>
      <c r="AB1423" s="149"/>
      <c r="AC1423" s="149"/>
      <c r="AD1423" s="149"/>
      <c r="AE1423" s="149"/>
      <c r="AF1423" s="149"/>
      <c r="AG1423" s="149"/>
      <c r="AH1423" s="149"/>
      <c r="AI1423" s="149"/>
      <c r="AJ1423" s="149"/>
      <c r="AK1423" s="149"/>
      <c r="AL1423" s="149"/>
      <c r="AM1423" s="149"/>
      <c r="AN1423" s="149"/>
      <c r="AO1423" s="149"/>
      <c r="AP1423" s="149"/>
    </row>
    <row r="1424" ht="18.75" customHeight="1">
      <c r="A1424" s="149"/>
      <c r="B1424" s="149"/>
      <c r="C1424" s="304"/>
      <c r="D1424" s="149"/>
      <c r="E1424" s="149"/>
      <c r="F1424" s="149"/>
      <c r="G1424" s="149"/>
      <c r="H1424" s="149"/>
      <c r="I1424" s="149"/>
      <c r="J1424" s="149"/>
      <c r="K1424" s="149"/>
      <c r="L1424" s="149"/>
      <c r="M1424" s="149"/>
      <c r="N1424" s="149"/>
      <c r="O1424" s="149"/>
      <c r="P1424" s="149"/>
      <c r="Q1424" s="149"/>
      <c r="R1424" s="149"/>
      <c r="S1424" s="149"/>
      <c r="T1424" s="149"/>
      <c r="U1424" s="149"/>
      <c r="V1424" s="149"/>
      <c r="W1424" s="149"/>
      <c r="X1424" s="149"/>
      <c r="Y1424" s="149"/>
      <c r="Z1424" s="149"/>
      <c r="AA1424" s="149"/>
      <c r="AB1424" s="149"/>
      <c r="AC1424" s="149"/>
      <c r="AD1424" s="149"/>
      <c r="AE1424" s="149"/>
      <c r="AF1424" s="149"/>
      <c r="AG1424" s="149"/>
      <c r="AH1424" s="149"/>
      <c r="AI1424" s="149"/>
      <c r="AJ1424" s="149"/>
      <c r="AK1424" s="149"/>
      <c r="AL1424" s="149"/>
      <c r="AM1424" s="149"/>
      <c r="AN1424" s="149"/>
      <c r="AO1424" s="149"/>
      <c r="AP1424" s="149"/>
    </row>
    <row r="1425" ht="18.75" customHeight="1">
      <c r="A1425" s="149"/>
      <c r="B1425" s="149"/>
      <c r="C1425" s="304"/>
      <c r="D1425" s="149"/>
      <c r="E1425" s="149"/>
      <c r="F1425" s="149"/>
      <c r="G1425" s="149"/>
      <c r="H1425" s="149"/>
      <c r="I1425" s="149"/>
      <c r="J1425" s="149"/>
      <c r="K1425" s="149"/>
      <c r="L1425" s="149"/>
      <c r="M1425" s="149"/>
      <c r="N1425" s="149"/>
      <c r="O1425" s="149"/>
      <c r="P1425" s="149"/>
      <c r="Q1425" s="149"/>
      <c r="R1425" s="149"/>
      <c r="S1425" s="149"/>
      <c r="T1425" s="149"/>
      <c r="U1425" s="149"/>
      <c r="V1425" s="149"/>
      <c r="W1425" s="149"/>
      <c r="X1425" s="149"/>
      <c r="Y1425" s="149"/>
      <c r="Z1425" s="149"/>
      <c r="AA1425" s="149"/>
      <c r="AB1425" s="149"/>
      <c r="AC1425" s="149"/>
      <c r="AD1425" s="149"/>
      <c r="AE1425" s="149"/>
      <c r="AF1425" s="149"/>
      <c r="AG1425" s="149"/>
      <c r="AH1425" s="149"/>
      <c r="AI1425" s="149"/>
      <c r="AJ1425" s="149"/>
      <c r="AK1425" s="149"/>
      <c r="AL1425" s="149"/>
      <c r="AM1425" s="149"/>
      <c r="AN1425" s="149"/>
      <c r="AO1425" s="149"/>
      <c r="AP1425" s="149"/>
    </row>
    <row r="1426" ht="18.75" customHeight="1">
      <c r="A1426" s="149"/>
      <c r="B1426" s="149"/>
      <c r="C1426" s="304"/>
      <c r="D1426" s="149"/>
      <c r="E1426" s="149"/>
      <c r="F1426" s="149"/>
      <c r="G1426" s="149"/>
      <c r="H1426" s="149"/>
      <c r="I1426" s="149"/>
      <c r="J1426" s="149"/>
      <c r="K1426" s="149"/>
      <c r="L1426" s="149"/>
      <c r="M1426" s="149"/>
      <c r="N1426" s="149"/>
      <c r="O1426" s="149"/>
      <c r="P1426" s="149"/>
      <c r="Q1426" s="149"/>
      <c r="R1426" s="149"/>
      <c r="S1426" s="149"/>
      <c r="T1426" s="149"/>
      <c r="U1426" s="149"/>
      <c r="V1426" s="149"/>
      <c r="W1426" s="149"/>
      <c r="X1426" s="149"/>
      <c r="Y1426" s="149"/>
      <c r="Z1426" s="149"/>
      <c r="AA1426" s="149"/>
      <c r="AB1426" s="149"/>
      <c r="AC1426" s="149"/>
      <c r="AD1426" s="149"/>
      <c r="AE1426" s="149"/>
      <c r="AF1426" s="149"/>
      <c r="AG1426" s="149"/>
      <c r="AH1426" s="149"/>
      <c r="AI1426" s="149"/>
      <c r="AJ1426" s="149"/>
      <c r="AK1426" s="149"/>
      <c r="AL1426" s="149"/>
      <c r="AM1426" s="149"/>
      <c r="AN1426" s="149"/>
      <c r="AO1426" s="149"/>
      <c r="AP1426" s="149"/>
    </row>
    <row r="1427" ht="18.75" customHeight="1">
      <c r="A1427" s="149"/>
      <c r="B1427" s="149"/>
      <c r="C1427" s="304"/>
      <c r="D1427" s="149"/>
      <c r="E1427" s="149"/>
      <c r="F1427" s="149"/>
      <c r="G1427" s="149"/>
      <c r="H1427" s="149"/>
      <c r="I1427" s="149"/>
      <c r="J1427" s="149"/>
      <c r="K1427" s="149"/>
      <c r="L1427" s="149"/>
      <c r="M1427" s="149"/>
      <c r="N1427" s="149"/>
      <c r="O1427" s="149"/>
      <c r="P1427" s="149"/>
      <c r="Q1427" s="149"/>
      <c r="R1427" s="149"/>
      <c r="S1427" s="149"/>
      <c r="T1427" s="149"/>
      <c r="U1427" s="149"/>
      <c r="V1427" s="149"/>
      <c r="W1427" s="149"/>
      <c r="X1427" s="149"/>
      <c r="Y1427" s="149"/>
      <c r="Z1427" s="149"/>
      <c r="AA1427" s="149"/>
      <c r="AB1427" s="149"/>
      <c r="AC1427" s="149"/>
      <c r="AD1427" s="149"/>
      <c r="AE1427" s="149"/>
      <c r="AF1427" s="149"/>
      <c r="AG1427" s="149"/>
      <c r="AH1427" s="149"/>
      <c r="AI1427" s="149"/>
      <c r="AJ1427" s="149"/>
      <c r="AK1427" s="149"/>
      <c r="AL1427" s="149"/>
      <c r="AM1427" s="149"/>
      <c r="AN1427" s="149"/>
      <c r="AO1427" s="149"/>
      <c r="AP1427" s="149"/>
    </row>
    <row r="1428" ht="18.75" customHeight="1">
      <c r="A1428" s="149"/>
      <c r="B1428" s="149"/>
      <c r="C1428" s="304"/>
      <c r="D1428" s="149"/>
      <c r="E1428" s="149"/>
      <c r="F1428" s="149"/>
      <c r="G1428" s="149"/>
      <c r="H1428" s="149"/>
      <c r="I1428" s="149"/>
      <c r="J1428" s="149"/>
      <c r="K1428" s="149"/>
      <c r="L1428" s="149"/>
      <c r="M1428" s="149"/>
      <c r="N1428" s="149"/>
      <c r="O1428" s="149"/>
      <c r="P1428" s="149"/>
      <c r="Q1428" s="149"/>
      <c r="R1428" s="149"/>
      <c r="S1428" s="149"/>
      <c r="T1428" s="149"/>
      <c r="U1428" s="149"/>
      <c r="V1428" s="149"/>
      <c r="W1428" s="149"/>
      <c r="X1428" s="149"/>
      <c r="Y1428" s="149"/>
      <c r="Z1428" s="149"/>
      <c r="AA1428" s="149"/>
      <c r="AB1428" s="149"/>
      <c r="AC1428" s="149"/>
      <c r="AD1428" s="149"/>
      <c r="AE1428" s="149"/>
      <c r="AF1428" s="149"/>
      <c r="AG1428" s="149"/>
      <c r="AH1428" s="149"/>
      <c r="AI1428" s="149"/>
      <c r="AJ1428" s="149"/>
      <c r="AK1428" s="149"/>
      <c r="AL1428" s="149"/>
      <c r="AM1428" s="149"/>
      <c r="AN1428" s="149"/>
      <c r="AO1428" s="149"/>
      <c r="AP1428" s="149"/>
    </row>
    <row r="1429" ht="18.75" customHeight="1">
      <c r="A1429" s="149"/>
      <c r="B1429" s="149"/>
      <c r="C1429" s="304"/>
      <c r="D1429" s="149"/>
      <c r="E1429" s="149"/>
      <c r="F1429" s="149"/>
      <c r="G1429" s="149"/>
      <c r="H1429" s="149"/>
      <c r="I1429" s="149"/>
      <c r="J1429" s="149"/>
      <c r="K1429" s="149"/>
      <c r="L1429" s="149"/>
      <c r="M1429" s="149"/>
      <c r="N1429" s="149"/>
      <c r="O1429" s="149"/>
      <c r="P1429" s="149"/>
      <c r="Q1429" s="149"/>
      <c r="R1429" s="149"/>
      <c r="S1429" s="149"/>
      <c r="T1429" s="149"/>
      <c r="U1429" s="149"/>
      <c r="V1429" s="149"/>
      <c r="W1429" s="149"/>
      <c r="X1429" s="149"/>
      <c r="Y1429" s="149"/>
      <c r="Z1429" s="149"/>
      <c r="AA1429" s="149"/>
      <c r="AB1429" s="149"/>
      <c r="AC1429" s="149"/>
      <c r="AD1429" s="149"/>
      <c r="AE1429" s="149"/>
      <c r="AF1429" s="149"/>
      <c r="AG1429" s="149"/>
      <c r="AH1429" s="149"/>
      <c r="AI1429" s="149"/>
      <c r="AJ1429" s="149"/>
      <c r="AK1429" s="149"/>
      <c r="AL1429" s="149"/>
      <c r="AM1429" s="149"/>
      <c r="AN1429" s="149"/>
      <c r="AO1429" s="149"/>
      <c r="AP1429" s="149"/>
    </row>
    <row r="1430" ht="18.75" customHeight="1">
      <c r="A1430" s="149"/>
      <c r="B1430" s="149"/>
      <c r="C1430" s="304"/>
      <c r="D1430" s="149"/>
      <c r="E1430" s="149"/>
      <c r="F1430" s="149"/>
      <c r="G1430" s="149"/>
      <c r="H1430" s="149"/>
      <c r="I1430" s="149"/>
      <c r="J1430" s="149"/>
      <c r="K1430" s="149"/>
      <c r="L1430" s="149"/>
      <c r="M1430" s="149"/>
      <c r="N1430" s="149"/>
      <c r="O1430" s="149"/>
      <c r="P1430" s="149"/>
      <c r="Q1430" s="149"/>
      <c r="R1430" s="149"/>
      <c r="S1430" s="149"/>
      <c r="T1430" s="149"/>
      <c r="U1430" s="149"/>
      <c r="V1430" s="149"/>
      <c r="W1430" s="149"/>
      <c r="X1430" s="149"/>
      <c r="Y1430" s="149"/>
      <c r="Z1430" s="149"/>
      <c r="AA1430" s="149"/>
      <c r="AB1430" s="149"/>
      <c r="AC1430" s="149"/>
      <c r="AD1430" s="149"/>
      <c r="AE1430" s="149"/>
      <c r="AF1430" s="149"/>
      <c r="AG1430" s="149"/>
      <c r="AH1430" s="149"/>
      <c r="AI1430" s="149"/>
      <c r="AJ1430" s="149"/>
      <c r="AK1430" s="149"/>
      <c r="AL1430" s="149"/>
      <c r="AM1430" s="149"/>
      <c r="AN1430" s="149"/>
      <c r="AO1430" s="149"/>
      <c r="AP1430" s="149"/>
    </row>
    <row r="1431" ht="18.75" customHeight="1">
      <c r="A1431" s="149"/>
      <c r="B1431" s="149"/>
      <c r="C1431" s="304"/>
      <c r="D1431" s="149"/>
      <c r="E1431" s="149"/>
      <c r="F1431" s="149"/>
      <c r="G1431" s="149"/>
      <c r="H1431" s="149"/>
      <c r="I1431" s="149"/>
      <c r="J1431" s="149"/>
      <c r="K1431" s="149"/>
      <c r="L1431" s="149"/>
      <c r="M1431" s="149"/>
      <c r="N1431" s="149"/>
      <c r="O1431" s="149"/>
      <c r="P1431" s="149"/>
      <c r="Q1431" s="149"/>
      <c r="R1431" s="149"/>
      <c r="S1431" s="149"/>
      <c r="T1431" s="149"/>
      <c r="U1431" s="149"/>
      <c r="V1431" s="149"/>
      <c r="W1431" s="149"/>
      <c r="X1431" s="149"/>
      <c r="Y1431" s="149"/>
      <c r="Z1431" s="149"/>
      <c r="AA1431" s="149"/>
      <c r="AB1431" s="149"/>
      <c r="AC1431" s="149"/>
      <c r="AD1431" s="149"/>
      <c r="AE1431" s="149"/>
      <c r="AF1431" s="149"/>
      <c r="AG1431" s="149"/>
      <c r="AH1431" s="149"/>
      <c r="AI1431" s="149"/>
      <c r="AJ1431" s="149"/>
      <c r="AK1431" s="149"/>
      <c r="AL1431" s="149"/>
      <c r="AM1431" s="149"/>
      <c r="AN1431" s="149"/>
      <c r="AO1431" s="149"/>
      <c r="AP1431" s="149"/>
    </row>
    <row r="1432" ht="18.75" customHeight="1">
      <c r="A1432" s="149"/>
      <c r="B1432" s="149"/>
      <c r="C1432" s="304"/>
      <c r="D1432" s="149"/>
      <c r="E1432" s="149"/>
      <c r="F1432" s="149"/>
      <c r="G1432" s="149"/>
      <c r="H1432" s="149"/>
      <c r="I1432" s="149"/>
      <c r="J1432" s="149"/>
      <c r="K1432" s="149"/>
      <c r="L1432" s="149"/>
      <c r="M1432" s="149"/>
      <c r="N1432" s="149"/>
      <c r="O1432" s="149"/>
      <c r="P1432" s="149"/>
      <c r="Q1432" s="149"/>
      <c r="R1432" s="149"/>
      <c r="S1432" s="149"/>
      <c r="T1432" s="149"/>
      <c r="U1432" s="149"/>
      <c r="V1432" s="149"/>
      <c r="W1432" s="149"/>
      <c r="X1432" s="149"/>
      <c r="Y1432" s="149"/>
      <c r="Z1432" s="149"/>
      <c r="AA1432" s="149"/>
      <c r="AB1432" s="149"/>
      <c r="AC1432" s="149"/>
      <c r="AD1432" s="149"/>
      <c r="AE1432" s="149"/>
      <c r="AF1432" s="149"/>
      <c r="AG1432" s="149"/>
      <c r="AH1432" s="149"/>
      <c r="AI1432" s="149"/>
      <c r="AJ1432" s="149"/>
      <c r="AK1432" s="149"/>
      <c r="AL1432" s="149"/>
      <c r="AM1432" s="149"/>
      <c r="AN1432" s="149"/>
      <c r="AO1432" s="149"/>
      <c r="AP1432" s="149"/>
    </row>
    <row r="1433" ht="18.75" customHeight="1">
      <c r="A1433" s="149"/>
      <c r="B1433" s="149"/>
      <c r="C1433" s="304"/>
      <c r="D1433" s="149"/>
      <c r="E1433" s="149"/>
      <c r="F1433" s="149"/>
      <c r="G1433" s="149"/>
      <c r="H1433" s="149"/>
      <c r="I1433" s="149"/>
      <c r="J1433" s="149"/>
      <c r="K1433" s="149"/>
      <c r="L1433" s="149"/>
      <c r="M1433" s="149"/>
      <c r="N1433" s="149"/>
      <c r="O1433" s="149"/>
      <c r="P1433" s="149"/>
      <c r="Q1433" s="149"/>
      <c r="R1433" s="149"/>
      <c r="S1433" s="149"/>
      <c r="T1433" s="149"/>
      <c r="U1433" s="149"/>
      <c r="V1433" s="149"/>
      <c r="W1433" s="149"/>
      <c r="X1433" s="149"/>
      <c r="Y1433" s="149"/>
      <c r="Z1433" s="149"/>
      <c r="AA1433" s="149"/>
      <c r="AB1433" s="149"/>
      <c r="AC1433" s="149"/>
      <c r="AD1433" s="149"/>
      <c r="AE1433" s="149"/>
      <c r="AF1433" s="149"/>
      <c r="AG1433" s="149"/>
      <c r="AH1433" s="149"/>
      <c r="AI1433" s="149"/>
      <c r="AJ1433" s="149"/>
      <c r="AK1433" s="149"/>
      <c r="AL1433" s="149"/>
      <c r="AM1433" s="149"/>
      <c r="AN1433" s="149"/>
      <c r="AO1433" s="149"/>
      <c r="AP1433" s="149"/>
    </row>
    <row r="1434" ht="18.75" customHeight="1">
      <c r="A1434" s="149"/>
      <c r="B1434" s="149"/>
      <c r="C1434" s="304"/>
      <c r="D1434" s="149"/>
      <c r="E1434" s="149"/>
      <c r="F1434" s="149"/>
      <c r="G1434" s="149"/>
      <c r="H1434" s="149"/>
      <c r="I1434" s="149"/>
      <c r="J1434" s="149"/>
      <c r="K1434" s="149"/>
      <c r="L1434" s="149"/>
      <c r="M1434" s="149"/>
      <c r="N1434" s="149"/>
      <c r="O1434" s="149"/>
      <c r="P1434" s="149"/>
      <c r="Q1434" s="149"/>
      <c r="R1434" s="149"/>
      <c r="S1434" s="149"/>
      <c r="T1434" s="149"/>
      <c r="U1434" s="149"/>
      <c r="V1434" s="149"/>
      <c r="W1434" s="149"/>
      <c r="X1434" s="149"/>
      <c r="Y1434" s="149"/>
      <c r="Z1434" s="149"/>
      <c r="AA1434" s="149"/>
      <c r="AB1434" s="149"/>
      <c r="AC1434" s="149"/>
      <c r="AD1434" s="149"/>
      <c r="AE1434" s="149"/>
      <c r="AF1434" s="149"/>
      <c r="AG1434" s="149"/>
      <c r="AH1434" s="149"/>
      <c r="AI1434" s="149"/>
      <c r="AJ1434" s="149"/>
      <c r="AK1434" s="149"/>
      <c r="AL1434" s="149"/>
      <c r="AM1434" s="149"/>
      <c r="AN1434" s="149"/>
      <c r="AO1434" s="149"/>
      <c r="AP1434" s="149"/>
    </row>
    <row r="1435" ht="18.75" customHeight="1">
      <c r="A1435" s="149"/>
      <c r="B1435" s="149"/>
      <c r="C1435" s="304"/>
      <c r="D1435" s="149"/>
      <c r="E1435" s="149"/>
      <c r="F1435" s="149"/>
      <c r="G1435" s="149"/>
      <c r="H1435" s="149"/>
      <c r="I1435" s="149"/>
      <c r="J1435" s="149"/>
      <c r="K1435" s="149"/>
      <c r="L1435" s="149"/>
      <c r="M1435" s="149"/>
      <c r="N1435" s="149"/>
      <c r="O1435" s="149"/>
      <c r="P1435" s="149"/>
      <c r="Q1435" s="149"/>
      <c r="R1435" s="149"/>
      <c r="S1435" s="149"/>
      <c r="T1435" s="149"/>
      <c r="U1435" s="149"/>
      <c r="V1435" s="149"/>
      <c r="W1435" s="149"/>
      <c r="X1435" s="149"/>
      <c r="Y1435" s="149"/>
      <c r="Z1435" s="149"/>
      <c r="AA1435" s="149"/>
      <c r="AB1435" s="149"/>
      <c r="AC1435" s="149"/>
      <c r="AD1435" s="149"/>
      <c r="AE1435" s="149"/>
      <c r="AF1435" s="149"/>
      <c r="AG1435" s="149"/>
      <c r="AH1435" s="149"/>
      <c r="AI1435" s="149"/>
      <c r="AJ1435" s="149"/>
      <c r="AK1435" s="149"/>
      <c r="AL1435" s="149"/>
      <c r="AM1435" s="149"/>
      <c r="AN1435" s="149"/>
      <c r="AO1435" s="149"/>
      <c r="AP1435" s="149"/>
    </row>
    <row r="1436" ht="18.75" customHeight="1">
      <c r="A1436" s="149"/>
      <c r="B1436" s="149"/>
      <c r="C1436" s="304"/>
      <c r="D1436" s="149"/>
      <c r="E1436" s="149"/>
      <c r="F1436" s="149"/>
      <c r="G1436" s="149"/>
      <c r="H1436" s="149"/>
      <c r="I1436" s="149"/>
      <c r="J1436" s="149"/>
      <c r="K1436" s="149"/>
      <c r="L1436" s="149"/>
      <c r="M1436" s="149"/>
      <c r="N1436" s="149"/>
      <c r="O1436" s="149"/>
      <c r="P1436" s="149"/>
      <c r="Q1436" s="149"/>
      <c r="R1436" s="149"/>
      <c r="S1436" s="149"/>
      <c r="T1436" s="149"/>
      <c r="U1436" s="149"/>
      <c r="V1436" s="149"/>
      <c r="W1436" s="149"/>
      <c r="X1436" s="149"/>
      <c r="Y1436" s="149"/>
      <c r="Z1436" s="149"/>
      <c r="AA1436" s="149"/>
      <c r="AB1436" s="149"/>
      <c r="AC1436" s="149"/>
      <c r="AD1436" s="149"/>
      <c r="AE1436" s="149"/>
      <c r="AF1436" s="149"/>
      <c r="AG1436" s="149"/>
      <c r="AH1436" s="149"/>
      <c r="AI1436" s="149"/>
      <c r="AJ1436" s="149"/>
      <c r="AK1436" s="149"/>
      <c r="AL1436" s="149"/>
      <c r="AM1436" s="149"/>
      <c r="AN1436" s="149"/>
      <c r="AO1436" s="149"/>
      <c r="AP1436" s="149"/>
    </row>
    <row r="1437" ht="18.75" customHeight="1">
      <c r="A1437" s="149"/>
      <c r="B1437" s="149"/>
      <c r="C1437" s="304"/>
      <c r="D1437" s="149"/>
      <c r="E1437" s="149"/>
      <c r="F1437" s="149"/>
      <c r="G1437" s="149"/>
      <c r="H1437" s="149"/>
      <c r="I1437" s="149"/>
      <c r="J1437" s="149"/>
      <c r="K1437" s="149"/>
      <c r="L1437" s="149"/>
      <c r="M1437" s="149"/>
      <c r="N1437" s="149"/>
      <c r="O1437" s="149"/>
      <c r="P1437" s="149"/>
      <c r="Q1437" s="149"/>
      <c r="R1437" s="149"/>
      <c r="S1437" s="149"/>
      <c r="T1437" s="149"/>
      <c r="U1437" s="149"/>
      <c r="V1437" s="149"/>
      <c r="W1437" s="149"/>
      <c r="X1437" s="149"/>
      <c r="Y1437" s="149"/>
      <c r="Z1437" s="149"/>
      <c r="AA1437" s="149"/>
      <c r="AB1437" s="149"/>
      <c r="AC1437" s="149"/>
      <c r="AD1437" s="149"/>
      <c r="AE1437" s="149"/>
      <c r="AF1437" s="149"/>
      <c r="AG1437" s="149"/>
      <c r="AH1437" s="149"/>
      <c r="AI1437" s="149"/>
      <c r="AJ1437" s="149"/>
      <c r="AK1437" s="149"/>
      <c r="AL1437" s="149"/>
      <c r="AM1437" s="149"/>
      <c r="AN1437" s="149"/>
      <c r="AO1437" s="149"/>
      <c r="AP1437" s="149"/>
    </row>
    <row r="1438" ht="18.75" customHeight="1">
      <c r="A1438" s="149"/>
      <c r="B1438" s="149"/>
      <c r="C1438" s="304"/>
      <c r="D1438" s="149"/>
      <c r="E1438" s="149"/>
      <c r="F1438" s="149"/>
      <c r="G1438" s="149"/>
      <c r="H1438" s="149"/>
      <c r="I1438" s="149"/>
      <c r="J1438" s="149"/>
      <c r="K1438" s="149"/>
      <c r="L1438" s="149"/>
      <c r="M1438" s="149"/>
      <c r="N1438" s="149"/>
      <c r="O1438" s="149"/>
      <c r="P1438" s="149"/>
      <c r="Q1438" s="149"/>
      <c r="R1438" s="149"/>
      <c r="S1438" s="149"/>
      <c r="T1438" s="149"/>
      <c r="U1438" s="149"/>
      <c r="V1438" s="149"/>
      <c r="W1438" s="149"/>
      <c r="X1438" s="149"/>
      <c r="Y1438" s="149"/>
      <c r="Z1438" s="149"/>
      <c r="AA1438" s="149"/>
      <c r="AB1438" s="149"/>
      <c r="AC1438" s="149"/>
      <c r="AD1438" s="149"/>
      <c r="AE1438" s="149"/>
      <c r="AF1438" s="149"/>
      <c r="AG1438" s="149"/>
      <c r="AH1438" s="149"/>
      <c r="AI1438" s="149"/>
      <c r="AJ1438" s="149"/>
      <c r="AK1438" s="149"/>
      <c r="AL1438" s="149"/>
      <c r="AM1438" s="149"/>
      <c r="AN1438" s="149"/>
      <c r="AO1438" s="149"/>
      <c r="AP1438" s="149"/>
    </row>
    <row r="1439" ht="18.75" customHeight="1">
      <c r="A1439" s="149"/>
      <c r="B1439" s="149"/>
      <c r="C1439" s="304"/>
      <c r="D1439" s="149"/>
      <c r="E1439" s="149"/>
      <c r="F1439" s="149"/>
      <c r="G1439" s="149"/>
      <c r="H1439" s="149"/>
      <c r="I1439" s="149"/>
      <c r="J1439" s="149"/>
      <c r="K1439" s="149"/>
      <c r="L1439" s="149"/>
      <c r="M1439" s="149"/>
      <c r="N1439" s="149"/>
      <c r="O1439" s="149"/>
      <c r="P1439" s="149"/>
      <c r="Q1439" s="149"/>
      <c r="R1439" s="149"/>
      <c r="S1439" s="149"/>
      <c r="T1439" s="149"/>
      <c r="U1439" s="149"/>
      <c r="V1439" s="149"/>
      <c r="W1439" s="149"/>
      <c r="X1439" s="149"/>
      <c r="Y1439" s="149"/>
      <c r="Z1439" s="149"/>
      <c r="AA1439" s="149"/>
      <c r="AB1439" s="149"/>
      <c r="AC1439" s="149"/>
      <c r="AD1439" s="149"/>
      <c r="AE1439" s="149"/>
      <c r="AF1439" s="149"/>
      <c r="AG1439" s="149"/>
      <c r="AH1439" s="149"/>
      <c r="AI1439" s="149"/>
      <c r="AJ1439" s="149"/>
      <c r="AK1439" s="149"/>
      <c r="AL1439" s="149"/>
      <c r="AM1439" s="149"/>
      <c r="AN1439" s="149"/>
      <c r="AO1439" s="149"/>
      <c r="AP1439" s="149"/>
    </row>
    <row r="1440" ht="18.75" customHeight="1">
      <c r="A1440" s="149"/>
      <c r="B1440" s="149"/>
      <c r="C1440" s="304"/>
      <c r="D1440" s="149"/>
      <c r="E1440" s="149"/>
      <c r="F1440" s="149"/>
      <c r="G1440" s="149"/>
      <c r="H1440" s="149"/>
      <c r="I1440" s="149"/>
      <c r="J1440" s="149"/>
      <c r="K1440" s="149"/>
      <c r="L1440" s="149"/>
      <c r="M1440" s="149"/>
      <c r="N1440" s="149"/>
      <c r="O1440" s="149"/>
      <c r="P1440" s="149"/>
      <c r="Q1440" s="149"/>
      <c r="R1440" s="149"/>
      <c r="S1440" s="149"/>
      <c r="T1440" s="149"/>
      <c r="U1440" s="149"/>
      <c r="V1440" s="149"/>
      <c r="W1440" s="149"/>
      <c r="X1440" s="149"/>
      <c r="Y1440" s="149"/>
      <c r="Z1440" s="149"/>
      <c r="AA1440" s="149"/>
      <c r="AB1440" s="149"/>
      <c r="AC1440" s="149"/>
      <c r="AD1440" s="149"/>
      <c r="AE1440" s="149"/>
      <c r="AF1440" s="149"/>
      <c r="AG1440" s="149"/>
      <c r="AH1440" s="149"/>
      <c r="AI1440" s="149"/>
      <c r="AJ1440" s="149"/>
      <c r="AK1440" s="149"/>
      <c r="AL1440" s="149"/>
      <c r="AM1440" s="149"/>
      <c r="AN1440" s="149"/>
      <c r="AO1440" s="149"/>
      <c r="AP1440" s="149"/>
    </row>
    <row r="1441" ht="18.75" customHeight="1">
      <c r="A1441" s="149"/>
      <c r="B1441" s="149"/>
      <c r="C1441" s="304"/>
      <c r="D1441" s="149"/>
      <c r="E1441" s="149"/>
      <c r="F1441" s="149"/>
      <c r="G1441" s="149"/>
      <c r="H1441" s="149"/>
      <c r="I1441" s="149"/>
      <c r="J1441" s="149"/>
      <c r="K1441" s="149"/>
      <c r="L1441" s="149"/>
      <c r="M1441" s="149"/>
      <c r="N1441" s="149"/>
      <c r="O1441" s="149"/>
      <c r="P1441" s="149"/>
      <c r="Q1441" s="149"/>
      <c r="R1441" s="149"/>
      <c r="S1441" s="149"/>
      <c r="T1441" s="149"/>
      <c r="U1441" s="149"/>
      <c r="V1441" s="149"/>
      <c r="W1441" s="149"/>
      <c r="X1441" s="149"/>
      <c r="Y1441" s="149"/>
      <c r="Z1441" s="149"/>
      <c r="AA1441" s="149"/>
      <c r="AB1441" s="149"/>
      <c r="AC1441" s="149"/>
      <c r="AD1441" s="149"/>
      <c r="AE1441" s="149"/>
      <c r="AF1441" s="149"/>
      <c r="AG1441" s="149"/>
      <c r="AH1441" s="149"/>
      <c r="AI1441" s="149"/>
      <c r="AJ1441" s="149"/>
      <c r="AK1441" s="149"/>
      <c r="AL1441" s="149"/>
      <c r="AM1441" s="149"/>
      <c r="AN1441" s="149"/>
      <c r="AO1441" s="149"/>
      <c r="AP1441" s="149"/>
    </row>
    <row r="1442" ht="18.75" customHeight="1">
      <c r="A1442" s="149"/>
      <c r="B1442" s="149"/>
      <c r="C1442" s="304"/>
      <c r="D1442" s="149"/>
      <c r="E1442" s="149"/>
      <c r="F1442" s="149"/>
      <c r="G1442" s="149"/>
      <c r="H1442" s="149"/>
      <c r="I1442" s="149"/>
      <c r="J1442" s="149"/>
      <c r="K1442" s="149"/>
      <c r="L1442" s="149"/>
      <c r="M1442" s="149"/>
      <c r="N1442" s="149"/>
      <c r="O1442" s="149"/>
      <c r="P1442" s="149"/>
      <c r="Q1442" s="149"/>
      <c r="R1442" s="149"/>
      <c r="S1442" s="149"/>
      <c r="T1442" s="149"/>
      <c r="U1442" s="149"/>
      <c r="V1442" s="149"/>
      <c r="W1442" s="149"/>
      <c r="X1442" s="149"/>
      <c r="Y1442" s="149"/>
      <c r="Z1442" s="149"/>
      <c r="AA1442" s="149"/>
      <c r="AB1442" s="149"/>
      <c r="AC1442" s="149"/>
      <c r="AD1442" s="149"/>
      <c r="AE1442" s="149"/>
      <c r="AF1442" s="149"/>
      <c r="AG1442" s="149"/>
      <c r="AH1442" s="149"/>
      <c r="AI1442" s="149"/>
      <c r="AJ1442" s="149"/>
      <c r="AK1442" s="149"/>
      <c r="AL1442" s="149"/>
      <c r="AM1442" s="149"/>
      <c r="AN1442" s="149"/>
      <c r="AO1442" s="149"/>
      <c r="AP1442" s="149"/>
    </row>
    <row r="1443" ht="18.75" customHeight="1">
      <c r="A1443" s="149"/>
      <c r="B1443" s="149"/>
      <c r="C1443" s="304"/>
      <c r="D1443" s="149"/>
      <c r="E1443" s="149"/>
      <c r="F1443" s="149"/>
      <c r="G1443" s="149"/>
      <c r="H1443" s="149"/>
      <c r="I1443" s="149"/>
      <c r="J1443" s="149"/>
      <c r="K1443" s="149"/>
      <c r="L1443" s="149"/>
      <c r="M1443" s="149"/>
      <c r="N1443" s="149"/>
      <c r="O1443" s="149"/>
      <c r="P1443" s="149"/>
      <c r="Q1443" s="149"/>
      <c r="R1443" s="149"/>
      <c r="S1443" s="149"/>
      <c r="T1443" s="149"/>
      <c r="U1443" s="149"/>
      <c r="V1443" s="149"/>
      <c r="W1443" s="149"/>
      <c r="X1443" s="149"/>
      <c r="Y1443" s="149"/>
      <c r="Z1443" s="149"/>
      <c r="AA1443" s="149"/>
      <c r="AB1443" s="149"/>
      <c r="AC1443" s="149"/>
      <c r="AD1443" s="149"/>
      <c r="AE1443" s="149"/>
      <c r="AF1443" s="149"/>
      <c r="AG1443" s="149"/>
      <c r="AH1443" s="149"/>
      <c r="AI1443" s="149"/>
      <c r="AJ1443" s="149"/>
      <c r="AK1443" s="149"/>
      <c r="AL1443" s="149"/>
      <c r="AM1443" s="149"/>
      <c r="AN1443" s="149"/>
      <c r="AO1443" s="149"/>
      <c r="AP1443" s="149"/>
    </row>
    <row r="1444" ht="18.75" customHeight="1">
      <c r="A1444" s="149"/>
      <c r="B1444" s="149"/>
      <c r="C1444" s="304"/>
      <c r="D1444" s="149"/>
      <c r="E1444" s="149"/>
      <c r="F1444" s="149"/>
      <c r="G1444" s="149"/>
      <c r="H1444" s="149"/>
      <c r="I1444" s="149"/>
      <c r="J1444" s="149"/>
      <c r="K1444" s="149"/>
      <c r="L1444" s="149"/>
      <c r="M1444" s="149"/>
      <c r="N1444" s="149"/>
      <c r="O1444" s="149"/>
      <c r="P1444" s="149"/>
      <c r="Q1444" s="149"/>
      <c r="R1444" s="149"/>
      <c r="S1444" s="149"/>
      <c r="T1444" s="149"/>
      <c r="U1444" s="149"/>
      <c r="V1444" s="149"/>
      <c r="W1444" s="149"/>
      <c r="X1444" s="149"/>
      <c r="Y1444" s="149"/>
      <c r="Z1444" s="149"/>
      <c r="AA1444" s="149"/>
      <c r="AB1444" s="149"/>
      <c r="AC1444" s="149"/>
      <c r="AD1444" s="149"/>
      <c r="AE1444" s="149"/>
      <c r="AF1444" s="149"/>
      <c r="AG1444" s="149"/>
      <c r="AH1444" s="149"/>
      <c r="AI1444" s="149"/>
      <c r="AJ1444" s="149"/>
      <c r="AK1444" s="149"/>
      <c r="AL1444" s="149"/>
      <c r="AM1444" s="149"/>
      <c r="AN1444" s="149"/>
      <c r="AO1444" s="149"/>
      <c r="AP1444" s="149"/>
    </row>
    <row r="1445" ht="18.75" customHeight="1">
      <c r="A1445" s="149"/>
      <c r="B1445" s="149"/>
      <c r="C1445" s="304"/>
      <c r="D1445" s="149"/>
      <c r="E1445" s="149"/>
      <c r="F1445" s="149"/>
      <c r="G1445" s="149"/>
      <c r="H1445" s="149"/>
      <c r="I1445" s="149"/>
      <c r="J1445" s="149"/>
      <c r="K1445" s="149"/>
      <c r="L1445" s="149"/>
      <c r="M1445" s="149"/>
      <c r="N1445" s="149"/>
      <c r="O1445" s="149"/>
      <c r="P1445" s="149"/>
      <c r="Q1445" s="149"/>
      <c r="R1445" s="149"/>
      <c r="S1445" s="149"/>
      <c r="T1445" s="149"/>
      <c r="U1445" s="149"/>
      <c r="V1445" s="149"/>
      <c r="W1445" s="149"/>
      <c r="X1445" s="149"/>
      <c r="Y1445" s="149"/>
      <c r="Z1445" s="149"/>
      <c r="AA1445" s="149"/>
      <c r="AB1445" s="149"/>
      <c r="AC1445" s="149"/>
      <c r="AD1445" s="149"/>
      <c r="AE1445" s="149"/>
      <c r="AF1445" s="149"/>
      <c r="AG1445" s="149"/>
      <c r="AH1445" s="149"/>
      <c r="AI1445" s="149"/>
      <c r="AJ1445" s="149"/>
      <c r="AK1445" s="149"/>
      <c r="AL1445" s="149"/>
      <c r="AM1445" s="149"/>
      <c r="AN1445" s="149"/>
      <c r="AO1445" s="149"/>
      <c r="AP1445" s="149"/>
    </row>
    <row r="1446" ht="18.75" customHeight="1">
      <c r="A1446" s="149"/>
      <c r="B1446" s="149"/>
      <c r="C1446" s="304"/>
      <c r="D1446" s="149"/>
      <c r="E1446" s="149"/>
      <c r="F1446" s="149"/>
      <c r="G1446" s="149"/>
      <c r="H1446" s="149"/>
      <c r="I1446" s="149"/>
      <c r="J1446" s="149"/>
      <c r="K1446" s="149"/>
      <c r="L1446" s="149"/>
      <c r="M1446" s="149"/>
      <c r="N1446" s="149"/>
      <c r="O1446" s="149"/>
      <c r="P1446" s="149"/>
      <c r="Q1446" s="149"/>
      <c r="R1446" s="149"/>
      <c r="S1446" s="149"/>
      <c r="T1446" s="149"/>
      <c r="U1446" s="149"/>
      <c r="V1446" s="149"/>
      <c r="W1446" s="149"/>
      <c r="X1446" s="149"/>
      <c r="Y1446" s="149"/>
      <c r="Z1446" s="149"/>
      <c r="AA1446" s="149"/>
      <c r="AB1446" s="149"/>
      <c r="AC1446" s="149"/>
      <c r="AD1446" s="149"/>
      <c r="AE1446" s="149"/>
      <c r="AF1446" s="149"/>
      <c r="AG1446" s="149"/>
      <c r="AH1446" s="149"/>
      <c r="AI1446" s="149"/>
      <c r="AJ1446" s="149"/>
      <c r="AK1446" s="149"/>
      <c r="AL1446" s="149"/>
      <c r="AM1446" s="149"/>
      <c r="AN1446" s="149"/>
      <c r="AO1446" s="149"/>
      <c r="AP1446" s="149"/>
    </row>
    <row r="1447" ht="18.75" customHeight="1">
      <c r="A1447" s="149"/>
      <c r="B1447" s="149"/>
      <c r="C1447" s="304"/>
      <c r="D1447" s="149"/>
      <c r="E1447" s="149"/>
      <c r="F1447" s="149"/>
      <c r="G1447" s="149"/>
      <c r="H1447" s="149"/>
      <c r="I1447" s="149"/>
      <c r="J1447" s="149"/>
      <c r="K1447" s="149"/>
      <c r="L1447" s="149"/>
      <c r="M1447" s="149"/>
      <c r="N1447" s="149"/>
      <c r="O1447" s="149"/>
      <c r="P1447" s="149"/>
      <c r="Q1447" s="149"/>
      <c r="R1447" s="149"/>
      <c r="S1447" s="149"/>
      <c r="T1447" s="149"/>
      <c r="U1447" s="149"/>
      <c r="V1447" s="149"/>
      <c r="W1447" s="149"/>
      <c r="X1447" s="149"/>
      <c r="Y1447" s="149"/>
      <c r="Z1447" s="149"/>
      <c r="AA1447" s="149"/>
      <c r="AB1447" s="149"/>
      <c r="AC1447" s="149"/>
      <c r="AD1447" s="149"/>
      <c r="AE1447" s="149"/>
      <c r="AF1447" s="149"/>
      <c r="AG1447" s="149"/>
      <c r="AH1447" s="149"/>
      <c r="AI1447" s="149"/>
      <c r="AJ1447" s="149"/>
      <c r="AK1447" s="149"/>
      <c r="AL1447" s="149"/>
      <c r="AM1447" s="149"/>
      <c r="AN1447" s="149"/>
      <c r="AO1447" s="149"/>
      <c r="AP1447" s="149"/>
    </row>
    <row r="1448" ht="18.75" customHeight="1">
      <c r="A1448" s="149"/>
      <c r="B1448" s="149"/>
      <c r="C1448" s="304"/>
      <c r="D1448" s="149"/>
      <c r="E1448" s="149"/>
      <c r="F1448" s="149"/>
      <c r="G1448" s="149"/>
      <c r="H1448" s="149"/>
      <c r="I1448" s="149"/>
      <c r="J1448" s="149"/>
      <c r="K1448" s="149"/>
      <c r="L1448" s="149"/>
      <c r="M1448" s="149"/>
      <c r="N1448" s="149"/>
      <c r="O1448" s="149"/>
      <c r="P1448" s="149"/>
      <c r="Q1448" s="149"/>
      <c r="R1448" s="149"/>
      <c r="S1448" s="149"/>
      <c r="T1448" s="149"/>
      <c r="U1448" s="149"/>
      <c r="V1448" s="149"/>
      <c r="W1448" s="149"/>
      <c r="X1448" s="149"/>
      <c r="Y1448" s="149"/>
      <c r="Z1448" s="149"/>
      <c r="AA1448" s="149"/>
      <c r="AB1448" s="149"/>
      <c r="AC1448" s="149"/>
      <c r="AD1448" s="149"/>
      <c r="AE1448" s="149"/>
      <c r="AF1448" s="149"/>
      <c r="AG1448" s="149"/>
      <c r="AH1448" s="149"/>
      <c r="AI1448" s="149"/>
      <c r="AJ1448" s="149"/>
      <c r="AK1448" s="149"/>
      <c r="AL1448" s="149"/>
      <c r="AM1448" s="149"/>
      <c r="AN1448" s="149"/>
      <c r="AO1448" s="149"/>
      <c r="AP1448" s="149"/>
    </row>
    <row r="1449" ht="18.75" customHeight="1">
      <c r="A1449" s="149"/>
      <c r="B1449" s="149"/>
      <c r="C1449" s="304"/>
      <c r="D1449" s="149"/>
      <c r="E1449" s="149"/>
      <c r="F1449" s="149"/>
      <c r="G1449" s="149"/>
      <c r="H1449" s="149"/>
      <c r="I1449" s="149"/>
      <c r="J1449" s="149"/>
      <c r="K1449" s="149"/>
      <c r="L1449" s="149"/>
      <c r="M1449" s="149"/>
      <c r="N1449" s="149"/>
      <c r="O1449" s="149"/>
      <c r="P1449" s="149"/>
      <c r="Q1449" s="149"/>
      <c r="R1449" s="149"/>
      <c r="S1449" s="149"/>
      <c r="T1449" s="149"/>
      <c r="U1449" s="149"/>
      <c r="V1449" s="149"/>
      <c r="W1449" s="149"/>
      <c r="X1449" s="149"/>
      <c r="Y1449" s="149"/>
      <c r="Z1449" s="149"/>
      <c r="AA1449" s="149"/>
      <c r="AB1449" s="149"/>
      <c r="AC1449" s="149"/>
      <c r="AD1449" s="149"/>
      <c r="AE1449" s="149"/>
      <c r="AF1449" s="149"/>
      <c r="AG1449" s="149"/>
      <c r="AH1449" s="149"/>
      <c r="AI1449" s="149"/>
      <c r="AJ1449" s="149"/>
      <c r="AK1449" s="149"/>
      <c r="AL1449" s="149"/>
      <c r="AM1449" s="149"/>
      <c r="AN1449" s="149"/>
      <c r="AO1449" s="149"/>
      <c r="AP1449" s="149"/>
    </row>
    <row r="1450" ht="18.75" customHeight="1">
      <c r="A1450" s="149"/>
      <c r="B1450" s="149"/>
      <c r="C1450" s="304"/>
      <c r="D1450" s="149"/>
      <c r="E1450" s="149"/>
      <c r="F1450" s="149"/>
      <c r="G1450" s="149"/>
      <c r="H1450" s="149"/>
      <c r="I1450" s="149"/>
      <c r="J1450" s="149"/>
      <c r="K1450" s="149"/>
      <c r="L1450" s="149"/>
      <c r="M1450" s="149"/>
      <c r="N1450" s="149"/>
      <c r="O1450" s="149"/>
      <c r="P1450" s="149"/>
      <c r="Q1450" s="149"/>
      <c r="R1450" s="149"/>
      <c r="S1450" s="149"/>
      <c r="T1450" s="149"/>
      <c r="U1450" s="149"/>
      <c r="V1450" s="149"/>
      <c r="W1450" s="149"/>
      <c r="X1450" s="149"/>
      <c r="Y1450" s="149"/>
      <c r="Z1450" s="149"/>
      <c r="AA1450" s="149"/>
      <c r="AB1450" s="149"/>
      <c r="AC1450" s="149"/>
      <c r="AD1450" s="149"/>
      <c r="AE1450" s="149"/>
      <c r="AF1450" s="149"/>
      <c r="AG1450" s="149"/>
      <c r="AH1450" s="149"/>
      <c r="AI1450" s="149"/>
      <c r="AJ1450" s="149"/>
      <c r="AK1450" s="149"/>
      <c r="AL1450" s="149"/>
      <c r="AM1450" s="149"/>
      <c r="AN1450" s="149"/>
      <c r="AO1450" s="149"/>
      <c r="AP1450" s="149"/>
    </row>
    <row r="1451" ht="18.75" customHeight="1">
      <c r="A1451" s="149"/>
      <c r="B1451" s="149"/>
      <c r="C1451" s="304"/>
      <c r="D1451" s="149"/>
      <c r="E1451" s="149"/>
      <c r="F1451" s="149"/>
      <c r="G1451" s="149"/>
      <c r="H1451" s="149"/>
      <c r="I1451" s="149"/>
      <c r="J1451" s="149"/>
      <c r="K1451" s="149"/>
      <c r="L1451" s="149"/>
      <c r="M1451" s="149"/>
      <c r="N1451" s="149"/>
      <c r="O1451" s="149"/>
      <c r="P1451" s="149"/>
      <c r="Q1451" s="149"/>
      <c r="R1451" s="149"/>
      <c r="S1451" s="149"/>
      <c r="T1451" s="149"/>
      <c r="U1451" s="149"/>
      <c r="V1451" s="149"/>
      <c r="W1451" s="149"/>
      <c r="X1451" s="149"/>
      <c r="Y1451" s="149"/>
      <c r="Z1451" s="149"/>
      <c r="AA1451" s="149"/>
      <c r="AB1451" s="149"/>
      <c r="AC1451" s="149"/>
      <c r="AD1451" s="149"/>
      <c r="AE1451" s="149"/>
      <c r="AF1451" s="149"/>
      <c r="AG1451" s="149"/>
      <c r="AH1451" s="149"/>
      <c r="AI1451" s="149"/>
      <c r="AJ1451" s="149"/>
      <c r="AK1451" s="149"/>
      <c r="AL1451" s="149"/>
      <c r="AM1451" s="149"/>
      <c r="AN1451" s="149"/>
      <c r="AO1451" s="149"/>
      <c r="AP1451" s="149"/>
    </row>
    <row r="1452" ht="18.75" customHeight="1">
      <c r="A1452" s="149"/>
      <c r="B1452" s="149"/>
      <c r="C1452" s="304"/>
      <c r="D1452" s="149"/>
      <c r="E1452" s="149"/>
      <c r="F1452" s="149"/>
      <c r="G1452" s="149"/>
      <c r="H1452" s="149"/>
      <c r="I1452" s="149"/>
      <c r="J1452" s="149"/>
      <c r="K1452" s="149"/>
      <c r="L1452" s="149"/>
      <c r="M1452" s="149"/>
      <c r="N1452" s="149"/>
      <c r="O1452" s="149"/>
      <c r="P1452" s="149"/>
      <c r="Q1452" s="149"/>
      <c r="R1452" s="149"/>
      <c r="S1452" s="149"/>
      <c r="T1452" s="149"/>
      <c r="U1452" s="149"/>
      <c r="V1452" s="149"/>
      <c r="W1452" s="149"/>
      <c r="X1452" s="149"/>
      <c r="Y1452" s="149"/>
      <c r="Z1452" s="149"/>
      <c r="AA1452" s="149"/>
      <c r="AB1452" s="149"/>
      <c r="AC1452" s="149"/>
      <c r="AD1452" s="149"/>
      <c r="AE1452" s="149"/>
      <c r="AF1452" s="149"/>
      <c r="AG1452" s="149"/>
      <c r="AH1452" s="149"/>
      <c r="AI1452" s="149"/>
      <c r="AJ1452" s="149"/>
      <c r="AK1452" s="149"/>
      <c r="AL1452" s="149"/>
      <c r="AM1452" s="149"/>
      <c r="AN1452" s="149"/>
      <c r="AO1452" s="149"/>
      <c r="AP1452" s="149"/>
    </row>
    <row r="1453" ht="18.75" customHeight="1">
      <c r="A1453" s="149"/>
      <c r="B1453" s="149"/>
      <c r="C1453" s="304"/>
      <c r="D1453" s="149"/>
      <c r="E1453" s="149"/>
      <c r="F1453" s="149"/>
      <c r="G1453" s="149"/>
      <c r="H1453" s="149"/>
      <c r="I1453" s="149"/>
      <c r="J1453" s="149"/>
      <c r="K1453" s="149"/>
      <c r="L1453" s="149"/>
      <c r="M1453" s="149"/>
      <c r="N1453" s="149"/>
      <c r="O1453" s="149"/>
      <c r="P1453" s="149"/>
      <c r="Q1453" s="149"/>
      <c r="R1453" s="149"/>
      <c r="S1453" s="149"/>
      <c r="T1453" s="149"/>
      <c r="U1453" s="149"/>
      <c r="V1453" s="149"/>
      <c r="W1453" s="149"/>
      <c r="X1453" s="149"/>
      <c r="Y1453" s="149"/>
      <c r="Z1453" s="149"/>
      <c r="AA1453" s="149"/>
      <c r="AB1453" s="149"/>
      <c r="AC1453" s="149"/>
      <c r="AD1453" s="149"/>
      <c r="AE1453" s="149"/>
      <c r="AF1453" s="149"/>
      <c r="AG1453" s="149"/>
      <c r="AH1453" s="149"/>
      <c r="AI1453" s="149"/>
      <c r="AJ1453" s="149"/>
      <c r="AK1453" s="149"/>
      <c r="AL1453" s="149"/>
      <c r="AM1453" s="149"/>
      <c r="AN1453" s="149"/>
      <c r="AO1453" s="149"/>
      <c r="AP1453" s="149"/>
    </row>
    <row r="1454" ht="18.75" customHeight="1">
      <c r="A1454" s="149"/>
      <c r="B1454" s="149"/>
      <c r="C1454" s="304"/>
      <c r="D1454" s="149"/>
      <c r="E1454" s="149"/>
      <c r="F1454" s="149"/>
      <c r="G1454" s="149"/>
      <c r="H1454" s="149"/>
      <c r="I1454" s="149"/>
      <c r="J1454" s="149"/>
      <c r="K1454" s="149"/>
      <c r="L1454" s="149"/>
      <c r="M1454" s="149"/>
      <c r="N1454" s="149"/>
      <c r="O1454" s="149"/>
      <c r="P1454" s="149"/>
      <c r="Q1454" s="149"/>
      <c r="R1454" s="149"/>
      <c r="S1454" s="149"/>
      <c r="T1454" s="149"/>
      <c r="U1454" s="149"/>
      <c r="V1454" s="149"/>
      <c r="W1454" s="149"/>
      <c r="X1454" s="149"/>
      <c r="Y1454" s="149"/>
      <c r="Z1454" s="149"/>
      <c r="AA1454" s="149"/>
      <c r="AB1454" s="149"/>
      <c r="AC1454" s="149"/>
      <c r="AD1454" s="149"/>
      <c r="AE1454" s="149"/>
      <c r="AF1454" s="149"/>
      <c r="AG1454" s="149"/>
      <c r="AH1454" s="149"/>
      <c r="AI1454" s="149"/>
      <c r="AJ1454" s="149"/>
      <c r="AK1454" s="149"/>
      <c r="AL1454" s="149"/>
      <c r="AM1454" s="149"/>
      <c r="AN1454" s="149"/>
      <c r="AO1454" s="149"/>
      <c r="AP1454" s="149"/>
    </row>
    <row r="1455" ht="18.75" customHeight="1">
      <c r="A1455" s="149"/>
      <c r="B1455" s="149"/>
      <c r="C1455" s="304"/>
      <c r="D1455" s="149"/>
      <c r="E1455" s="149"/>
      <c r="F1455" s="149"/>
      <c r="G1455" s="149"/>
      <c r="H1455" s="149"/>
      <c r="I1455" s="149"/>
      <c r="J1455" s="149"/>
      <c r="K1455" s="149"/>
      <c r="L1455" s="149"/>
      <c r="M1455" s="149"/>
      <c r="N1455" s="149"/>
      <c r="O1455" s="149"/>
      <c r="P1455" s="149"/>
      <c r="Q1455" s="149"/>
      <c r="R1455" s="149"/>
      <c r="S1455" s="149"/>
      <c r="T1455" s="149"/>
      <c r="U1455" s="149"/>
      <c r="V1455" s="149"/>
      <c r="W1455" s="149"/>
      <c r="X1455" s="149"/>
      <c r="Y1455" s="149"/>
      <c r="Z1455" s="149"/>
      <c r="AA1455" s="149"/>
      <c r="AB1455" s="149"/>
      <c r="AC1455" s="149"/>
      <c r="AD1455" s="149"/>
      <c r="AE1455" s="149"/>
      <c r="AF1455" s="149"/>
      <c r="AG1455" s="149"/>
      <c r="AH1455" s="149"/>
      <c r="AI1455" s="149"/>
      <c r="AJ1455" s="149"/>
      <c r="AK1455" s="149"/>
      <c r="AL1455" s="149"/>
      <c r="AM1455" s="149"/>
      <c r="AN1455" s="149"/>
      <c r="AO1455" s="149"/>
      <c r="AP1455" s="149"/>
    </row>
    <row r="1456" ht="18.75" customHeight="1">
      <c r="A1456" s="149"/>
      <c r="B1456" s="149"/>
      <c r="C1456" s="304"/>
      <c r="D1456" s="149"/>
      <c r="E1456" s="149"/>
      <c r="F1456" s="149"/>
      <c r="G1456" s="149"/>
      <c r="H1456" s="149"/>
      <c r="I1456" s="149"/>
      <c r="J1456" s="149"/>
      <c r="K1456" s="149"/>
      <c r="L1456" s="149"/>
      <c r="M1456" s="149"/>
      <c r="N1456" s="149"/>
      <c r="O1456" s="149"/>
      <c r="P1456" s="149"/>
      <c r="Q1456" s="149"/>
      <c r="R1456" s="149"/>
      <c r="S1456" s="149"/>
      <c r="T1456" s="149"/>
      <c r="U1456" s="149"/>
      <c r="V1456" s="149"/>
      <c r="W1456" s="149"/>
      <c r="X1456" s="149"/>
      <c r="Y1456" s="149"/>
      <c r="Z1456" s="149"/>
      <c r="AA1456" s="149"/>
      <c r="AB1456" s="149"/>
      <c r="AC1456" s="149"/>
      <c r="AD1456" s="149"/>
      <c r="AE1456" s="149"/>
      <c r="AF1456" s="149"/>
      <c r="AG1456" s="149"/>
      <c r="AH1456" s="149"/>
      <c r="AI1456" s="149"/>
      <c r="AJ1456" s="149"/>
      <c r="AK1456" s="149"/>
      <c r="AL1456" s="149"/>
      <c r="AM1456" s="149"/>
      <c r="AN1456" s="149"/>
      <c r="AO1456" s="149"/>
      <c r="AP1456" s="149"/>
    </row>
    <row r="1457" ht="18.75" customHeight="1">
      <c r="A1457" s="149"/>
      <c r="B1457" s="149"/>
      <c r="C1457" s="304"/>
      <c r="D1457" s="149"/>
      <c r="E1457" s="149"/>
      <c r="F1457" s="149"/>
      <c r="G1457" s="149"/>
      <c r="H1457" s="149"/>
      <c r="I1457" s="149"/>
      <c r="J1457" s="149"/>
      <c r="K1457" s="149"/>
      <c r="L1457" s="149"/>
      <c r="M1457" s="149"/>
      <c r="N1457" s="149"/>
      <c r="O1457" s="149"/>
      <c r="P1457" s="149"/>
      <c r="Q1457" s="149"/>
      <c r="R1457" s="149"/>
      <c r="S1457" s="149"/>
      <c r="T1457" s="149"/>
      <c r="U1457" s="149"/>
      <c r="V1457" s="149"/>
      <c r="W1457" s="149"/>
      <c r="X1457" s="149"/>
      <c r="Y1457" s="149"/>
      <c r="Z1457" s="149"/>
      <c r="AA1457" s="149"/>
      <c r="AB1457" s="149"/>
      <c r="AC1457" s="149"/>
      <c r="AD1457" s="149"/>
      <c r="AE1457" s="149"/>
      <c r="AF1457" s="149"/>
      <c r="AG1457" s="149"/>
      <c r="AH1457" s="149"/>
      <c r="AI1457" s="149"/>
      <c r="AJ1457" s="149"/>
      <c r="AK1457" s="149"/>
      <c r="AL1457" s="149"/>
      <c r="AM1457" s="149"/>
      <c r="AN1457" s="149"/>
      <c r="AO1457" s="149"/>
      <c r="AP1457" s="149"/>
    </row>
    <row r="1458" ht="18.75" customHeight="1">
      <c r="A1458" s="149"/>
      <c r="B1458" s="149"/>
      <c r="C1458" s="304"/>
      <c r="D1458" s="149"/>
      <c r="E1458" s="149"/>
      <c r="F1458" s="149"/>
      <c r="G1458" s="149"/>
      <c r="H1458" s="149"/>
      <c r="I1458" s="149"/>
      <c r="J1458" s="149"/>
      <c r="K1458" s="149"/>
      <c r="L1458" s="149"/>
      <c r="M1458" s="149"/>
      <c r="N1458" s="149"/>
      <c r="O1458" s="149"/>
      <c r="P1458" s="149"/>
      <c r="Q1458" s="149"/>
      <c r="R1458" s="149"/>
      <c r="S1458" s="149"/>
      <c r="T1458" s="149"/>
      <c r="U1458" s="149"/>
      <c r="V1458" s="149"/>
      <c r="W1458" s="149"/>
      <c r="X1458" s="149"/>
      <c r="Y1458" s="149"/>
      <c r="Z1458" s="149"/>
      <c r="AA1458" s="149"/>
      <c r="AB1458" s="149"/>
      <c r="AC1458" s="149"/>
      <c r="AD1458" s="149"/>
      <c r="AE1458" s="149"/>
      <c r="AF1458" s="149"/>
      <c r="AG1458" s="149"/>
      <c r="AH1458" s="149"/>
      <c r="AI1458" s="149"/>
      <c r="AJ1458" s="149"/>
      <c r="AK1458" s="149"/>
      <c r="AL1458" s="149"/>
      <c r="AM1458" s="149"/>
      <c r="AN1458" s="149"/>
      <c r="AO1458" s="149"/>
      <c r="AP1458" s="149"/>
    </row>
    <row r="1459" ht="18.75" customHeight="1">
      <c r="A1459" s="149"/>
      <c r="B1459" s="149"/>
      <c r="C1459" s="304"/>
      <c r="D1459" s="149"/>
      <c r="E1459" s="149"/>
      <c r="F1459" s="149"/>
      <c r="G1459" s="149"/>
      <c r="H1459" s="149"/>
      <c r="I1459" s="149"/>
      <c r="J1459" s="149"/>
      <c r="K1459" s="149"/>
      <c r="L1459" s="149"/>
      <c r="M1459" s="149"/>
      <c r="N1459" s="149"/>
      <c r="O1459" s="149"/>
      <c r="P1459" s="149"/>
      <c r="Q1459" s="149"/>
      <c r="R1459" s="149"/>
      <c r="S1459" s="149"/>
      <c r="T1459" s="149"/>
      <c r="U1459" s="149"/>
      <c r="V1459" s="149"/>
      <c r="W1459" s="149"/>
      <c r="X1459" s="149"/>
      <c r="Y1459" s="149"/>
      <c r="Z1459" s="149"/>
      <c r="AA1459" s="149"/>
      <c r="AB1459" s="149"/>
      <c r="AC1459" s="149"/>
      <c r="AD1459" s="149"/>
      <c r="AE1459" s="149"/>
      <c r="AF1459" s="149"/>
      <c r="AG1459" s="149"/>
      <c r="AH1459" s="149"/>
      <c r="AI1459" s="149"/>
      <c r="AJ1459" s="149"/>
      <c r="AK1459" s="149"/>
      <c r="AL1459" s="149"/>
      <c r="AM1459" s="149"/>
      <c r="AN1459" s="149"/>
      <c r="AO1459" s="149"/>
      <c r="AP1459" s="149"/>
    </row>
    <row r="1460" ht="18.75" customHeight="1">
      <c r="A1460" s="149"/>
      <c r="B1460" s="149"/>
      <c r="C1460" s="304"/>
      <c r="D1460" s="149"/>
      <c r="E1460" s="149"/>
      <c r="F1460" s="149"/>
      <c r="G1460" s="149"/>
      <c r="H1460" s="149"/>
      <c r="I1460" s="149"/>
      <c r="J1460" s="149"/>
      <c r="K1460" s="149"/>
      <c r="L1460" s="149"/>
      <c r="M1460" s="149"/>
      <c r="N1460" s="149"/>
      <c r="O1460" s="149"/>
      <c r="P1460" s="149"/>
      <c r="Q1460" s="149"/>
      <c r="R1460" s="149"/>
      <c r="S1460" s="149"/>
      <c r="T1460" s="149"/>
      <c r="U1460" s="149"/>
      <c r="V1460" s="149"/>
      <c r="W1460" s="149"/>
      <c r="X1460" s="149"/>
      <c r="Y1460" s="149"/>
      <c r="Z1460" s="149"/>
      <c r="AA1460" s="149"/>
      <c r="AB1460" s="149"/>
      <c r="AC1460" s="149"/>
      <c r="AD1460" s="149"/>
      <c r="AE1460" s="149"/>
      <c r="AF1460" s="149"/>
      <c r="AG1460" s="149"/>
      <c r="AH1460" s="149"/>
      <c r="AI1460" s="149"/>
      <c r="AJ1460" s="149"/>
      <c r="AK1460" s="149"/>
      <c r="AL1460" s="149"/>
      <c r="AM1460" s="149"/>
      <c r="AN1460" s="149"/>
      <c r="AO1460" s="149"/>
      <c r="AP1460" s="149"/>
    </row>
    <row r="1461" ht="18.75" customHeight="1">
      <c r="A1461" s="149"/>
      <c r="B1461" s="149"/>
      <c r="C1461" s="304"/>
      <c r="D1461" s="149"/>
      <c r="E1461" s="149"/>
      <c r="F1461" s="149"/>
      <c r="G1461" s="149"/>
      <c r="H1461" s="149"/>
      <c r="I1461" s="149"/>
      <c r="J1461" s="149"/>
      <c r="K1461" s="149"/>
      <c r="L1461" s="149"/>
      <c r="M1461" s="149"/>
      <c r="N1461" s="149"/>
      <c r="O1461" s="149"/>
      <c r="P1461" s="149"/>
      <c r="Q1461" s="149"/>
      <c r="R1461" s="149"/>
      <c r="S1461" s="149"/>
      <c r="T1461" s="149"/>
      <c r="U1461" s="149"/>
      <c r="V1461" s="149"/>
      <c r="W1461" s="149"/>
      <c r="X1461" s="149"/>
      <c r="Y1461" s="149"/>
      <c r="Z1461" s="149"/>
      <c r="AA1461" s="149"/>
      <c r="AB1461" s="149"/>
      <c r="AC1461" s="149"/>
      <c r="AD1461" s="149"/>
      <c r="AE1461" s="149"/>
      <c r="AF1461" s="149"/>
      <c r="AG1461" s="149"/>
      <c r="AH1461" s="149"/>
      <c r="AI1461" s="149"/>
      <c r="AJ1461" s="149"/>
      <c r="AK1461" s="149"/>
      <c r="AL1461" s="149"/>
      <c r="AM1461" s="149"/>
      <c r="AN1461" s="149"/>
      <c r="AO1461" s="149"/>
      <c r="AP1461" s="149"/>
    </row>
    <row r="1462" ht="18.75" customHeight="1">
      <c r="A1462" s="149"/>
      <c r="B1462" s="149"/>
      <c r="C1462" s="304"/>
      <c r="D1462" s="149"/>
      <c r="E1462" s="149"/>
      <c r="F1462" s="149"/>
      <c r="G1462" s="149"/>
      <c r="H1462" s="149"/>
      <c r="I1462" s="149"/>
      <c r="J1462" s="149"/>
      <c r="K1462" s="149"/>
      <c r="L1462" s="149"/>
      <c r="M1462" s="149"/>
      <c r="N1462" s="149"/>
      <c r="O1462" s="149"/>
      <c r="P1462" s="149"/>
      <c r="Q1462" s="149"/>
      <c r="R1462" s="149"/>
      <c r="S1462" s="149"/>
      <c r="T1462" s="149"/>
      <c r="U1462" s="149"/>
      <c r="V1462" s="149"/>
      <c r="W1462" s="149"/>
      <c r="X1462" s="149"/>
      <c r="Y1462" s="149"/>
      <c r="Z1462" s="149"/>
      <c r="AA1462" s="149"/>
      <c r="AB1462" s="149"/>
      <c r="AC1462" s="149"/>
      <c r="AD1462" s="149"/>
      <c r="AE1462" s="149"/>
      <c r="AF1462" s="149"/>
      <c r="AG1462" s="149"/>
      <c r="AH1462" s="149"/>
      <c r="AI1462" s="149"/>
      <c r="AJ1462" s="149"/>
      <c r="AK1462" s="149"/>
      <c r="AL1462" s="149"/>
      <c r="AM1462" s="149"/>
      <c r="AN1462" s="149"/>
      <c r="AO1462" s="149"/>
      <c r="AP1462" s="149"/>
    </row>
    <row r="1463" ht="18.75" customHeight="1">
      <c r="A1463" s="149"/>
      <c r="B1463" s="149"/>
      <c r="C1463" s="304"/>
      <c r="D1463" s="149"/>
      <c r="E1463" s="149"/>
      <c r="F1463" s="149"/>
      <c r="G1463" s="149"/>
      <c r="H1463" s="149"/>
      <c r="I1463" s="149"/>
      <c r="J1463" s="149"/>
      <c r="K1463" s="149"/>
      <c r="L1463" s="149"/>
      <c r="M1463" s="149"/>
      <c r="N1463" s="149"/>
      <c r="O1463" s="149"/>
      <c r="P1463" s="149"/>
      <c r="Q1463" s="149"/>
      <c r="R1463" s="149"/>
      <c r="S1463" s="149"/>
      <c r="T1463" s="149"/>
      <c r="U1463" s="149"/>
      <c r="V1463" s="149"/>
      <c r="W1463" s="149"/>
      <c r="X1463" s="149"/>
      <c r="Y1463" s="149"/>
      <c r="Z1463" s="149"/>
      <c r="AA1463" s="149"/>
      <c r="AB1463" s="149"/>
      <c r="AC1463" s="149"/>
      <c r="AD1463" s="149"/>
      <c r="AE1463" s="149"/>
      <c r="AF1463" s="149"/>
      <c r="AG1463" s="149"/>
      <c r="AH1463" s="149"/>
      <c r="AI1463" s="149"/>
      <c r="AJ1463" s="149"/>
      <c r="AK1463" s="149"/>
      <c r="AL1463" s="149"/>
      <c r="AM1463" s="149"/>
      <c r="AN1463" s="149"/>
      <c r="AO1463" s="149"/>
      <c r="AP1463" s="149"/>
    </row>
    <row r="1464" ht="18.75" customHeight="1">
      <c r="A1464" s="149"/>
      <c r="B1464" s="149"/>
      <c r="C1464" s="304"/>
      <c r="D1464" s="149"/>
      <c r="E1464" s="149"/>
      <c r="F1464" s="149"/>
      <c r="G1464" s="149"/>
      <c r="H1464" s="149"/>
      <c r="I1464" s="149"/>
      <c r="J1464" s="149"/>
      <c r="K1464" s="149"/>
      <c r="L1464" s="149"/>
      <c r="M1464" s="149"/>
      <c r="N1464" s="149"/>
      <c r="O1464" s="149"/>
      <c r="P1464" s="149"/>
      <c r="Q1464" s="149"/>
      <c r="R1464" s="149"/>
      <c r="S1464" s="149"/>
      <c r="T1464" s="149"/>
      <c r="U1464" s="149"/>
      <c r="V1464" s="149"/>
      <c r="W1464" s="149"/>
      <c r="X1464" s="149"/>
      <c r="Y1464" s="149"/>
      <c r="Z1464" s="149"/>
      <c r="AA1464" s="149"/>
      <c r="AB1464" s="149"/>
      <c r="AC1464" s="149"/>
      <c r="AD1464" s="149"/>
      <c r="AE1464" s="149"/>
      <c r="AF1464" s="149"/>
      <c r="AG1464" s="149"/>
      <c r="AH1464" s="149"/>
      <c r="AI1464" s="149"/>
      <c r="AJ1464" s="149"/>
      <c r="AK1464" s="149"/>
      <c r="AL1464" s="149"/>
      <c r="AM1464" s="149"/>
      <c r="AN1464" s="149"/>
      <c r="AO1464" s="149"/>
      <c r="AP1464" s="149"/>
    </row>
    <row r="1465" ht="18.75" customHeight="1">
      <c r="A1465" s="149"/>
      <c r="B1465" s="149"/>
      <c r="C1465" s="304"/>
      <c r="D1465" s="149"/>
      <c r="E1465" s="149"/>
      <c r="F1465" s="149"/>
      <c r="G1465" s="149"/>
      <c r="H1465" s="149"/>
      <c r="I1465" s="149"/>
      <c r="J1465" s="149"/>
      <c r="K1465" s="149"/>
      <c r="L1465" s="149"/>
      <c r="M1465" s="149"/>
      <c r="N1465" s="149"/>
      <c r="O1465" s="149"/>
      <c r="P1465" s="149"/>
      <c r="Q1465" s="149"/>
      <c r="R1465" s="149"/>
      <c r="S1465" s="149"/>
      <c r="T1465" s="149"/>
      <c r="U1465" s="149"/>
      <c r="V1465" s="149"/>
      <c r="W1465" s="149"/>
      <c r="X1465" s="149"/>
      <c r="Y1465" s="149"/>
      <c r="Z1465" s="149"/>
      <c r="AA1465" s="149"/>
      <c r="AB1465" s="149"/>
      <c r="AC1465" s="149"/>
      <c r="AD1465" s="149"/>
      <c r="AE1465" s="149"/>
      <c r="AF1465" s="149"/>
      <c r="AG1465" s="149"/>
      <c r="AH1465" s="149"/>
      <c r="AI1465" s="149"/>
      <c r="AJ1465" s="149"/>
      <c r="AK1465" s="149"/>
      <c r="AL1465" s="149"/>
      <c r="AM1465" s="149"/>
      <c r="AN1465" s="149"/>
      <c r="AO1465" s="149"/>
      <c r="AP1465" s="149"/>
    </row>
    <row r="1466" ht="18.75" customHeight="1">
      <c r="A1466" s="149"/>
      <c r="B1466" s="149"/>
      <c r="C1466" s="304"/>
      <c r="D1466" s="149"/>
      <c r="E1466" s="149"/>
      <c r="F1466" s="149"/>
      <c r="G1466" s="149"/>
      <c r="H1466" s="149"/>
      <c r="I1466" s="149"/>
      <c r="J1466" s="149"/>
      <c r="K1466" s="149"/>
      <c r="L1466" s="149"/>
      <c r="M1466" s="149"/>
      <c r="N1466" s="149"/>
      <c r="O1466" s="149"/>
      <c r="P1466" s="149"/>
      <c r="Q1466" s="149"/>
      <c r="R1466" s="149"/>
      <c r="S1466" s="149"/>
      <c r="T1466" s="149"/>
      <c r="U1466" s="149"/>
      <c r="V1466" s="149"/>
      <c r="W1466" s="149"/>
      <c r="X1466" s="149"/>
      <c r="Y1466" s="149"/>
      <c r="Z1466" s="149"/>
      <c r="AA1466" s="149"/>
      <c r="AB1466" s="149"/>
      <c r="AC1466" s="149"/>
      <c r="AD1466" s="149"/>
      <c r="AE1466" s="149"/>
      <c r="AF1466" s="149"/>
      <c r="AG1466" s="149"/>
      <c r="AH1466" s="149"/>
      <c r="AI1466" s="149"/>
      <c r="AJ1466" s="149"/>
      <c r="AK1466" s="149"/>
      <c r="AL1466" s="149"/>
      <c r="AM1466" s="149"/>
      <c r="AN1466" s="149"/>
      <c r="AO1466" s="149"/>
      <c r="AP1466" s="149"/>
    </row>
    <row r="1467" ht="18.75" customHeight="1">
      <c r="A1467" s="149"/>
      <c r="B1467" s="149"/>
      <c r="C1467" s="304"/>
      <c r="D1467" s="149"/>
      <c r="E1467" s="149"/>
      <c r="F1467" s="149"/>
      <c r="G1467" s="149"/>
      <c r="H1467" s="149"/>
      <c r="I1467" s="149"/>
      <c r="J1467" s="149"/>
      <c r="K1467" s="149"/>
      <c r="L1467" s="149"/>
      <c r="M1467" s="149"/>
      <c r="N1467" s="149"/>
      <c r="O1467" s="149"/>
      <c r="P1467" s="149"/>
      <c r="Q1467" s="149"/>
      <c r="R1467" s="149"/>
      <c r="S1467" s="149"/>
      <c r="T1467" s="149"/>
      <c r="U1467" s="149"/>
      <c r="V1467" s="149"/>
      <c r="W1467" s="149"/>
      <c r="X1467" s="149"/>
      <c r="Y1467" s="149"/>
      <c r="Z1467" s="149"/>
      <c r="AA1467" s="149"/>
      <c r="AB1467" s="149"/>
      <c r="AC1467" s="149"/>
      <c r="AD1467" s="149"/>
      <c r="AE1467" s="149"/>
      <c r="AF1467" s="149"/>
      <c r="AG1467" s="149"/>
      <c r="AH1467" s="149"/>
      <c r="AI1467" s="149"/>
      <c r="AJ1467" s="149"/>
      <c r="AK1467" s="149"/>
      <c r="AL1467" s="149"/>
      <c r="AM1467" s="149"/>
      <c r="AN1467" s="149"/>
      <c r="AO1467" s="149"/>
      <c r="AP1467" s="149"/>
    </row>
    <row r="1468" ht="18.75" customHeight="1">
      <c r="A1468" s="149"/>
      <c r="B1468" s="149"/>
      <c r="C1468" s="304"/>
      <c r="D1468" s="149"/>
      <c r="E1468" s="149"/>
      <c r="F1468" s="149"/>
      <c r="G1468" s="149"/>
      <c r="H1468" s="149"/>
      <c r="I1468" s="149"/>
      <c r="J1468" s="149"/>
      <c r="K1468" s="149"/>
      <c r="L1468" s="149"/>
      <c r="M1468" s="149"/>
      <c r="N1468" s="149"/>
      <c r="O1468" s="149"/>
      <c r="P1468" s="149"/>
      <c r="Q1468" s="149"/>
      <c r="R1468" s="149"/>
      <c r="S1468" s="149"/>
      <c r="T1468" s="149"/>
      <c r="U1468" s="149"/>
      <c r="V1468" s="149"/>
      <c r="W1468" s="149"/>
      <c r="X1468" s="149"/>
      <c r="Y1468" s="149"/>
      <c r="Z1468" s="149"/>
      <c r="AA1468" s="149"/>
      <c r="AB1468" s="149"/>
      <c r="AC1468" s="149"/>
      <c r="AD1468" s="149"/>
      <c r="AE1468" s="149"/>
      <c r="AF1468" s="149"/>
      <c r="AG1468" s="149"/>
      <c r="AH1468" s="149"/>
      <c r="AI1468" s="149"/>
      <c r="AJ1468" s="149"/>
      <c r="AK1468" s="149"/>
      <c r="AL1468" s="149"/>
      <c r="AM1468" s="149"/>
      <c r="AN1468" s="149"/>
      <c r="AO1468" s="149"/>
      <c r="AP1468" s="149"/>
    </row>
    <row r="1469" ht="18.75" customHeight="1">
      <c r="A1469" s="149"/>
      <c r="B1469" s="149"/>
      <c r="C1469" s="304"/>
      <c r="D1469" s="149"/>
      <c r="E1469" s="149"/>
      <c r="F1469" s="149"/>
      <c r="G1469" s="149"/>
      <c r="H1469" s="149"/>
      <c r="I1469" s="149"/>
      <c r="J1469" s="149"/>
      <c r="K1469" s="149"/>
      <c r="L1469" s="149"/>
      <c r="M1469" s="149"/>
      <c r="N1469" s="149"/>
      <c r="O1469" s="149"/>
      <c r="P1469" s="149"/>
      <c r="Q1469" s="149"/>
      <c r="R1469" s="149"/>
      <c r="S1469" s="149"/>
      <c r="T1469" s="149"/>
      <c r="U1469" s="149"/>
      <c r="V1469" s="149"/>
      <c r="W1469" s="149"/>
      <c r="X1469" s="149"/>
      <c r="Y1469" s="149"/>
      <c r="Z1469" s="149"/>
      <c r="AA1469" s="149"/>
      <c r="AB1469" s="149"/>
      <c r="AC1469" s="149"/>
      <c r="AD1469" s="149"/>
      <c r="AE1469" s="149"/>
      <c r="AF1469" s="149"/>
      <c r="AG1469" s="149"/>
      <c r="AH1469" s="149"/>
      <c r="AI1469" s="149"/>
      <c r="AJ1469" s="149"/>
      <c r="AK1469" s="149"/>
      <c r="AL1469" s="149"/>
      <c r="AM1469" s="149"/>
      <c r="AN1469" s="149"/>
      <c r="AO1469" s="149"/>
      <c r="AP1469" s="149"/>
    </row>
    <row r="1470" ht="18.75" customHeight="1">
      <c r="A1470" s="149"/>
      <c r="B1470" s="149"/>
      <c r="C1470" s="304"/>
      <c r="D1470" s="149"/>
      <c r="E1470" s="149"/>
      <c r="F1470" s="149"/>
      <c r="G1470" s="149"/>
      <c r="H1470" s="149"/>
      <c r="I1470" s="149"/>
      <c r="J1470" s="149"/>
      <c r="K1470" s="149"/>
      <c r="L1470" s="149"/>
      <c r="M1470" s="149"/>
      <c r="N1470" s="149"/>
      <c r="O1470" s="149"/>
      <c r="P1470" s="149"/>
      <c r="Q1470" s="149"/>
      <c r="R1470" s="149"/>
      <c r="S1470" s="149"/>
      <c r="T1470" s="149"/>
      <c r="U1470" s="149"/>
      <c r="V1470" s="149"/>
      <c r="W1470" s="149"/>
      <c r="X1470" s="149"/>
      <c r="Y1470" s="149"/>
      <c r="Z1470" s="149"/>
      <c r="AA1470" s="149"/>
      <c r="AB1470" s="149"/>
      <c r="AC1470" s="149"/>
      <c r="AD1470" s="149"/>
      <c r="AE1470" s="149"/>
      <c r="AF1470" s="149"/>
      <c r="AG1470" s="149"/>
      <c r="AH1470" s="149"/>
      <c r="AI1470" s="149"/>
      <c r="AJ1470" s="149"/>
      <c r="AK1470" s="149"/>
      <c r="AL1470" s="149"/>
      <c r="AM1470" s="149"/>
      <c r="AN1470" s="149"/>
      <c r="AO1470" s="149"/>
      <c r="AP1470" s="149"/>
    </row>
    <row r="1471" ht="18.75" customHeight="1">
      <c r="A1471" s="149"/>
      <c r="B1471" s="149"/>
      <c r="C1471" s="304"/>
      <c r="D1471" s="149"/>
      <c r="E1471" s="149"/>
      <c r="F1471" s="149"/>
      <c r="G1471" s="149"/>
      <c r="H1471" s="149"/>
      <c r="I1471" s="149"/>
      <c r="J1471" s="149"/>
      <c r="K1471" s="149"/>
      <c r="L1471" s="149"/>
      <c r="M1471" s="149"/>
      <c r="N1471" s="149"/>
      <c r="O1471" s="149"/>
      <c r="P1471" s="149"/>
      <c r="Q1471" s="149"/>
      <c r="R1471" s="149"/>
      <c r="S1471" s="149"/>
      <c r="T1471" s="149"/>
      <c r="U1471" s="149"/>
      <c r="V1471" s="149"/>
      <c r="W1471" s="149"/>
      <c r="X1471" s="149"/>
      <c r="Y1471" s="149"/>
      <c r="Z1471" s="149"/>
      <c r="AA1471" s="149"/>
      <c r="AB1471" s="149"/>
      <c r="AC1471" s="149"/>
      <c r="AD1471" s="149"/>
      <c r="AE1471" s="149"/>
      <c r="AF1471" s="149"/>
      <c r="AG1471" s="149"/>
      <c r="AH1471" s="149"/>
      <c r="AI1471" s="149"/>
      <c r="AJ1471" s="149"/>
      <c r="AK1471" s="149"/>
      <c r="AL1471" s="149"/>
      <c r="AM1471" s="149"/>
      <c r="AN1471" s="149"/>
      <c r="AO1471" s="149"/>
      <c r="AP1471" s="149"/>
    </row>
    <row r="1472" ht="18.75" customHeight="1">
      <c r="A1472" s="149"/>
      <c r="B1472" s="149"/>
      <c r="C1472" s="304"/>
      <c r="D1472" s="149"/>
      <c r="E1472" s="149"/>
      <c r="F1472" s="149"/>
      <c r="G1472" s="149"/>
      <c r="H1472" s="149"/>
      <c r="I1472" s="149"/>
      <c r="J1472" s="149"/>
      <c r="K1472" s="149"/>
      <c r="L1472" s="149"/>
      <c r="M1472" s="149"/>
      <c r="N1472" s="149"/>
      <c r="O1472" s="149"/>
      <c r="P1472" s="149"/>
      <c r="Q1472" s="149"/>
      <c r="R1472" s="149"/>
      <c r="S1472" s="149"/>
      <c r="T1472" s="149"/>
      <c r="U1472" s="149"/>
      <c r="V1472" s="149"/>
      <c r="W1472" s="149"/>
      <c r="X1472" s="149"/>
      <c r="Y1472" s="149"/>
      <c r="Z1472" s="149"/>
      <c r="AA1472" s="149"/>
      <c r="AB1472" s="149"/>
      <c r="AC1472" s="149"/>
      <c r="AD1472" s="149"/>
      <c r="AE1472" s="149"/>
      <c r="AF1472" s="149"/>
      <c r="AG1472" s="149"/>
      <c r="AH1472" s="149"/>
      <c r="AI1472" s="149"/>
      <c r="AJ1472" s="149"/>
      <c r="AK1472" s="149"/>
      <c r="AL1472" s="149"/>
      <c r="AM1472" s="149"/>
      <c r="AN1472" s="149"/>
      <c r="AO1472" s="149"/>
      <c r="AP1472" s="149"/>
    </row>
    <row r="1473" ht="18.75" customHeight="1">
      <c r="A1473" s="149"/>
      <c r="B1473" s="149"/>
      <c r="C1473" s="304"/>
      <c r="D1473" s="149"/>
      <c r="E1473" s="149"/>
      <c r="F1473" s="149"/>
      <c r="G1473" s="149"/>
      <c r="H1473" s="149"/>
      <c r="I1473" s="149"/>
      <c r="J1473" s="149"/>
      <c r="K1473" s="149"/>
      <c r="L1473" s="149"/>
      <c r="M1473" s="149"/>
      <c r="N1473" s="149"/>
      <c r="O1473" s="149"/>
      <c r="P1473" s="149"/>
      <c r="Q1473" s="149"/>
      <c r="R1473" s="149"/>
      <c r="S1473" s="149"/>
      <c r="T1473" s="149"/>
      <c r="U1473" s="149"/>
      <c r="V1473" s="149"/>
      <c r="W1473" s="149"/>
      <c r="X1473" s="149"/>
      <c r="Y1473" s="149"/>
      <c r="Z1473" s="149"/>
      <c r="AA1473" s="149"/>
      <c r="AB1473" s="149"/>
      <c r="AC1473" s="149"/>
      <c r="AD1473" s="149"/>
      <c r="AE1473" s="149"/>
      <c r="AF1473" s="149"/>
      <c r="AG1473" s="149"/>
      <c r="AH1473" s="149"/>
      <c r="AI1473" s="149"/>
      <c r="AJ1473" s="149"/>
      <c r="AK1473" s="149"/>
      <c r="AL1473" s="149"/>
      <c r="AM1473" s="149"/>
      <c r="AN1473" s="149"/>
      <c r="AO1473" s="149"/>
      <c r="AP1473" s="149"/>
    </row>
    <row r="1474" ht="18.75" customHeight="1">
      <c r="A1474" s="149"/>
      <c r="B1474" s="149"/>
      <c r="C1474" s="304"/>
      <c r="D1474" s="149"/>
      <c r="E1474" s="149"/>
      <c r="F1474" s="149"/>
      <c r="G1474" s="149"/>
      <c r="H1474" s="149"/>
      <c r="I1474" s="149"/>
      <c r="J1474" s="149"/>
      <c r="K1474" s="149"/>
      <c r="L1474" s="149"/>
      <c r="M1474" s="149"/>
      <c r="N1474" s="149"/>
      <c r="O1474" s="149"/>
      <c r="P1474" s="149"/>
      <c r="Q1474" s="149"/>
      <c r="R1474" s="149"/>
      <c r="S1474" s="149"/>
      <c r="T1474" s="149"/>
      <c r="U1474" s="149"/>
      <c r="V1474" s="149"/>
      <c r="W1474" s="149"/>
      <c r="X1474" s="149"/>
      <c r="Y1474" s="149"/>
      <c r="Z1474" s="149"/>
      <c r="AA1474" s="149"/>
      <c r="AB1474" s="149"/>
      <c r="AC1474" s="149"/>
      <c r="AD1474" s="149"/>
      <c r="AE1474" s="149"/>
      <c r="AF1474" s="149"/>
      <c r="AG1474" s="149"/>
      <c r="AH1474" s="149"/>
      <c r="AI1474" s="149"/>
      <c r="AJ1474" s="149"/>
      <c r="AK1474" s="149"/>
      <c r="AL1474" s="149"/>
      <c r="AM1474" s="149"/>
      <c r="AN1474" s="149"/>
      <c r="AO1474" s="149"/>
      <c r="AP1474" s="149"/>
    </row>
    <row r="1475" ht="18.75" customHeight="1">
      <c r="A1475" s="149"/>
      <c r="B1475" s="149"/>
      <c r="C1475" s="304"/>
      <c r="D1475" s="149"/>
      <c r="E1475" s="149"/>
      <c r="F1475" s="149"/>
      <c r="G1475" s="149"/>
      <c r="H1475" s="149"/>
      <c r="I1475" s="149"/>
      <c r="J1475" s="149"/>
      <c r="K1475" s="149"/>
      <c r="L1475" s="149"/>
      <c r="M1475" s="149"/>
      <c r="N1475" s="149"/>
      <c r="O1475" s="149"/>
      <c r="P1475" s="149"/>
      <c r="Q1475" s="149"/>
      <c r="R1475" s="149"/>
      <c r="S1475" s="149"/>
      <c r="T1475" s="149"/>
      <c r="U1475" s="149"/>
      <c r="V1475" s="149"/>
      <c r="W1475" s="149"/>
      <c r="X1475" s="149"/>
      <c r="Y1475" s="149"/>
      <c r="Z1475" s="149"/>
      <c r="AA1475" s="149"/>
      <c r="AB1475" s="149"/>
      <c r="AC1475" s="149"/>
      <c r="AD1475" s="149"/>
      <c r="AE1475" s="149"/>
      <c r="AF1475" s="149"/>
      <c r="AG1475" s="149"/>
      <c r="AH1475" s="149"/>
      <c r="AI1475" s="149"/>
      <c r="AJ1475" s="149"/>
      <c r="AK1475" s="149"/>
      <c r="AL1475" s="149"/>
      <c r="AM1475" s="149"/>
      <c r="AN1475" s="149"/>
      <c r="AO1475" s="149"/>
      <c r="AP1475" s="149"/>
    </row>
    <row r="1476" ht="18.75" customHeight="1">
      <c r="A1476" s="149"/>
      <c r="B1476" s="149"/>
      <c r="C1476" s="304"/>
      <c r="D1476" s="149"/>
      <c r="E1476" s="149"/>
      <c r="F1476" s="149"/>
      <c r="G1476" s="149"/>
      <c r="H1476" s="149"/>
      <c r="I1476" s="149"/>
      <c r="J1476" s="149"/>
      <c r="K1476" s="149"/>
      <c r="L1476" s="149"/>
      <c r="M1476" s="149"/>
      <c r="N1476" s="149"/>
      <c r="O1476" s="149"/>
      <c r="P1476" s="149"/>
      <c r="Q1476" s="149"/>
      <c r="R1476" s="149"/>
      <c r="S1476" s="149"/>
      <c r="T1476" s="149"/>
      <c r="U1476" s="149"/>
      <c r="V1476" s="149"/>
      <c r="W1476" s="149"/>
      <c r="X1476" s="149"/>
      <c r="Y1476" s="149"/>
      <c r="Z1476" s="149"/>
      <c r="AA1476" s="149"/>
      <c r="AB1476" s="149"/>
      <c r="AC1476" s="149"/>
      <c r="AD1476" s="149"/>
      <c r="AE1476" s="149"/>
      <c r="AF1476" s="149"/>
      <c r="AG1476" s="149"/>
      <c r="AH1476" s="149"/>
      <c r="AI1476" s="149"/>
      <c r="AJ1476" s="149"/>
      <c r="AK1476" s="149"/>
      <c r="AL1476" s="149"/>
      <c r="AM1476" s="149"/>
      <c r="AN1476" s="149"/>
      <c r="AO1476" s="149"/>
      <c r="AP1476" s="149"/>
    </row>
    <row r="1477" ht="18.75" customHeight="1">
      <c r="A1477" s="149"/>
      <c r="B1477" s="149"/>
      <c r="C1477" s="304"/>
      <c r="D1477" s="149"/>
      <c r="E1477" s="149"/>
      <c r="F1477" s="149"/>
      <c r="G1477" s="149"/>
      <c r="H1477" s="149"/>
      <c r="I1477" s="149"/>
      <c r="J1477" s="149"/>
      <c r="K1477" s="149"/>
      <c r="L1477" s="149"/>
      <c r="M1477" s="149"/>
      <c r="N1477" s="149"/>
      <c r="O1477" s="149"/>
      <c r="P1477" s="149"/>
      <c r="Q1477" s="149"/>
      <c r="R1477" s="149"/>
      <c r="S1477" s="149"/>
      <c r="T1477" s="149"/>
      <c r="U1477" s="149"/>
      <c r="V1477" s="149"/>
      <c r="W1477" s="149"/>
      <c r="X1477" s="149"/>
      <c r="Y1477" s="149"/>
      <c r="Z1477" s="149"/>
      <c r="AA1477" s="149"/>
      <c r="AB1477" s="149"/>
      <c r="AC1477" s="149"/>
      <c r="AD1477" s="149"/>
      <c r="AE1477" s="149"/>
      <c r="AF1477" s="149"/>
      <c r="AG1477" s="149"/>
      <c r="AH1477" s="149"/>
      <c r="AI1477" s="149"/>
      <c r="AJ1477" s="149"/>
      <c r="AK1477" s="149"/>
      <c r="AL1477" s="149"/>
      <c r="AM1477" s="149"/>
      <c r="AN1477" s="149"/>
      <c r="AO1477" s="149"/>
      <c r="AP1477" s="149"/>
    </row>
    <row r="1478" ht="18.75" customHeight="1">
      <c r="A1478" s="149"/>
      <c r="B1478" s="149"/>
      <c r="C1478" s="304"/>
      <c r="D1478" s="149"/>
      <c r="E1478" s="149"/>
      <c r="F1478" s="149"/>
      <c r="G1478" s="149"/>
      <c r="H1478" s="149"/>
      <c r="I1478" s="149"/>
      <c r="J1478" s="149"/>
      <c r="K1478" s="149"/>
      <c r="L1478" s="149"/>
      <c r="M1478" s="149"/>
      <c r="N1478" s="149"/>
      <c r="O1478" s="149"/>
      <c r="P1478" s="149"/>
      <c r="Q1478" s="149"/>
      <c r="R1478" s="149"/>
      <c r="S1478" s="149"/>
      <c r="T1478" s="149"/>
      <c r="U1478" s="149"/>
      <c r="V1478" s="149"/>
      <c r="W1478" s="149"/>
      <c r="X1478" s="149"/>
      <c r="Y1478" s="149"/>
      <c r="Z1478" s="149"/>
      <c r="AA1478" s="149"/>
      <c r="AB1478" s="149"/>
      <c r="AC1478" s="149"/>
      <c r="AD1478" s="149"/>
      <c r="AE1478" s="149"/>
      <c r="AF1478" s="149"/>
      <c r="AG1478" s="149"/>
      <c r="AH1478" s="149"/>
      <c r="AI1478" s="149"/>
      <c r="AJ1478" s="149"/>
      <c r="AK1478" s="149"/>
      <c r="AL1478" s="149"/>
      <c r="AM1478" s="149"/>
      <c r="AN1478" s="149"/>
      <c r="AO1478" s="149"/>
      <c r="AP1478" s="149"/>
    </row>
    <row r="1479" ht="18.75" customHeight="1">
      <c r="A1479" s="149"/>
      <c r="B1479" s="149"/>
      <c r="C1479" s="304"/>
      <c r="D1479" s="149"/>
      <c r="E1479" s="149"/>
      <c r="F1479" s="149"/>
      <c r="G1479" s="149"/>
      <c r="H1479" s="149"/>
      <c r="I1479" s="149"/>
      <c r="J1479" s="149"/>
      <c r="K1479" s="149"/>
      <c r="L1479" s="149"/>
      <c r="M1479" s="149"/>
      <c r="N1479" s="149"/>
      <c r="O1479" s="149"/>
      <c r="P1479" s="149"/>
      <c r="Q1479" s="149"/>
      <c r="R1479" s="149"/>
      <c r="S1479" s="149"/>
      <c r="T1479" s="149"/>
      <c r="U1479" s="149"/>
      <c r="V1479" s="149"/>
      <c r="W1479" s="149"/>
      <c r="X1479" s="149"/>
      <c r="Y1479" s="149"/>
      <c r="Z1479" s="149"/>
      <c r="AA1479" s="149"/>
      <c r="AB1479" s="149"/>
      <c r="AC1479" s="149"/>
      <c r="AD1479" s="149"/>
      <c r="AE1479" s="149"/>
      <c r="AF1479" s="149"/>
      <c r="AG1479" s="149"/>
      <c r="AH1479" s="149"/>
      <c r="AI1479" s="149"/>
      <c r="AJ1479" s="149"/>
      <c r="AK1479" s="149"/>
      <c r="AL1479" s="149"/>
      <c r="AM1479" s="149"/>
      <c r="AN1479" s="149"/>
      <c r="AO1479" s="149"/>
      <c r="AP1479" s="149"/>
    </row>
    <row r="1480" ht="18.75" customHeight="1">
      <c r="A1480" s="149"/>
      <c r="B1480" s="149"/>
      <c r="C1480" s="304"/>
      <c r="D1480" s="149"/>
      <c r="E1480" s="149"/>
      <c r="F1480" s="149"/>
      <c r="G1480" s="149"/>
      <c r="H1480" s="149"/>
      <c r="I1480" s="149"/>
      <c r="J1480" s="149"/>
      <c r="K1480" s="149"/>
      <c r="L1480" s="149"/>
      <c r="M1480" s="149"/>
      <c r="N1480" s="149"/>
      <c r="O1480" s="149"/>
      <c r="P1480" s="149"/>
      <c r="Q1480" s="149"/>
      <c r="R1480" s="149"/>
      <c r="S1480" s="149"/>
      <c r="T1480" s="149"/>
      <c r="U1480" s="149"/>
      <c r="V1480" s="149"/>
      <c r="W1480" s="149"/>
      <c r="X1480" s="149"/>
      <c r="Y1480" s="149"/>
      <c r="Z1480" s="149"/>
      <c r="AA1480" s="149"/>
      <c r="AB1480" s="149"/>
      <c r="AC1480" s="149"/>
      <c r="AD1480" s="149"/>
      <c r="AE1480" s="149"/>
      <c r="AF1480" s="149"/>
      <c r="AG1480" s="149"/>
      <c r="AH1480" s="149"/>
      <c r="AI1480" s="149"/>
      <c r="AJ1480" s="149"/>
      <c r="AK1480" s="149"/>
      <c r="AL1480" s="149"/>
      <c r="AM1480" s="149"/>
      <c r="AN1480" s="149"/>
      <c r="AO1480" s="149"/>
      <c r="AP1480" s="149"/>
    </row>
    <row r="1481" ht="18.75" customHeight="1">
      <c r="A1481" s="149"/>
      <c r="B1481" s="149"/>
      <c r="C1481" s="304"/>
      <c r="D1481" s="149"/>
      <c r="E1481" s="149"/>
      <c r="F1481" s="149"/>
      <c r="G1481" s="149"/>
      <c r="H1481" s="149"/>
      <c r="I1481" s="149"/>
      <c r="J1481" s="149"/>
      <c r="K1481" s="149"/>
      <c r="L1481" s="149"/>
      <c r="M1481" s="149"/>
      <c r="N1481" s="149"/>
      <c r="O1481" s="149"/>
      <c r="P1481" s="149"/>
      <c r="Q1481" s="149"/>
      <c r="R1481" s="149"/>
      <c r="S1481" s="149"/>
      <c r="T1481" s="149"/>
      <c r="U1481" s="149"/>
      <c r="V1481" s="149"/>
      <c r="W1481" s="149"/>
      <c r="X1481" s="149"/>
      <c r="Y1481" s="149"/>
      <c r="Z1481" s="149"/>
      <c r="AA1481" s="149"/>
      <c r="AB1481" s="149"/>
      <c r="AC1481" s="149"/>
      <c r="AD1481" s="149"/>
      <c r="AE1481" s="149"/>
      <c r="AF1481" s="149"/>
      <c r="AG1481" s="149"/>
      <c r="AH1481" s="149"/>
      <c r="AI1481" s="149"/>
      <c r="AJ1481" s="149"/>
      <c r="AK1481" s="149"/>
      <c r="AL1481" s="149"/>
      <c r="AM1481" s="149"/>
      <c r="AN1481" s="149"/>
      <c r="AO1481" s="149"/>
      <c r="AP1481" s="149"/>
    </row>
    <row r="1482" ht="18.75" customHeight="1">
      <c r="A1482" s="149"/>
      <c r="B1482" s="149"/>
      <c r="C1482" s="304"/>
      <c r="D1482" s="149"/>
      <c r="E1482" s="149"/>
      <c r="F1482" s="149"/>
      <c r="G1482" s="149"/>
      <c r="H1482" s="149"/>
      <c r="I1482" s="149"/>
      <c r="J1482" s="149"/>
      <c r="K1482" s="149"/>
      <c r="L1482" s="149"/>
      <c r="M1482" s="149"/>
      <c r="N1482" s="149"/>
      <c r="O1482" s="149"/>
      <c r="P1482" s="149"/>
      <c r="Q1482" s="149"/>
      <c r="R1482" s="149"/>
      <c r="S1482" s="149"/>
      <c r="T1482" s="149"/>
      <c r="U1482" s="149"/>
      <c r="V1482" s="149"/>
      <c r="W1482" s="149"/>
      <c r="X1482" s="149"/>
      <c r="Y1482" s="149"/>
      <c r="Z1482" s="149"/>
      <c r="AA1482" s="149"/>
      <c r="AB1482" s="149"/>
      <c r="AC1482" s="149"/>
      <c r="AD1482" s="149"/>
      <c r="AE1482" s="149"/>
      <c r="AF1482" s="149"/>
      <c r="AG1482" s="149"/>
      <c r="AH1482" s="149"/>
      <c r="AI1482" s="149"/>
      <c r="AJ1482" s="149"/>
      <c r="AK1482" s="149"/>
      <c r="AL1482" s="149"/>
      <c r="AM1482" s="149"/>
      <c r="AN1482" s="149"/>
      <c r="AO1482" s="149"/>
      <c r="AP1482" s="149"/>
    </row>
    <row r="1483" ht="18.75" customHeight="1">
      <c r="A1483" s="149"/>
      <c r="B1483" s="149"/>
      <c r="C1483" s="304"/>
      <c r="D1483" s="149"/>
      <c r="E1483" s="149"/>
      <c r="F1483" s="149"/>
      <c r="G1483" s="149"/>
      <c r="H1483" s="149"/>
      <c r="I1483" s="149"/>
      <c r="J1483" s="149"/>
      <c r="K1483" s="149"/>
      <c r="L1483" s="149"/>
      <c r="M1483" s="149"/>
      <c r="N1483" s="149"/>
      <c r="O1483" s="149"/>
      <c r="P1483" s="149"/>
      <c r="Q1483" s="149"/>
      <c r="R1483" s="149"/>
      <c r="S1483" s="149"/>
      <c r="T1483" s="149"/>
      <c r="U1483" s="149"/>
      <c r="V1483" s="149"/>
      <c r="W1483" s="149"/>
      <c r="X1483" s="149"/>
      <c r="Y1483" s="149"/>
      <c r="Z1483" s="149"/>
      <c r="AA1483" s="149"/>
      <c r="AB1483" s="149"/>
      <c r="AC1483" s="149"/>
      <c r="AD1483" s="149"/>
      <c r="AE1483" s="149"/>
      <c r="AF1483" s="149"/>
      <c r="AG1483" s="149"/>
      <c r="AH1483" s="149"/>
      <c r="AI1483" s="149"/>
      <c r="AJ1483" s="149"/>
      <c r="AK1483" s="149"/>
      <c r="AL1483" s="149"/>
      <c r="AM1483" s="149"/>
      <c r="AN1483" s="149"/>
      <c r="AO1483" s="149"/>
      <c r="AP1483" s="149"/>
    </row>
    <row r="1484" ht="18.75" customHeight="1">
      <c r="A1484" s="149"/>
      <c r="B1484" s="149"/>
      <c r="C1484" s="304"/>
      <c r="D1484" s="149"/>
      <c r="E1484" s="149"/>
      <c r="F1484" s="149"/>
      <c r="G1484" s="149"/>
      <c r="H1484" s="149"/>
      <c r="I1484" s="149"/>
      <c r="J1484" s="149"/>
      <c r="K1484" s="149"/>
      <c r="L1484" s="149"/>
      <c r="M1484" s="149"/>
      <c r="N1484" s="149"/>
      <c r="O1484" s="149"/>
      <c r="P1484" s="149"/>
      <c r="Q1484" s="149"/>
      <c r="R1484" s="149"/>
      <c r="S1484" s="149"/>
      <c r="T1484" s="149"/>
      <c r="U1484" s="149"/>
      <c r="V1484" s="149"/>
      <c r="W1484" s="149"/>
      <c r="X1484" s="149"/>
      <c r="Y1484" s="149"/>
      <c r="Z1484" s="149"/>
      <c r="AA1484" s="149"/>
      <c r="AB1484" s="149"/>
      <c r="AC1484" s="149"/>
      <c r="AD1484" s="149"/>
      <c r="AE1484" s="149"/>
      <c r="AF1484" s="149"/>
      <c r="AG1484" s="149"/>
      <c r="AH1484" s="149"/>
      <c r="AI1484" s="149"/>
      <c r="AJ1484" s="149"/>
      <c r="AK1484" s="149"/>
      <c r="AL1484" s="149"/>
      <c r="AM1484" s="149"/>
      <c r="AN1484" s="149"/>
      <c r="AO1484" s="149"/>
      <c r="AP1484" s="149"/>
    </row>
    <row r="1485" ht="18.75" customHeight="1">
      <c r="A1485" s="149"/>
      <c r="B1485" s="149"/>
      <c r="C1485" s="304"/>
      <c r="D1485" s="149"/>
      <c r="E1485" s="149"/>
      <c r="F1485" s="149"/>
      <c r="G1485" s="149"/>
      <c r="H1485" s="149"/>
      <c r="I1485" s="149"/>
      <c r="J1485" s="149"/>
      <c r="K1485" s="149"/>
      <c r="L1485" s="149"/>
      <c r="M1485" s="149"/>
      <c r="N1485" s="149"/>
      <c r="O1485" s="149"/>
      <c r="P1485" s="149"/>
      <c r="Q1485" s="149"/>
      <c r="R1485" s="149"/>
      <c r="S1485" s="149"/>
      <c r="T1485" s="149"/>
      <c r="U1485" s="149"/>
      <c r="V1485" s="149"/>
      <c r="W1485" s="149"/>
      <c r="X1485" s="149"/>
      <c r="Y1485" s="149"/>
      <c r="Z1485" s="149"/>
      <c r="AA1485" s="149"/>
      <c r="AB1485" s="149"/>
      <c r="AC1485" s="149"/>
      <c r="AD1485" s="149"/>
      <c r="AE1485" s="149"/>
      <c r="AF1485" s="149"/>
      <c r="AG1485" s="149"/>
      <c r="AH1485" s="149"/>
      <c r="AI1485" s="149"/>
      <c r="AJ1485" s="149"/>
      <c r="AK1485" s="149"/>
      <c r="AL1485" s="149"/>
      <c r="AM1485" s="149"/>
      <c r="AN1485" s="149"/>
      <c r="AO1485" s="149"/>
      <c r="AP1485" s="149"/>
    </row>
    <row r="1486" ht="18.75" customHeight="1">
      <c r="A1486" s="149"/>
      <c r="B1486" s="149"/>
      <c r="C1486" s="304"/>
      <c r="D1486" s="149"/>
      <c r="E1486" s="149"/>
      <c r="F1486" s="149"/>
      <c r="G1486" s="149"/>
      <c r="H1486" s="149"/>
      <c r="I1486" s="149"/>
      <c r="J1486" s="149"/>
      <c r="K1486" s="149"/>
      <c r="L1486" s="149"/>
      <c r="M1486" s="149"/>
      <c r="N1486" s="149"/>
      <c r="O1486" s="149"/>
      <c r="P1486" s="149"/>
      <c r="Q1486" s="149"/>
      <c r="R1486" s="149"/>
      <c r="S1486" s="149"/>
      <c r="T1486" s="149"/>
      <c r="U1486" s="149"/>
      <c r="V1486" s="149"/>
      <c r="W1486" s="149"/>
      <c r="X1486" s="149"/>
      <c r="Y1486" s="149"/>
      <c r="Z1486" s="149"/>
      <c r="AA1486" s="149"/>
      <c r="AB1486" s="149"/>
      <c r="AC1486" s="149"/>
      <c r="AD1486" s="149"/>
      <c r="AE1486" s="149"/>
      <c r="AF1486" s="149"/>
      <c r="AG1486" s="149"/>
      <c r="AH1486" s="149"/>
      <c r="AI1486" s="149"/>
      <c r="AJ1486" s="149"/>
      <c r="AK1486" s="149"/>
      <c r="AL1486" s="149"/>
      <c r="AM1486" s="149"/>
      <c r="AN1486" s="149"/>
      <c r="AO1486" s="149"/>
      <c r="AP1486" s="149"/>
    </row>
    <row r="1487" ht="18.75" customHeight="1">
      <c r="A1487" s="149"/>
      <c r="B1487" s="149"/>
      <c r="C1487" s="304"/>
      <c r="D1487" s="149"/>
      <c r="E1487" s="149"/>
      <c r="F1487" s="149"/>
      <c r="G1487" s="149"/>
      <c r="H1487" s="149"/>
      <c r="I1487" s="149"/>
      <c r="J1487" s="149"/>
      <c r="K1487" s="149"/>
      <c r="L1487" s="149"/>
      <c r="M1487" s="149"/>
      <c r="N1487" s="149"/>
      <c r="O1487" s="149"/>
      <c r="P1487" s="149"/>
      <c r="Q1487" s="149"/>
      <c r="R1487" s="149"/>
      <c r="S1487" s="149"/>
      <c r="T1487" s="149"/>
      <c r="U1487" s="149"/>
      <c r="V1487" s="149"/>
      <c r="W1487" s="149"/>
      <c r="X1487" s="149"/>
      <c r="Y1487" s="149"/>
      <c r="Z1487" s="149"/>
      <c r="AA1487" s="149"/>
      <c r="AB1487" s="149"/>
      <c r="AC1487" s="149"/>
      <c r="AD1487" s="149"/>
      <c r="AE1487" s="149"/>
      <c r="AF1487" s="149"/>
      <c r="AG1487" s="149"/>
      <c r="AH1487" s="149"/>
      <c r="AI1487" s="149"/>
      <c r="AJ1487" s="149"/>
      <c r="AK1487" s="149"/>
      <c r="AL1487" s="149"/>
      <c r="AM1487" s="149"/>
      <c r="AN1487" s="149"/>
      <c r="AO1487" s="149"/>
      <c r="AP1487" s="149"/>
    </row>
    <row r="1488" ht="18.75" customHeight="1">
      <c r="A1488" s="149"/>
      <c r="B1488" s="149"/>
      <c r="C1488" s="304"/>
      <c r="D1488" s="149"/>
      <c r="E1488" s="149"/>
      <c r="F1488" s="149"/>
      <c r="G1488" s="149"/>
      <c r="H1488" s="149"/>
      <c r="I1488" s="149"/>
      <c r="J1488" s="149"/>
      <c r="K1488" s="149"/>
      <c r="L1488" s="149"/>
      <c r="M1488" s="149"/>
      <c r="N1488" s="149"/>
      <c r="O1488" s="149"/>
      <c r="P1488" s="149"/>
      <c r="Q1488" s="149"/>
      <c r="R1488" s="149"/>
      <c r="S1488" s="149"/>
      <c r="T1488" s="149"/>
      <c r="U1488" s="149"/>
      <c r="V1488" s="149"/>
      <c r="W1488" s="149"/>
      <c r="X1488" s="149"/>
      <c r="Y1488" s="149"/>
      <c r="Z1488" s="149"/>
      <c r="AA1488" s="149"/>
      <c r="AB1488" s="149"/>
      <c r="AC1488" s="149"/>
      <c r="AD1488" s="149"/>
      <c r="AE1488" s="149"/>
      <c r="AF1488" s="149"/>
      <c r="AG1488" s="149"/>
      <c r="AH1488" s="149"/>
      <c r="AI1488" s="149"/>
      <c r="AJ1488" s="149"/>
      <c r="AK1488" s="149"/>
      <c r="AL1488" s="149"/>
      <c r="AM1488" s="149"/>
      <c r="AN1488" s="149"/>
      <c r="AO1488" s="149"/>
      <c r="AP1488" s="149"/>
    </row>
    <row r="1489" ht="18.75" customHeight="1">
      <c r="A1489" s="149"/>
      <c r="B1489" s="149"/>
      <c r="C1489" s="304"/>
      <c r="D1489" s="149"/>
      <c r="E1489" s="149"/>
      <c r="F1489" s="149"/>
      <c r="G1489" s="149"/>
      <c r="H1489" s="149"/>
      <c r="I1489" s="149"/>
      <c r="J1489" s="149"/>
      <c r="K1489" s="149"/>
      <c r="L1489" s="149"/>
      <c r="M1489" s="149"/>
      <c r="N1489" s="149"/>
      <c r="O1489" s="149"/>
      <c r="P1489" s="149"/>
      <c r="Q1489" s="149"/>
      <c r="R1489" s="149"/>
      <c r="S1489" s="149"/>
      <c r="T1489" s="149"/>
      <c r="U1489" s="149"/>
      <c r="V1489" s="149"/>
      <c r="W1489" s="149"/>
      <c r="X1489" s="149"/>
      <c r="Y1489" s="149"/>
      <c r="Z1489" s="149"/>
      <c r="AA1489" s="149"/>
      <c r="AB1489" s="149"/>
      <c r="AC1489" s="149"/>
      <c r="AD1489" s="149"/>
      <c r="AE1489" s="149"/>
      <c r="AF1489" s="149"/>
      <c r="AG1489" s="149"/>
      <c r="AH1489" s="149"/>
      <c r="AI1489" s="149"/>
      <c r="AJ1489" s="149"/>
      <c r="AK1489" s="149"/>
      <c r="AL1489" s="149"/>
      <c r="AM1489" s="149"/>
      <c r="AN1489" s="149"/>
      <c r="AO1489" s="149"/>
      <c r="AP1489" s="149"/>
    </row>
    <row r="1490" ht="18.75" customHeight="1">
      <c r="A1490" s="149"/>
      <c r="B1490" s="149"/>
      <c r="C1490" s="304"/>
      <c r="D1490" s="149"/>
      <c r="E1490" s="149"/>
      <c r="F1490" s="149"/>
      <c r="G1490" s="149"/>
      <c r="H1490" s="149"/>
      <c r="I1490" s="149"/>
      <c r="J1490" s="149"/>
      <c r="K1490" s="149"/>
      <c r="L1490" s="149"/>
      <c r="M1490" s="149"/>
      <c r="N1490" s="149"/>
      <c r="O1490" s="149"/>
      <c r="P1490" s="149"/>
      <c r="Q1490" s="149"/>
      <c r="R1490" s="149"/>
      <c r="S1490" s="149"/>
      <c r="T1490" s="149"/>
      <c r="U1490" s="149"/>
      <c r="V1490" s="149"/>
      <c r="W1490" s="149"/>
      <c r="X1490" s="149"/>
      <c r="Y1490" s="149"/>
      <c r="Z1490" s="149"/>
      <c r="AA1490" s="149"/>
      <c r="AB1490" s="149"/>
      <c r="AC1490" s="149"/>
      <c r="AD1490" s="149"/>
      <c r="AE1490" s="149"/>
      <c r="AF1490" s="149"/>
      <c r="AG1490" s="149"/>
      <c r="AH1490" s="149"/>
      <c r="AI1490" s="149"/>
      <c r="AJ1490" s="149"/>
      <c r="AK1490" s="149"/>
      <c r="AL1490" s="149"/>
      <c r="AM1490" s="149"/>
      <c r="AN1490" s="149"/>
      <c r="AO1490" s="149"/>
      <c r="AP1490" s="149"/>
    </row>
    <row r="1491" ht="18.75" customHeight="1">
      <c r="A1491" s="149"/>
      <c r="B1491" s="149"/>
      <c r="C1491" s="304"/>
      <c r="D1491" s="149"/>
      <c r="E1491" s="149"/>
      <c r="F1491" s="149"/>
      <c r="G1491" s="149"/>
      <c r="H1491" s="149"/>
      <c r="I1491" s="149"/>
      <c r="J1491" s="149"/>
      <c r="K1491" s="149"/>
      <c r="L1491" s="149"/>
      <c r="M1491" s="149"/>
      <c r="N1491" s="149"/>
      <c r="O1491" s="149"/>
      <c r="P1491" s="149"/>
      <c r="Q1491" s="149"/>
      <c r="R1491" s="149"/>
      <c r="S1491" s="149"/>
      <c r="T1491" s="149"/>
      <c r="U1491" s="149"/>
      <c r="V1491" s="149"/>
      <c r="W1491" s="149"/>
      <c r="X1491" s="149"/>
      <c r="Y1491" s="149"/>
      <c r="Z1491" s="149"/>
      <c r="AA1491" s="149"/>
      <c r="AB1491" s="149"/>
      <c r="AC1491" s="149"/>
      <c r="AD1491" s="149"/>
      <c r="AE1491" s="149"/>
      <c r="AF1491" s="149"/>
      <c r="AG1491" s="149"/>
      <c r="AH1491" s="149"/>
      <c r="AI1491" s="149"/>
      <c r="AJ1491" s="149"/>
      <c r="AK1491" s="149"/>
      <c r="AL1491" s="149"/>
      <c r="AM1491" s="149"/>
      <c r="AN1491" s="149"/>
      <c r="AO1491" s="149"/>
      <c r="AP1491" s="149"/>
    </row>
    <row r="1492" ht="18.75" customHeight="1">
      <c r="A1492" s="149"/>
      <c r="B1492" s="149"/>
      <c r="C1492" s="304"/>
      <c r="D1492" s="149"/>
      <c r="E1492" s="149"/>
      <c r="F1492" s="149"/>
      <c r="G1492" s="149"/>
      <c r="H1492" s="149"/>
      <c r="I1492" s="149"/>
      <c r="J1492" s="149"/>
      <c r="K1492" s="149"/>
      <c r="L1492" s="149"/>
      <c r="M1492" s="149"/>
      <c r="N1492" s="149"/>
      <c r="O1492" s="149"/>
      <c r="P1492" s="149"/>
      <c r="Q1492" s="149"/>
      <c r="R1492" s="149"/>
      <c r="S1492" s="149"/>
      <c r="T1492" s="149"/>
      <c r="U1492" s="149"/>
      <c r="V1492" s="149"/>
      <c r="W1492" s="149"/>
      <c r="X1492" s="149"/>
      <c r="Y1492" s="149"/>
      <c r="Z1492" s="149"/>
      <c r="AA1492" s="149"/>
      <c r="AB1492" s="149"/>
      <c r="AC1492" s="149"/>
      <c r="AD1492" s="149"/>
      <c r="AE1492" s="149"/>
      <c r="AF1492" s="149"/>
      <c r="AG1492" s="149"/>
      <c r="AH1492" s="149"/>
      <c r="AI1492" s="149"/>
      <c r="AJ1492" s="149"/>
      <c r="AK1492" s="149"/>
      <c r="AL1492" s="149"/>
      <c r="AM1492" s="149"/>
      <c r="AN1492" s="149"/>
      <c r="AO1492" s="149"/>
      <c r="AP1492" s="149"/>
    </row>
    <row r="1493" ht="18.75" customHeight="1">
      <c r="A1493" s="149"/>
      <c r="B1493" s="149"/>
      <c r="C1493" s="304"/>
      <c r="D1493" s="149"/>
      <c r="E1493" s="149"/>
      <c r="F1493" s="149"/>
      <c r="G1493" s="149"/>
      <c r="H1493" s="149"/>
      <c r="I1493" s="149"/>
      <c r="J1493" s="149"/>
      <c r="K1493" s="149"/>
      <c r="L1493" s="149"/>
      <c r="M1493" s="149"/>
      <c r="N1493" s="149"/>
      <c r="O1493" s="149"/>
      <c r="P1493" s="149"/>
      <c r="Q1493" s="149"/>
      <c r="R1493" s="149"/>
      <c r="S1493" s="149"/>
      <c r="T1493" s="149"/>
      <c r="U1493" s="149"/>
      <c r="V1493" s="149"/>
      <c r="W1493" s="149"/>
      <c r="X1493" s="149"/>
      <c r="Y1493" s="149"/>
      <c r="Z1493" s="149"/>
      <c r="AA1493" s="149"/>
      <c r="AB1493" s="149"/>
      <c r="AC1493" s="149"/>
      <c r="AD1493" s="149"/>
      <c r="AE1493" s="149"/>
      <c r="AF1493" s="149"/>
      <c r="AG1493" s="149"/>
      <c r="AH1493" s="149"/>
      <c r="AI1493" s="149"/>
      <c r="AJ1493" s="149"/>
      <c r="AK1493" s="149"/>
      <c r="AL1493" s="149"/>
      <c r="AM1493" s="149"/>
      <c r="AN1493" s="149"/>
      <c r="AO1493" s="149"/>
      <c r="AP1493" s="149"/>
    </row>
    <row r="1494" ht="18.75" customHeight="1">
      <c r="A1494" s="149"/>
      <c r="B1494" s="149"/>
      <c r="C1494" s="304"/>
      <c r="D1494" s="149"/>
      <c r="E1494" s="149"/>
      <c r="F1494" s="149"/>
      <c r="G1494" s="149"/>
      <c r="H1494" s="149"/>
      <c r="I1494" s="149"/>
      <c r="J1494" s="149"/>
      <c r="K1494" s="149"/>
      <c r="L1494" s="149"/>
      <c r="M1494" s="149"/>
      <c r="N1494" s="149"/>
      <c r="O1494" s="149"/>
      <c r="P1494" s="149"/>
      <c r="Q1494" s="149"/>
      <c r="R1494" s="149"/>
      <c r="S1494" s="149"/>
      <c r="T1494" s="149"/>
      <c r="U1494" s="149"/>
      <c r="V1494" s="149"/>
      <c r="W1494" s="149"/>
      <c r="X1494" s="149"/>
      <c r="Y1494" s="149"/>
      <c r="Z1494" s="149"/>
      <c r="AA1494" s="149"/>
      <c r="AB1494" s="149"/>
      <c r="AC1494" s="149"/>
      <c r="AD1494" s="149"/>
      <c r="AE1494" s="149"/>
      <c r="AF1494" s="149"/>
      <c r="AG1494" s="149"/>
      <c r="AH1494" s="149"/>
      <c r="AI1494" s="149"/>
      <c r="AJ1494" s="149"/>
      <c r="AK1494" s="149"/>
      <c r="AL1494" s="149"/>
      <c r="AM1494" s="149"/>
      <c r="AN1494" s="149"/>
      <c r="AO1494" s="149"/>
      <c r="AP1494" s="149"/>
    </row>
    <row r="1495" ht="18.75" customHeight="1">
      <c r="A1495" s="149"/>
      <c r="B1495" s="149"/>
      <c r="C1495" s="304"/>
      <c r="D1495" s="149"/>
      <c r="E1495" s="149"/>
      <c r="F1495" s="149"/>
      <c r="G1495" s="149"/>
      <c r="H1495" s="149"/>
      <c r="I1495" s="149"/>
      <c r="J1495" s="149"/>
      <c r="K1495" s="149"/>
      <c r="L1495" s="149"/>
      <c r="M1495" s="149"/>
      <c r="N1495" s="149"/>
      <c r="O1495" s="149"/>
      <c r="P1495" s="149"/>
      <c r="Q1495" s="149"/>
      <c r="R1495" s="149"/>
      <c r="S1495" s="149"/>
      <c r="T1495" s="149"/>
      <c r="U1495" s="149"/>
      <c r="V1495" s="149"/>
      <c r="W1495" s="149"/>
      <c r="X1495" s="149"/>
      <c r="Y1495" s="149"/>
      <c r="Z1495" s="149"/>
      <c r="AA1495" s="149"/>
      <c r="AB1495" s="149"/>
      <c r="AC1495" s="149"/>
      <c r="AD1495" s="149"/>
      <c r="AE1495" s="149"/>
      <c r="AF1495" s="149"/>
      <c r="AG1495" s="149"/>
      <c r="AH1495" s="149"/>
      <c r="AI1495" s="149"/>
      <c r="AJ1495" s="149"/>
      <c r="AK1495" s="149"/>
      <c r="AL1495" s="149"/>
      <c r="AM1495" s="149"/>
      <c r="AN1495" s="149"/>
      <c r="AO1495" s="149"/>
      <c r="AP1495" s="149"/>
    </row>
    <row r="1496" ht="18.75" customHeight="1">
      <c r="A1496" s="149"/>
      <c r="B1496" s="149"/>
      <c r="C1496" s="304"/>
      <c r="D1496" s="149"/>
      <c r="E1496" s="149"/>
      <c r="F1496" s="149"/>
      <c r="G1496" s="149"/>
      <c r="H1496" s="149"/>
      <c r="I1496" s="149"/>
      <c r="J1496" s="149"/>
      <c r="K1496" s="149"/>
      <c r="L1496" s="149"/>
      <c r="M1496" s="149"/>
      <c r="N1496" s="149"/>
      <c r="O1496" s="149"/>
      <c r="P1496" s="149"/>
      <c r="Q1496" s="149"/>
      <c r="R1496" s="149"/>
      <c r="S1496" s="149"/>
      <c r="T1496" s="149"/>
      <c r="U1496" s="149"/>
      <c r="V1496" s="149"/>
      <c r="W1496" s="149"/>
      <c r="X1496" s="149"/>
      <c r="Y1496" s="149"/>
      <c r="Z1496" s="149"/>
      <c r="AA1496" s="149"/>
      <c r="AB1496" s="149"/>
      <c r="AC1496" s="149"/>
      <c r="AD1496" s="149"/>
      <c r="AE1496" s="149"/>
      <c r="AF1496" s="149"/>
      <c r="AG1496" s="149"/>
      <c r="AH1496" s="149"/>
      <c r="AI1496" s="149"/>
      <c r="AJ1496" s="149"/>
      <c r="AK1496" s="149"/>
      <c r="AL1496" s="149"/>
      <c r="AM1496" s="149"/>
      <c r="AN1496" s="149"/>
      <c r="AO1496" s="149"/>
      <c r="AP1496" s="149"/>
    </row>
    <row r="1497" ht="18.75" customHeight="1">
      <c r="A1497" s="149"/>
      <c r="B1497" s="149"/>
      <c r="C1497" s="304"/>
      <c r="D1497" s="149"/>
      <c r="E1497" s="149"/>
      <c r="F1497" s="149"/>
      <c r="G1497" s="149"/>
      <c r="H1497" s="149"/>
      <c r="I1497" s="149"/>
      <c r="J1497" s="149"/>
      <c r="K1497" s="149"/>
      <c r="L1497" s="149"/>
      <c r="M1497" s="149"/>
      <c r="N1497" s="149"/>
      <c r="O1497" s="149"/>
      <c r="P1497" s="149"/>
      <c r="Q1497" s="149"/>
      <c r="R1497" s="149"/>
      <c r="S1497" s="149"/>
      <c r="T1497" s="149"/>
      <c r="U1497" s="149"/>
      <c r="V1497" s="149"/>
      <c r="W1497" s="149"/>
      <c r="X1497" s="149"/>
      <c r="Y1497" s="149"/>
      <c r="Z1497" s="149"/>
      <c r="AA1497" s="149"/>
      <c r="AB1497" s="149"/>
      <c r="AC1497" s="149"/>
      <c r="AD1497" s="149"/>
      <c r="AE1497" s="149"/>
      <c r="AF1497" s="149"/>
      <c r="AG1497" s="149"/>
      <c r="AH1497" s="149"/>
      <c r="AI1497" s="149"/>
      <c r="AJ1497" s="149"/>
      <c r="AK1497" s="149"/>
      <c r="AL1497" s="149"/>
      <c r="AM1497" s="149"/>
      <c r="AN1497" s="149"/>
      <c r="AO1497" s="149"/>
      <c r="AP1497" s="149"/>
    </row>
    <row r="1498" ht="18.75" customHeight="1">
      <c r="A1498" s="149"/>
      <c r="B1498" s="149"/>
      <c r="C1498" s="304"/>
      <c r="D1498" s="149"/>
      <c r="E1498" s="149"/>
      <c r="F1498" s="149"/>
      <c r="G1498" s="149"/>
      <c r="H1498" s="149"/>
      <c r="I1498" s="149"/>
      <c r="J1498" s="149"/>
      <c r="K1498" s="149"/>
      <c r="L1498" s="149"/>
      <c r="M1498" s="149"/>
      <c r="N1498" s="149"/>
      <c r="O1498" s="149"/>
      <c r="P1498" s="149"/>
      <c r="Q1498" s="149"/>
      <c r="R1498" s="149"/>
      <c r="S1498" s="149"/>
      <c r="T1498" s="149"/>
      <c r="U1498" s="149"/>
      <c r="V1498" s="149"/>
      <c r="W1498" s="149"/>
      <c r="X1498" s="149"/>
      <c r="Y1498" s="149"/>
      <c r="Z1498" s="149"/>
      <c r="AA1498" s="149"/>
      <c r="AB1498" s="149"/>
      <c r="AC1498" s="149"/>
      <c r="AD1498" s="149"/>
      <c r="AE1498" s="149"/>
      <c r="AF1498" s="149"/>
      <c r="AG1498" s="149"/>
      <c r="AH1498" s="149"/>
      <c r="AI1498" s="149"/>
      <c r="AJ1498" s="149"/>
      <c r="AK1498" s="149"/>
      <c r="AL1498" s="149"/>
      <c r="AM1498" s="149"/>
      <c r="AN1498" s="149"/>
      <c r="AO1498" s="149"/>
      <c r="AP1498" s="149"/>
    </row>
    <row r="1499" ht="18.75" customHeight="1">
      <c r="A1499" s="149"/>
      <c r="B1499" s="149"/>
      <c r="C1499" s="304"/>
      <c r="D1499" s="149"/>
      <c r="E1499" s="149"/>
      <c r="F1499" s="149"/>
      <c r="G1499" s="149"/>
      <c r="H1499" s="149"/>
      <c r="I1499" s="149"/>
      <c r="J1499" s="149"/>
      <c r="K1499" s="149"/>
      <c r="L1499" s="149"/>
      <c r="M1499" s="149"/>
      <c r="N1499" s="149"/>
      <c r="O1499" s="149"/>
      <c r="P1499" s="149"/>
      <c r="Q1499" s="149"/>
      <c r="R1499" s="149"/>
      <c r="S1499" s="149"/>
      <c r="T1499" s="149"/>
      <c r="U1499" s="149"/>
      <c r="V1499" s="149"/>
      <c r="W1499" s="149"/>
      <c r="X1499" s="149"/>
      <c r="Y1499" s="149"/>
      <c r="Z1499" s="149"/>
      <c r="AA1499" s="149"/>
      <c r="AB1499" s="149"/>
      <c r="AC1499" s="149"/>
      <c r="AD1499" s="149"/>
      <c r="AE1499" s="149"/>
      <c r="AF1499" s="149"/>
      <c r="AG1499" s="149"/>
      <c r="AH1499" s="149"/>
      <c r="AI1499" s="149"/>
      <c r="AJ1499" s="149"/>
      <c r="AK1499" s="149"/>
      <c r="AL1499" s="149"/>
      <c r="AM1499" s="149"/>
      <c r="AN1499" s="149"/>
      <c r="AO1499" s="149"/>
      <c r="AP1499" s="149"/>
    </row>
    <row r="1500" ht="18.75" customHeight="1">
      <c r="A1500" s="149"/>
      <c r="B1500" s="149"/>
      <c r="C1500" s="304"/>
      <c r="D1500" s="149"/>
      <c r="E1500" s="149"/>
      <c r="F1500" s="149"/>
      <c r="G1500" s="149"/>
      <c r="H1500" s="149"/>
      <c r="I1500" s="149"/>
      <c r="J1500" s="149"/>
      <c r="K1500" s="149"/>
      <c r="L1500" s="149"/>
      <c r="M1500" s="149"/>
      <c r="N1500" s="149"/>
      <c r="O1500" s="149"/>
      <c r="P1500" s="149"/>
      <c r="Q1500" s="149"/>
      <c r="R1500" s="149"/>
      <c r="S1500" s="149"/>
      <c r="T1500" s="149"/>
      <c r="U1500" s="149"/>
      <c r="V1500" s="149"/>
      <c r="W1500" s="149"/>
      <c r="X1500" s="149"/>
      <c r="Y1500" s="149"/>
      <c r="Z1500" s="149"/>
      <c r="AA1500" s="149"/>
      <c r="AB1500" s="149"/>
      <c r="AC1500" s="149"/>
      <c r="AD1500" s="149"/>
      <c r="AE1500" s="149"/>
      <c r="AF1500" s="149"/>
      <c r="AG1500" s="149"/>
      <c r="AH1500" s="149"/>
      <c r="AI1500" s="149"/>
      <c r="AJ1500" s="149"/>
      <c r="AK1500" s="149"/>
      <c r="AL1500" s="149"/>
      <c r="AM1500" s="149"/>
      <c r="AN1500" s="149"/>
      <c r="AO1500" s="149"/>
      <c r="AP1500" s="149"/>
    </row>
    <row r="1501" ht="18.75" customHeight="1">
      <c r="A1501" s="149"/>
      <c r="B1501" s="149"/>
      <c r="C1501" s="304"/>
      <c r="D1501" s="149"/>
      <c r="E1501" s="149"/>
      <c r="F1501" s="149"/>
      <c r="G1501" s="149"/>
      <c r="H1501" s="149"/>
      <c r="I1501" s="149"/>
      <c r="J1501" s="149"/>
      <c r="K1501" s="149"/>
      <c r="L1501" s="149"/>
      <c r="M1501" s="149"/>
      <c r="N1501" s="149"/>
      <c r="O1501" s="149"/>
      <c r="P1501" s="149"/>
      <c r="Q1501" s="149"/>
      <c r="R1501" s="149"/>
      <c r="S1501" s="149"/>
      <c r="T1501" s="149"/>
      <c r="U1501" s="149"/>
      <c r="V1501" s="149"/>
      <c r="W1501" s="149"/>
      <c r="X1501" s="149"/>
      <c r="Y1501" s="149"/>
      <c r="Z1501" s="149"/>
      <c r="AA1501" s="149"/>
      <c r="AB1501" s="149"/>
      <c r="AC1501" s="149"/>
      <c r="AD1501" s="149"/>
      <c r="AE1501" s="149"/>
      <c r="AF1501" s="149"/>
      <c r="AG1501" s="149"/>
      <c r="AH1501" s="149"/>
      <c r="AI1501" s="149"/>
      <c r="AJ1501" s="149"/>
      <c r="AK1501" s="149"/>
      <c r="AL1501" s="149"/>
      <c r="AM1501" s="149"/>
      <c r="AN1501" s="149"/>
      <c r="AO1501" s="149"/>
      <c r="AP1501" s="149"/>
    </row>
    <row r="1502" ht="18.75" customHeight="1">
      <c r="A1502" s="149"/>
      <c r="B1502" s="149"/>
      <c r="C1502" s="304"/>
      <c r="D1502" s="149"/>
      <c r="E1502" s="149"/>
      <c r="F1502" s="149"/>
      <c r="G1502" s="149"/>
      <c r="H1502" s="149"/>
      <c r="I1502" s="149"/>
      <c r="J1502" s="149"/>
      <c r="K1502" s="149"/>
      <c r="L1502" s="149"/>
      <c r="M1502" s="149"/>
      <c r="N1502" s="149"/>
      <c r="O1502" s="149"/>
      <c r="P1502" s="149"/>
      <c r="Q1502" s="149"/>
      <c r="R1502" s="149"/>
      <c r="S1502" s="149"/>
      <c r="T1502" s="149"/>
      <c r="U1502" s="149"/>
      <c r="V1502" s="149"/>
      <c r="W1502" s="149"/>
      <c r="X1502" s="149"/>
      <c r="Y1502" s="149"/>
      <c r="Z1502" s="149"/>
      <c r="AA1502" s="149"/>
      <c r="AB1502" s="149"/>
      <c r="AC1502" s="149"/>
      <c r="AD1502" s="149"/>
      <c r="AE1502" s="149"/>
      <c r="AF1502" s="149"/>
      <c r="AG1502" s="149"/>
      <c r="AH1502" s="149"/>
      <c r="AI1502" s="149"/>
      <c r="AJ1502" s="149"/>
      <c r="AK1502" s="149"/>
      <c r="AL1502" s="149"/>
      <c r="AM1502" s="149"/>
      <c r="AN1502" s="149"/>
      <c r="AO1502" s="149"/>
      <c r="AP1502" s="149"/>
    </row>
    <row r="1503" ht="18.75" customHeight="1">
      <c r="A1503" s="149"/>
      <c r="B1503" s="149"/>
      <c r="C1503" s="304"/>
      <c r="D1503" s="149"/>
      <c r="E1503" s="149"/>
      <c r="F1503" s="149"/>
      <c r="G1503" s="149"/>
      <c r="H1503" s="149"/>
      <c r="I1503" s="149"/>
      <c r="J1503" s="149"/>
      <c r="K1503" s="149"/>
      <c r="L1503" s="149"/>
      <c r="M1503" s="149"/>
      <c r="N1503" s="149"/>
      <c r="O1503" s="149"/>
      <c r="P1503" s="149"/>
      <c r="Q1503" s="149"/>
      <c r="R1503" s="149"/>
      <c r="S1503" s="149"/>
      <c r="T1503" s="149"/>
      <c r="U1503" s="149"/>
      <c r="V1503" s="149"/>
      <c r="W1503" s="149"/>
      <c r="X1503" s="149"/>
      <c r="Y1503" s="149"/>
      <c r="Z1503" s="149"/>
      <c r="AA1503" s="149"/>
      <c r="AB1503" s="149"/>
      <c r="AC1503" s="149"/>
      <c r="AD1503" s="149"/>
      <c r="AE1503" s="149"/>
      <c r="AF1503" s="149"/>
      <c r="AG1503" s="149"/>
      <c r="AH1503" s="149"/>
      <c r="AI1503" s="149"/>
      <c r="AJ1503" s="149"/>
      <c r="AK1503" s="149"/>
      <c r="AL1503" s="149"/>
      <c r="AM1503" s="149"/>
      <c r="AN1503" s="149"/>
      <c r="AO1503" s="149"/>
      <c r="AP1503" s="149"/>
    </row>
    <row r="1504" ht="18.75" customHeight="1">
      <c r="A1504" s="149"/>
      <c r="B1504" s="149"/>
      <c r="C1504" s="304"/>
      <c r="D1504" s="149"/>
      <c r="E1504" s="149"/>
      <c r="F1504" s="149"/>
      <c r="G1504" s="149"/>
      <c r="H1504" s="149"/>
      <c r="I1504" s="149"/>
      <c r="J1504" s="149"/>
      <c r="K1504" s="149"/>
      <c r="L1504" s="149"/>
      <c r="M1504" s="149"/>
      <c r="N1504" s="149"/>
      <c r="O1504" s="149"/>
      <c r="P1504" s="149"/>
      <c r="Q1504" s="149"/>
      <c r="R1504" s="149"/>
      <c r="S1504" s="149"/>
      <c r="T1504" s="149"/>
      <c r="U1504" s="149"/>
      <c r="V1504" s="149"/>
      <c r="W1504" s="149"/>
      <c r="X1504" s="149"/>
      <c r="Y1504" s="149"/>
      <c r="Z1504" s="149"/>
      <c r="AA1504" s="149"/>
      <c r="AB1504" s="149"/>
      <c r="AC1504" s="149"/>
      <c r="AD1504" s="149"/>
      <c r="AE1504" s="149"/>
      <c r="AF1504" s="149"/>
      <c r="AG1504" s="149"/>
      <c r="AH1504" s="149"/>
      <c r="AI1504" s="149"/>
      <c r="AJ1504" s="149"/>
      <c r="AK1504" s="149"/>
      <c r="AL1504" s="149"/>
      <c r="AM1504" s="149"/>
      <c r="AN1504" s="149"/>
      <c r="AO1504" s="149"/>
      <c r="AP1504" s="149"/>
    </row>
    <row r="1505" ht="18.75" customHeight="1">
      <c r="A1505" s="149"/>
      <c r="B1505" s="149"/>
      <c r="C1505" s="304"/>
      <c r="D1505" s="149"/>
      <c r="E1505" s="149"/>
      <c r="F1505" s="149"/>
      <c r="G1505" s="149"/>
      <c r="H1505" s="149"/>
      <c r="I1505" s="149"/>
      <c r="J1505" s="149"/>
      <c r="K1505" s="149"/>
      <c r="L1505" s="149"/>
      <c r="M1505" s="149"/>
      <c r="N1505" s="149"/>
      <c r="O1505" s="149"/>
      <c r="P1505" s="149"/>
      <c r="Q1505" s="149"/>
      <c r="R1505" s="149"/>
      <c r="S1505" s="149"/>
      <c r="T1505" s="149"/>
      <c r="U1505" s="149"/>
      <c r="V1505" s="149"/>
      <c r="W1505" s="149"/>
      <c r="X1505" s="149"/>
      <c r="Y1505" s="149"/>
      <c r="Z1505" s="149"/>
      <c r="AA1505" s="149"/>
      <c r="AB1505" s="149"/>
      <c r="AC1505" s="149"/>
      <c r="AD1505" s="149"/>
      <c r="AE1505" s="149"/>
      <c r="AF1505" s="149"/>
      <c r="AG1505" s="149"/>
      <c r="AH1505" s="149"/>
      <c r="AI1505" s="149"/>
      <c r="AJ1505" s="149"/>
      <c r="AK1505" s="149"/>
      <c r="AL1505" s="149"/>
      <c r="AM1505" s="149"/>
      <c r="AN1505" s="149"/>
      <c r="AO1505" s="149"/>
      <c r="AP1505" s="149"/>
    </row>
    <row r="1506" ht="18.75" customHeight="1">
      <c r="A1506" s="149"/>
      <c r="B1506" s="149"/>
      <c r="C1506" s="304"/>
      <c r="D1506" s="149"/>
      <c r="E1506" s="149"/>
      <c r="F1506" s="149"/>
      <c r="G1506" s="149"/>
      <c r="H1506" s="149"/>
      <c r="I1506" s="149"/>
      <c r="J1506" s="149"/>
      <c r="K1506" s="149"/>
      <c r="L1506" s="149"/>
      <c r="M1506" s="149"/>
      <c r="N1506" s="149"/>
      <c r="O1506" s="149"/>
      <c r="P1506" s="149"/>
      <c r="Q1506" s="149"/>
      <c r="R1506" s="149"/>
      <c r="S1506" s="149"/>
      <c r="T1506" s="149"/>
      <c r="U1506" s="149"/>
      <c r="V1506" s="149"/>
      <c r="W1506" s="149"/>
      <c r="X1506" s="149"/>
      <c r="Y1506" s="149"/>
      <c r="Z1506" s="149"/>
      <c r="AA1506" s="149"/>
      <c r="AB1506" s="149"/>
      <c r="AC1506" s="149"/>
      <c r="AD1506" s="149"/>
      <c r="AE1506" s="149"/>
      <c r="AF1506" s="149"/>
      <c r="AG1506" s="149"/>
      <c r="AH1506" s="149"/>
      <c r="AI1506" s="149"/>
      <c r="AJ1506" s="149"/>
      <c r="AK1506" s="149"/>
      <c r="AL1506" s="149"/>
      <c r="AM1506" s="149"/>
      <c r="AN1506" s="149"/>
      <c r="AO1506" s="149"/>
      <c r="AP1506" s="149"/>
    </row>
    <row r="1507" ht="18.75" customHeight="1">
      <c r="A1507" s="149"/>
      <c r="B1507" s="149"/>
      <c r="C1507" s="304"/>
      <c r="D1507" s="149"/>
      <c r="E1507" s="149"/>
      <c r="F1507" s="149"/>
      <c r="G1507" s="149"/>
      <c r="H1507" s="149"/>
      <c r="I1507" s="149"/>
      <c r="J1507" s="149"/>
      <c r="K1507" s="149"/>
      <c r="L1507" s="149"/>
      <c r="M1507" s="149"/>
      <c r="N1507" s="149"/>
      <c r="O1507" s="149"/>
      <c r="P1507" s="149"/>
      <c r="Q1507" s="149"/>
      <c r="R1507" s="149"/>
      <c r="S1507" s="149"/>
      <c r="T1507" s="149"/>
      <c r="U1507" s="149"/>
      <c r="V1507" s="149"/>
      <c r="W1507" s="149"/>
      <c r="X1507" s="149"/>
      <c r="Y1507" s="149"/>
      <c r="Z1507" s="149"/>
      <c r="AA1507" s="149"/>
      <c r="AB1507" s="149"/>
      <c r="AC1507" s="149"/>
      <c r="AD1507" s="149"/>
      <c r="AE1507" s="149"/>
      <c r="AF1507" s="149"/>
      <c r="AG1507" s="149"/>
      <c r="AH1507" s="149"/>
      <c r="AI1507" s="149"/>
      <c r="AJ1507" s="149"/>
      <c r="AK1507" s="149"/>
      <c r="AL1507" s="149"/>
      <c r="AM1507" s="149"/>
      <c r="AN1507" s="149"/>
      <c r="AO1507" s="149"/>
      <c r="AP1507" s="149"/>
    </row>
    <row r="1508" ht="18.75" customHeight="1">
      <c r="A1508" s="149"/>
      <c r="B1508" s="149"/>
      <c r="C1508" s="304"/>
      <c r="D1508" s="149"/>
      <c r="E1508" s="149"/>
      <c r="F1508" s="149"/>
      <c r="G1508" s="149"/>
      <c r="H1508" s="149"/>
      <c r="I1508" s="149"/>
      <c r="J1508" s="149"/>
      <c r="K1508" s="149"/>
      <c r="L1508" s="149"/>
      <c r="M1508" s="149"/>
      <c r="N1508" s="149"/>
      <c r="O1508" s="149"/>
      <c r="P1508" s="149"/>
      <c r="Q1508" s="149"/>
      <c r="R1508" s="149"/>
      <c r="S1508" s="149"/>
      <c r="T1508" s="149"/>
      <c r="U1508" s="149"/>
      <c r="V1508" s="149"/>
      <c r="W1508" s="149"/>
      <c r="X1508" s="149"/>
      <c r="Y1508" s="149"/>
      <c r="Z1508" s="149"/>
      <c r="AA1508" s="149"/>
      <c r="AB1508" s="149"/>
      <c r="AC1508" s="149"/>
      <c r="AD1508" s="149"/>
      <c r="AE1508" s="149"/>
      <c r="AF1508" s="149"/>
      <c r="AG1508" s="149"/>
      <c r="AH1508" s="149"/>
      <c r="AI1508" s="149"/>
      <c r="AJ1508" s="149"/>
      <c r="AK1508" s="149"/>
      <c r="AL1508" s="149"/>
      <c r="AM1508" s="149"/>
      <c r="AN1508" s="149"/>
      <c r="AO1508" s="149"/>
      <c r="AP1508" s="149"/>
    </row>
    <row r="1509" ht="18.75" customHeight="1">
      <c r="A1509" s="149"/>
      <c r="B1509" s="149"/>
      <c r="C1509" s="304"/>
      <c r="D1509" s="149"/>
      <c r="E1509" s="149"/>
      <c r="F1509" s="149"/>
      <c r="G1509" s="149"/>
      <c r="H1509" s="149"/>
      <c r="I1509" s="149"/>
      <c r="J1509" s="149"/>
      <c r="K1509" s="149"/>
      <c r="L1509" s="149"/>
      <c r="M1509" s="149"/>
      <c r="N1509" s="149"/>
      <c r="O1509" s="149"/>
      <c r="P1509" s="149"/>
      <c r="Q1509" s="149"/>
      <c r="R1509" s="149"/>
      <c r="S1509" s="149"/>
      <c r="T1509" s="149"/>
      <c r="U1509" s="149"/>
      <c r="V1509" s="149"/>
      <c r="W1509" s="149"/>
      <c r="X1509" s="149"/>
      <c r="Y1509" s="149"/>
      <c r="Z1509" s="149"/>
      <c r="AA1509" s="149"/>
      <c r="AB1509" s="149"/>
      <c r="AC1509" s="149"/>
      <c r="AD1509" s="149"/>
      <c r="AE1509" s="149"/>
      <c r="AF1509" s="149"/>
      <c r="AG1509" s="149"/>
      <c r="AH1509" s="149"/>
      <c r="AI1509" s="149"/>
      <c r="AJ1509" s="149"/>
      <c r="AK1509" s="149"/>
      <c r="AL1509" s="149"/>
      <c r="AM1509" s="149"/>
      <c r="AN1509" s="149"/>
      <c r="AO1509" s="149"/>
      <c r="AP1509" s="149"/>
    </row>
    <row r="1510" ht="18.75" customHeight="1">
      <c r="A1510" s="149"/>
      <c r="B1510" s="149"/>
      <c r="C1510" s="304"/>
      <c r="D1510" s="149"/>
      <c r="E1510" s="149"/>
      <c r="F1510" s="149"/>
      <c r="G1510" s="149"/>
      <c r="H1510" s="149"/>
      <c r="I1510" s="149"/>
      <c r="J1510" s="149"/>
      <c r="K1510" s="149"/>
      <c r="L1510" s="149"/>
      <c r="M1510" s="149"/>
      <c r="N1510" s="149"/>
      <c r="O1510" s="149"/>
      <c r="P1510" s="149"/>
      <c r="Q1510" s="149"/>
      <c r="R1510" s="149"/>
      <c r="S1510" s="149"/>
      <c r="T1510" s="149"/>
      <c r="U1510" s="149"/>
      <c r="V1510" s="149"/>
      <c r="W1510" s="149"/>
      <c r="X1510" s="149"/>
      <c r="Y1510" s="149"/>
      <c r="Z1510" s="149"/>
      <c r="AA1510" s="149"/>
      <c r="AB1510" s="149"/>
      <c r="AC1510" s="149"/>
      <c r="AD1510" s="149"/>
      <c r="AE1510" s="149"/>
      <c r="AF1510" s="149"/>
      <c r="AG1510" s="149"/>
      <c r="AH1510" s="149"/>
      <c r="AI1510" s="149"/>
      <c r="AJ1510" s="149"/>
      <c r="AK1510" s="149"/>
      <c r="AL1510" s="149"/>
      <c r="AM1510" s="149"/>
      <c r="AN1510" s="149"/>
      <c r="AO1510" s="149"/>
      <c r="AP1510" s="149"/>
    </row>
    <row r="1511" ht="18.75" customHeight="1">
      <c r="A1511" s="149"/>
      <c r="B1511" s="149"/>
      <c r="C1511" s="304"/>
      <c r="D1511" s="149"/>
      <c r="E1511" s="149"/>
      <c r="F1511" s="149"/>
      <c r="G1511" s="149"/>
      <c r="H1511" s="149"/>
      <c r="I1511" s="149"/>
      <c r="J1511" s="149"/>
      <c r="K1511" s="149"/>
      <c r="L1511" s="149"/>
      <c r="M1511" s="149"/>
      <c r="N1511" s="149"/>
      <c r="O1511" s="149"/>
      <c r="P1511" s="149"/>
      <c r="Q1511" s="149"/>
      <c r="R1511" s="149"/>
      <c r="S1511" s="149"/>
      <c r="T1511" s="149"/>
      <c r="U1511" s="149"/>
      <c r="V1511" s="149"/>
      <c r="W1511" s="149"/>
      <c r="X1511" s="149"/>
      <c r="Y1511" s="149"/>
      <c r="Z1511" s="149"/>
      <c r="AA1511" s="149"/>
      <c r="AB1511" s="149"/>
      <c r="AC1511" s="149"/>
      <c r="AD1511" s="149"/>
      <c r="AE1511" s="149"/>
      <c r="AF1511" s="149"/>
      <c r="AG1511" s="149"/>
      <c r="AH1511" s="149"/>
      <c r="AI1511" s="149"/>
      <c r="AJ1511" s="149"/>
      <c r="AK1511" s="149"/>
      <c r="AL1511" s="149"/>
      <c r="AM1511" s="149"/>
      <c r="AN1511" s="149"/>
      <c r="AO1511" s="149"/>
      <c r="AP1511" s="149"/>
    </row>
    <row r="1512" ht="18.75" customHeight="1">
      <c r="A1512" s="149"/>
      <c r="B1512" s="149"/>
      <c r="C1512" s="304"/>
      <c r="D1512" s="149"/>
      <c r="E1512" s="149"/>
      <c r="F1512" s="149"/>
      <c r="G1512" s="149"/>
      <c r="H1512" s="149"/>
      <c r="I1512" s="149"/>
      <c r="J1512" s="149"/>
      <c r="K1512" s="149"/>
      <c r="L1512" s="149"/>
      <c r="M1512" s="149"/>
      <c r="N1512" s="149"/>
      <c r="O1512" s="149"/>
      <c r="P1512" s="149"/>
      <c r="Q1512" s="149"/>
      <c r="R1512" s="149"/>
      <c r="S1512" s="149"/>
      <c r="T1512" s="149"/>
      <c r="U1512" s="149"/>
      <c r="V1512" s="149"/>
      <c r="W1512" s="149"/>
      <c r="X1512" s="149"/>
      <c r="Y1512" s="149"/>
      <c r="Z1512" s="149"/>
      <c r="AA1512" s="149"/>
      <c r="AB1512" s="149"/>
      <c r="AC1512" s="149"/>
      <c r="AD1512" s="149"/>
      <c r="AE1512" s="149"/>
      <c r="AF1512" s="149"/>
      <c r="AG1512" s="149"/>
      <c r="AH1512" s="149"/>
      <c r="AI1512" s="149"/>
      <c r="AJ1512" s="149"/>
      <c r="AK1512" s="149"/>
      <c r="AL1512" s="149"/>
      <c r="AM1512" s="149"/>
      <c r="AN1512" s="149"/>
      <c r="AO1512" s="149"/>
      <c r="AP1512" s="149"/>
    </row>
    <row r="1513" ht="18.75" customHeight="1">
      <c r="A1513" s="149"/>
      <c r="B1513" s="149"/>
      <c r="C1513" s="304"/>
      <c r="D1513" s="149"/>
      <c r="E1513" s="149"/>
      <c r="F1513" s="149"/>
      <c r="G1513" s="149"/>
      <c r="H1513" s="149"/>
      <c r="I1513" s="149"/>
      <c r="J1513" s="149"/>
      <c r="K1513" s="149"/>
      <c r="L1513" s="149"/>
      <c r="M1513" s="149"/>
      <c r="N1513" s="149"/>
      <c r="O1513" s="149"/>
      <c r="P1513" s="149"/>
      <c r="Q1513" s="149"/>
      <c r="R1513" s="149"/>
      <c r="S1513" s="149"/>
      <c r="T1513" s="149"/>
      <c r="U1513" s="149"/>
      <c r="V1513" s="149"/>
      <c r="W1513" s="149"/>
      <c r="X1513" s="149"/>
      <c r="Y1513" s="149"/>
      <c r="Z1513" s="149"/>
      <c r="AA1513" s="149"/>
      <c r="AB1513" s="149"/>
      <c r="AC1513" s="149"/>
      <c r="AD1513" s="149"/>
      <c r="AE1513" s="149"/>
      <c r="AF1513" s="149"/>
      <c r="AG1513" s="149"/>
      <c r="AH1513" s="149"/>
      <c r="AI1513" s="149"/>
      <c r="AJ1513" s="149"/>
      <c r="AK1513" s="149"/>
      <c r="AL1513" s="149"/>
      <c r="AM1513" s="149"/>
      <c r="AN1513" s="149"/>
      <c r="AO1513" s="149"/>
      <c r="AP1513" s="149"/>
    </row>
    <row r="1514" ht="18.75" customHeight="1">
      <c r="A1514" s="149"/>
      <c r="B1514" s="149"/>
      <c r="C1514" s="304"/>
      <c r="D1514" s="149"/>
      <c r="E1514" s="149"/>
      <c r="F1514" s="149"/>
      <c r="G1514" s="149"/>
      <c r="H1514" s="149"/>
      <c r="I1514" s="149"/>
      <c r="J1514" s="149"/>
      <c r="K1514" s="149"/>
      <c r="L1514" s="149"/>
      <c r="M1514" s="149"/>
      <c r="N1514" s="149"/>
      <c r="O1514" s="149"/>
      <c r="P1514" s="149"/>
      <c r="Q1514" s="149"/>
      <c r="R1514" s="149"/>
      <c r="S1514" s="149"/>
      <c r="T1514" s="149"/>
      <c r="U1514" s="149"/>
      <c r="V1514" s="149"/>
      <c r="W1514" s="149"/>
      <c r="X1514" s="149"/>
      <c r="Y1514" s="149"/>
      <c r="Z1514" s="149"/>
      <c r="AA1514" s="149"/>
      <c r="AB1514" s="149"/>
      <c r="AC1514" s="149"/>
      <c r="AD1514" s="149"/>
      <c r="AE1514" s="149"/>
      <c r="AF1514" s="149"/>
      <c r="AG1514" s="149"/>
      <c r="AH1514" s="149"/>
      <c r="AI1514" s="149"/>
      <c r="AJ1514" s="149"/>
      <c r="AK1514" s="149"/>
      <c r="AL1514" s="149"/>
      <c r="AM1514" s="149"/>
      <c r="AN1514" s="149"/>
      <c r="AO1514" s="149"/>
      <c r="AP1514" s="149"/>
    </row>
    <row r="1515" ht="18.75" customHeight="1">
      <c r="A1515" s="149"/>
      <c r="B1515" s="149"/>
      <c r="C1515" s="304"/>
      <c r="D1515" s="149"/>
      <c r="E1515" s="149"/>
      <c r="F1515" s="149"/>
      <c r="G1515" s="149"/>
      <c r="H1515" s="149"/>
      <c r="I1515" s="149"/>
      <c r="J1515" s="149"/>
      <c r="K1515" s="149"/>
      <c r="L1515" s="149"/>
      <c r="M1515" s="149"/>
      <c r="N1515" s="149"/>
      <c r="O1515" s="149"/>
      <c r="P1515" s="149"/>
      <c r="Q1515" s="149"/>
      <c r="R1515" s="149"/>
      <c r="S1515" s="149"/>
      <c r="T1515" s="149"/>
      <c r="U1515" s="149"/>
      <c r="V1515" s="149"/>
      <c r="W1515" s="149"/>
      <c r="X1515" s="149"/>
      <c r="Y1515" s="149"/>
      <c r="Z1515" s="149"/>
      <c r="AA1515" s="149"/>
      <c r="AB1515" s="149"/>
      <c r="AC1515" s="149"/>
      <c r="AD1515" s="149"/>
      <c r="AE1515" s="149"/>
      <c r="AF1515" s="149"/>
      <c r="AG1515" s="149"/>
      <c r="AH1515" s="149"/>
      <c r="AI1515" s="149"/>
      <c r="AJ1515" s="149"/>
      <c r="AK1515" s="149"/>
      <c r="AL1515" s="149"/>
      <c r="AM1515" s="149"/>
      <c r="AN1515" s="149"/>
      <c r="AO1515" s="149"/>
      <c r="AP1515" s="149"/>
    </row>
    <row r="1516" ht="18.75" customHeight="1">
      <c r="A1516" s="149"/>
      <c r="B1516" s="149"/>
      <c r="C1516" s="304"/>
      <c r="D1516" s="149"/>
      <c r="E1516" s="149"/>
      <c r="F1516" s="149"/>
      <c r="G1516" s="149"/>
      <c r="H1516" s="149"/>
      <c r="I1516" s="149"/>
      <c r="J1516" s="149"/>
      <c r="K1516" s="149"/>
      <c r="L1516" s="149"/>
      <c r="M1516" s="149"/>
      <c r="N1516" s="149"/>
      <c r="O1516" s="149"/>
      <c r="P1516" s="149"/>
      <c r="Q1516" s="149"/>
      <c r="R1516" s="149"/>
      <c r="S1516" s="149"/>
      <c r="T1516" s="149"/>
      <c r="U1516" s="149"/>
      <c r="V1516" s="149"/>
      <c r="W1516" s="149"/>
      <c r="X1516" s="149"/>
      <c r="Y1516" s="149"/>
      <c r="Z1516" s="149"/>
      <c r="AA1516" s="149"/>
      <c r="AB1516" s="149"/>
      <c r="AC1516" s="149"/>
      <c r="AD1516" s="149"/>
      <c r="AE1516" s="149"/>
      <c r="AF1516" s="149"/>
      <c r="AG1516" s="149"/>
      <c r="AH1516" s="149"/>
      <c r="AI1516" s="149"/>
      <c r="AJ1516" s="149"/>
      <c r="AK1516" s="149"/>
      <c r="AL1516" s="149"/>
      <c r="AM1516" s="149"/>
      <c r="AN1516" s="149"/>
      <c r="AO1516" s="149"/>
      <c r="AP1516" s="149"/>
    </row>
    <row r="1517" ht="18.75" customHeight="1">
      <c r="A1517" s="149"/>
      <c r="B1517" s="149"/>
      <c r="C1517" s="304"/>
      <c r="D1517" s="149"/>
      <c r="E1517" s="149"/>
      <c r="F1517" s="149"/>
      <c r="G1517" s="149"/>
      <c r="H1517" s="149"/>
      <c r="I1517" s="149"/>
      <c r="J1517" s="149"/>
      <c r="K1517" s="149"/>
      <c r="L1517" s="149"/>
      <c r="M1517" s="149"/>
      <c r="N1517" s="149"/>
      <c r="O1517" s="149"/>
      <c r="P1517" s="149"/>
      <c r="Q1517" s="149"/>
      <c r="R1517" s="149"/>
      <c r="S1517" s="149"/>
      <c r="T1517" s="149"/>
      <c r="U1517" s="149"/>
      <c r="V1517" s="149"/>
      <c r="W1517" s="149"/>
      <c r="X1517" s="149"/>
      <c r="Y1517" s="149"/>
      <c r="Z1517" s="149"/>
      <c r="AA1517" s="149"/>
      <c r="AB1517" s="149"/>
      <c r="AC1517" s="149"/>
      <c r="AD1517" s="149"/>
      <c r="AE1517" s="149"/>
      <c r="AF1517" s="149"/>
      <c r="AG1517" s="149"/>
      <c r="AH1517" s="149"/>
      <c r="AI1517" s="149"/>
      <c r="AJ1517" s="149"/>
      <c r="AK1517" s="149"/>
      <c r="AL1517" s="149"/>
      <c r="AM1517" s="149"/>
      <c r="AN1517" s="149"/>
      <c r="AO1517" s="149"/>
      <c r="AP1517" s="149"/>
    </row>
    <row r="1518" ht="18.75" customHeight="1">
      <c r="A1518" s="149"/>
      <c r="B1518" s="149"/>
      <c r="C1518" s="304"/>
      <c r="D1518" s="149"/>
      <c r="E1518" s="149"/>
      <c r="F1518" s="149"/>
      <c r="G1518" s="149"/>
      <c r="H1518" s="149"/>
      <c r="I1518" s="149"/>
      <c r="J1518" s="149"/>
      <c r="K1518" s="149"/>
      <c r="L1518" s="149"/>
      <c r="M1518" s="149"/>
      <c r="N1518" s="149"/>
      <c r="O1518" s="149"/>
      <c r="P1518" s="149"/>
      <c r="Q1518" s="149"/>
      <c r="R1518" s="149"/>
      <c r="S1518" s="149"/>
      <c r="T1518" s="149"/>
      <c r="U1518" s="149"/>
      <c r="V1518" s="149"/>
      <c r="W1518" s="149"/>
      <c r="X1518" s="149"/>
      <c r="Y1518" s="149"/>
      <c r="Z1518" s="149"/>
      <c r="AA1518" s="149"/>
      <c r="AB1518" s="149"/>
      <c r="AC1518" s="149"/>
      <c r="AD1518" s="149"/>
      <c r="AE1518" s="149"/>
      <c r="AF1518" s="149"/>
      <c r="AG1518" s="149"/>
      <c r="AH1518" s="149"/>
      <c r="AI1518" s="149"/>
      <c r="AJ1518" s="149"/>
      <c r="AK1518" s="149"/>
      <c r="AL1518" s="149"/>
      <c r="AM1518" s="149"/>
      <c r="AN1518" s="149"/>
      <c r="AO1518" s="149"/>
      <c r="AP1518" s="149"/>
    </row>
    <row r="1519" ht="18.75" customHeight="1">
      <c r="A1519" s="149"/>
      <c r="B1519" s="149"/>
      <c r="C1519" s="304"/>
      <c r="D1519" s="149"/>
      <c r="E1519" s="149"/>
      <c r="F1519" s="149"/>
      <c r="G1519" s="149"/>
      <c r="H1519" s="149"/>
      <c r="I1519" s="149"/>
      <c r="J1519" s="149"/>
      <c r="K1519" s="149"/>
      <c r="L1519" s="149"/>
      <c r="M1519" s="149"/>
      <c r="N1519" s="149"/>
      <c r="O1519" s="149"/>
      <c r="P1519" s="149"/>
      <c r="Q1519" s="149"/>
      <c r="R1519" s="149"/>
      <c r="S1519" s="149"/>
      <c r="T1519" s="149"/>
      <c r="U1519" s="149"/>
      <c r="V1519" s="149"/>
      <c r="W1519" s="149"/>
      <c r="X1519" s="149"/>
      <c r="Y1519" s="149"/>
      <c r="Z1519" s="149"/>
      <c r="AA1519" s="149"/>
      <c r="AB1519" s="149"/>
      <c r="AC1519" s="149"/>
      <c r="AD1519" s="149"/>
      <c r="AE1519" s="149"/>
      <c r="AF1519" s="149"/>
      <c r="AG1519" s="149"/>
      <c r="AH1519" s="149"/>
      <c r="AI1519" s="149"/>
      <c r="AJ1519" s="149"/>
      <c r="AK1519" s="149"/>
      <c r="AL1519" s="149"/>
      <c r="AM1519" s="149"/>
      <c r="AN1519" s="149"/>
      <c r="AO1519" s="149"/>
      <c r="AP1519" s="149"/>
    </row>
    <row r="1520" ht="18.75" customHeight="1">
      <c r="A1520" s="149"/>
      <c r="B1520" s="149"/>
      <c r="C1520" s="304"/>
      <c r="D1520" s="149"/>
      <c r="E1520" s="149"/>
      <c r="F1520" s="149"/>
      <c r="G1520" s="149"/>
      <c r="H1520" s="149"/>
      <c r="I1520" s="149"/>
      <c r="J1520" s="149"/>
      <c r="K1520" s="149"/>
      <c r="L1520" s="149"/>
      <c r="M1520" s="149"/>
      <c r="N1520" s="149"/>
      <c r="O1520" s="149"/>
      <c r="P1520" s="149"/>
      <c r="Q1520" s="149"/>
      <c r="R1520" s="149"/>
      <c r="S1520" s="149"/>
      <c r="T1520" s="149"/>
      <c r="U1520" s="149"/>
      <c r="V1520" s="149"/>
      <c r="W1520" s="149"/>
      <c r="X1520" s="149"/>
      <c r="Y1520" s="149"/>
      <c r="Z1520" s="149"/>
      <c r="AA1520" s="149"/>
      <c r="AB1520" s="149"/>
      <c r="AC1520" s="149"/>
      <c r="AD1520" s="149"/>
      <c r="AE1520" s="149"/>
      <c r="AF1520" s="149"/>
      <c r="AG1520" s="149"/>
      <c r="AH1520" s="149"/>
      <c r="AI1520" s="149"/>
      <c r="AJ1520" s="149"/>
      <c r="AK1520" s="149"/>
      <c r="AL1520" s="149"/>
      <c r="AM1520" s="149"/>
      <c r="AN1520" s="149"/>
      <c r="AO1520" s="149"/>
      <c r="AP1520" s="149"/>
    </row>
    <row r="1521" ht="18.75" customHeight="1">
      <c r="A1521" s="149"/>
      <c r="B1521" s="149"/>
      <c r="C1521" s="304"/>
      <c r="D1521" s="149"/>
      <c r="E1521" s="149"/>
      <c r="F1521" s="149"/>
      <c r="G1521" s="149"/>
      <c r="H1521" s="149"/>
      <c r="I1521" s="149"/>
      <c r="J1521" s="149"/>
      <c r="K1521" s="149"/>
      <c r="L1521" s="149"/>
      <c r="M1521" s="149"/>
      <c r="N1521" s="149"/>
      <c r="O1521" s="149"/>
      <c r="P1521" s="149"/>
      <c r="Q1521" s="149"/>
      <c r="R1521" s="149"/>
      <c r="S1521" s="149"/>
      <c r="T1521" s="149"/>
      <c r="U1521" s="149"/>
      <c r="V1521" s="149"/>
      <c r="W1521" s="149"/>
      <c r="X1521" s="149"/>
      <c r="Y1521" s="149"/>
      <c r="Z1521" s="149"/>
      <c r="AA1521" s="149"/>
      <c r="AB1521" s="149"/>
      <c r="AC1521" s="149"/>
      <c r="AD1521" s="149"/>
      <c r="AE1521" s="149"/>
      <c r="AF1521" s="149"/>
      <c r="AG1521" s="149"/>
      <c r="AH1521" s="149"/>
      <c r="AI1521" s="149"/>
      <c r="AJ1521" s="149"/>
      <c r="AK1521" s="149"/>
      <c r="AL1521" s="149"/>
      <c r="AM1521" s="149"/>
      <c r="AN1521" s="149"/>
      <c r="AO1521" s="149"/>
      <c r="AP1521" s="149"/>
    </row>
    <row r="1522" ht="18.75" customHeight="1">
      <c r="A1522" s="149"/>
      <c r="B1522" s="149"/>
      <c r="C1522" s="304"/>
      <c r="D1522" s="149"/>
      <c r="E1522" s="149"/>
      <c r="F1522" s="149"/>
      <c r="G1522" s="149"/>
      <c r="H1522" s="149"/>
      <c r="I1522" s="149"/>
      <c r="J1522" s="149"/>
      <c r="K1522" s="149"/>
      <c r="L1522" s="149"/>
      <c r="M1522" s="149"/>
      <c r="N1522" s="149"/>
      <c r="O1522" s="149"/>
      <c r="P1522" s="149"/>
      <c r="Q1522" s="149"/>
      <c r="R1522" s="149"/>
      <c r="S1522" s="149"/>
      <c r="T1522" s="149"/>
      <c r="U1522" s="149"/>
      <c r="V1522" s="149"/>
      <c r="W1522" s="149"/>
      <c r="X1522" s="149"/>
      <c r="Y1522" s="149"/>
      <c r="Z1522" s="149"/>
      <c r="AA1522" s="149"/>
      <c r="AB1522" s="149"/>
      <c r="AC1522" s="149"/>
      <c r="AD1522" s="149"/>
      <c r="AE1522" s="149"/>
      <c r="AF1522" s="149"/>
      <c r="AG1522" s="149"/>
      <c r="AH1522" s="149"/>
      <c r="AI1522" s="149"/>
      <c r="AJ1522" s="149"/>
      <c r="AK1522" s="149"/>
      <c r="AL1522" s="149"/>
      <c r="AM1522" s="149"/>
      <c r="AN1522" s="149"/>
      <c r="AO1522" s="149"/>
      <c r="AP1522" s="149"/>
    </row>
    <row r="1523" ht="18.75" customHeight="1">
      <c r="A1523" s="149"/>
      <c r="B1523" s="149"/>
      <c r="C1523" s="304"/>
      <c r="D1523" s="149"/>
      <c r="E1523" s="149"/>
      <c r="F1523" s="149"/>
      <c r="G1523" s="149"/>
      <c r="H1523" s="149"/>
      <c r="I1523" s="149"/>
      <c r="J1523" s="149"/>
      <c r="K1523" s="149"/>
      <c r="L1523" s="149"/>
      <c r="M1523" s="149"/>
      <c r="N1523" s="149"/>
      <c r="O1523" s="149"/>
      <c r="P1523" s="149"/>
      <c r="Q1523" s="149"/>
      <c r="R1523" s="149"/>
      <c r="S1523" s="149"/>
      <c r="T1523" s="149"/>
      <c r="U1523" s="149"/>
      <c r="V1523" s="149"/>
      <c r="W1523" s="149"/>
      <c r="X1523" s="149"/>
      <c r="Y1523" s="149"/>
      <c r="Z1523" s="149"/>
      <c r="AA1523" s="149"/>
      <c r="AB1523" s="149"/>
      <c r="AC1523" s="149"/>
      <c r="AD1523" s="149"/>
      <c r="AE1523" s="149"/>
      <c r="AF1523" s="149"/>
      <c r="AG1523" s="149"/>
      <c r="AH1523" s="149"/>
      <c r="AI1523" s="149"/>
      <c r="AJ1523" s="149"/>
      <c r="AK1523" s="149"/>
      <c r="AL1523" s="149"/>
      <c r="AM1523" s="149"/>
      <c r="AN1523" s="149"/>
      <c r="AO1523" s="149"/>
      <c r="AP1523" s="149"/>
    </row>
    <row r="1524" ht="18.75" customHeight="1">
      <c r="A1524" s="149"/>
      <c r="B1524" s="149"/>
      <c r="C1524" s="304"/>
      <c r="D1524" s="149"/>
      <c r="E1524" s="149"/>
      <c r="F1524" s="149"/>
      <c r="G1524" s="149"/>
      <c r="H1524" s="149"/>
      <c r="I1524" s="149"/>
      <c r="J1524" s="149"/>
      <c r="K1524" s="149"/>
      <c r="L1524" s="149"/>
      <c r="M1524" s="149"/>
      <c r="N1524" s="149"/>
      <c r="O1524" s="149"/>
      <c r="P1524" s="149"/>
      <c r="Q1524" s="149"/>
      <c r="R1524" s="149"/>
      <c r="S1524" s="149"/>
      <c r="T1524" s="149"/>
      <c r="U1524" s="149"/>
      <c r="V1524" s="149"/>
      <c r="W1524" s="149"/>
      <c r="X1524" s="149"/>
      <c r="Y1524" s="149"/>
      <c r="Z1524" s="149"/>
      <c r="AA1524" s="149"/>
      <c r="AB1524" s="149"/>
      <c r="AC1524" s="149"/>
      <c r="AD1524" s="149"/>
      <c r="AE1524" s="149"/>
      <c r="AF1524" s="149"/>
      <c r="AG1524" s="149"/>
      <c r="AH1524" s="149"/>
      <c r="AI1524" s="149"/>
      <c r="AJ1524" s="149"/>
      <c r="AK1524" s="149"/>
      <c r="AL1524" s="149"/>
      <c r="AM1524" s="149"/>
      <c r="AN1524" s="149"/>
      <c r="AO1524" s="149"/>
      <c r="AP1524" s="149"/>
    </row>
    <row r="1525" ht="18.75" customHeight="1">
      <c r="A1525" s="149"/>
      <c r="B1525" s="149"/>
      <c r="C1525" s="304"/>
      <c r="D1525" s="149"/>
      <c r="E1525" s="149"/>
      <c r="F1525" s="149"/>
      <c r="G1525" s="149"/>
      <c r="H1525" s="149"/>
      <c r="I1525" s="149"/>
      <c r="J1525" s="149"/>
      <c r="K1525" s="149"/>
      <c r="L1525" s="149"/>
      <c r="M1525" s="149"/>
      <c r="N1525" s="149"/>
      <c r="O1525" s="149"/>
      <c r="P1525" s="149"/>
      <c r="Q1525" s="149"/>
      <c r="R1525" s="149"/>
      <c r="S1525" s="149"/>
      <c r="T1525" s="149"/>
      <c r="U1525" s="149"/>
      <c r="V1525" s="149"/>
      <c r="W1525" s="149"/>
      <c r="X1525" s="149"/>
      <c r="Y1525" s="149"/>
      <c r="Z1525" s="149"/>
      <c r="AA1525" s="149"/>
      <c r="AB1525" s="149"/>
      <c r="AC1525" s="149"/>
      <c r="AD1525" s="149"/>
      <c r="AE1525" s="149"/>
      <c r="AF1525" s="149"/>
      <c r="AG1525" s="149"/>
      <c r="AH1525" s="149"/>
      <c r="AI1525" s="149"/>
      <c r="AJ1525" s="149"/>
      <c r="AK1525" s="149"/>
      <c r="AL1525" s="149"/>
      <c r="AM1525" s="149"/>
      <c r="AN1525" s="149"/>
      <c r="AO1525" s="149"/>
      <c r="AP1525" s="149"/>
    </row>
    <row r="1526" ht="18.75" customHeight="1">
      <c r="A1526" s="149"/>
      <c r="B1526" s="149"/>
      <c r="C1526" s="304"/>
      <c r="D1526" s="149"/>
      <c r="E1526" s="149"/>
      <c r="F1526" s="149"/>
      <c r="G1526" s="149"/>
      <c r="H1526" s="149"/>
      <c r="I1526" s="149"/>
      <c r="J1526" s="149"/>
      <c r="K1526" s="149"/>
      <c r="L1526" s="149"/>
      <c r="M1526" s="149"/>
      <c r="N1526" s="149"/>
      <c r="O1526" s="149"/>
      <c r="P1526" s="149"/>
      <c r="Q1526" s="149"/>
      <c r="R1526" s="149"/>
      <c r="S1526" s="149"/>
      <c r="T1526" s="149"/>
      <c r="U1526" s="149"/>
      <c r="V1526" s="149"/>
      <c r="W1526" s="149"/>
      <c r="X1526" s="149"/>
      <c r="Y1526" s="149"/>
      <c r="Z1526" s="149"/>
      <c r="AA1526" s="149"/>
      <c r="AB1526" s="149"/>
      <c r="AC1526" s="149"/>
      <c r="AD1526" s="149"/>
      <c r="AE1526" s="149"/>
      <c r="AF1526" s="149"/>
      <c r="AG1526" s="149"/>
      <c r="AH1526" s="149"/>
      <c r="AI1526" s="149"/>
      <c r="AJ1526" s="149"/>
      <c r="AK1526" s="149"/>
      <c r="AL1526" s="149"/>
      <c r="AM1526" s="149"/>
      <c r="AN1526" s="149"/>
      <c r="AO1526" s="149"/>
      <c r="AP1526" s="149"/>
    </row>
    <row r="1527" ht="18.75" customHeight="1">
      <c r="A1527" s="149"/>
      <c r="B1527" s="149"/>
      <c r="C1527" s="304"/>
      <c r="D1527" s="149"/>
      <c r="E1527" s="149"/>
      <c r="F1527" s="149"/>
      <c r="G1527" s="149"/>
      <c r="H1527" s="149"/>
      <c r="I1527" s="149"/>
      <c r="J1527" s="149"/>
      <c r="K1527" s="149"/>
      <c r="L1527" s="149"/>
      <c r="M1527" s="149"/>
      <c r="N1527" s="149"/>
      <c r="O1527" s="149"/>
      <c r="P1527" s="149"/>
      <c r="Q1527" s="149"/>
      <c r="R1527" s="149"/>
      <c r="S1527" s="149"/>
      <c r="T1527" s="149"/>
      <c r="U1527" s="149"/>
      <c r="V1527" s="149"/>
      <c r="W1527" s="149"/>
      <c r="X1527" s="149"/>
      <c r="Y1527" s="149"/>
      <c r="Z1527" s="149"/>
      <c r="AA1527" s="149"/>
      <c r="AB1527" s="149"/>
      <c r="AC1527" s="149"/>
      <c r="AD1527" s="149"/>
      <c r="AE1527" s="149"/>
      <c r="AF1527" s="149"/>
      <c r="AG1527" s="149"/>
      <c r="AH1527" s="149"/>
      <c r="AI1527" s="149"/>
      <c r="AJ1527" s="149"/>
      <c r="AK1527" s="149"/>
      <c r="AL1527" s="149"/>
      <c r="AM1527" s="149"/>
      <c r="AN1527" s="149"/>
      <c r="AO1527" s="149"/>
      <c r="AP1527" s="149"/>
    </row>
    <row r="1528" ht="18.75" customHeight="1">
      <c r="A1528" s="149"/>
      <c r="B1528" s="149"/>
      <c r="C1528" s="304"/>
      <c r="D1528" s="149"/>
      <c r="E1528" s="149"/>
      <c r="F1528" s="149"/>
      <c r="G1528" s="149"/>
      <c r="H1528" s="149"/>
      <c r="I1528" s="149"/>
      <c r="J1528" s="149"/>
      <c r="K1528" s="149"/>
      <c r="L1528" s="149"/>
      <c r="M1528" s="149"/>
      <c r="N1528" s="149"/>
      <c r="O1528" s="149"/>
      <c r="P1528" s="149"/>
      <c r="Q1528" s="149"/>
      <c r="R1528" s="149"/>
      <c r="S1528" s="149"/>
      <c r="T1528" s="149"/>
      <c r="U1528" s="149"/>
      <c r="V1528" s="149"/>
      <c r="W1528" s="149"/>
      <c r="X1528" s="149"/>
      <c r="Y1528" s="149"/>
      <c r="Z1528" s="149"/>
      <c r="AA1528" s="149"/>
      <c r="AB1528" s="149"/>
      <c r="AC1528" s="149"/>
      <c r="AD1528" s="149"/>
      <c r="AE1528" s="149"/>
      <c r="AF1528" s="149"/>
      <c r="AG1528" s="149"/>
      <c r="AH1528" s="149"/>
      <c r="AI1528" s="149"/>
      <c r="AJ1528" s="149"/>
      <c r="AK1528" s="149"/>
      <c r="AL1528" s="149"/>
      <c r="AM1528" s="149"/>
      <c r="AN1528" s="149"/>
      <c r="AO1528" s="149"/>
      <c r="AP1528" s="149"/>
    </row>
    <row r="1529" ht="18.75" customHeight="1">
      <c r="A1529" s="149"/>
      <c r="B1529" s="149"/>
      <c r="C1529" s="304"/>
      <c r="D1529" s="149"/>
      <c r="E1529" s="149"/>
      <c r="F1529" s="149"/>
      <c r="G1529" s="149"/>
      <c r="H1529" s="149"/>
      <c r="I1529" s="149"/>
      <c r="J1529" s="149"/>
      <c r="K1529" s="149"/>
      <c r="L1529" s="149"/>
      <c r="M1529" s="149"/>
      <c r="N1529" s="149"/>
      <c r="O1529" s="149"/>
      <c r="P1529" s="149"/>
      <c r="Q1529" s="149"/>
      <c r="R1529" s="149"/>
      <c r="S1529" s="149"/>
      <c r="T1529" s="149"/>
      <c r="U1529" s="149"/>
      <c r="V1529" s="149"/>
      <c r="W1529" s="149"/>
      <c r="X1529" s="149"/>
      <c r="Y1529" s="149"/>
      <c r="Z1529" s="149"/>
      <c r="AA1529" s="149"/>
      <c r="AB1529" s="149"/>
      <c r="AC1529" s="149"/>
      <c r="AD1529" s="149"/>
      <c r="AE1529" s="149"/>
      <c r="AF1529" s="149"/>
      <c r="AG1529" s="149"/>
      <c r="AH1529" s="149"/>
      <c r="AI1529" s="149"/>
      <c r="AJ1529" s="149"/>
      <c r="AK1529" s="149"/>
      <c r="AL1529" s="149"/>
      <c r="AM1529" s="149"/>
      <c r="AN1529" s="149"/>
      <c r="AO1529" s="149"/>
      <c r="AP1529" s="149"/>
    </row>
    <row r="1530" ht="18.75" customHeight="1">
      <c r="A1530" s="149"/>
      <c r="B1530" s="149"/>
      <c r="C1530" s="304"/>
      <c r="D1530" s="149"/>
      <c r="E1530" s="149"/>
      <c r="F1530" s="149"/>
      <c r="G1530" s="149"/>
      <c r="H1530" s="149"/>
      <c r="I1530" s="149"/>
      <c r="J1530" s="149"/>
      <c r="K1530" s="149"/>
      <c r="L1530" s="149"/>
      <c r="M1530" s="149"/>
      <c r="N1530" s="149"/>
      <c r="O1530" s="149"/>
      <c r="P1530" s="149"/>
      <c r="Q1530" s="149"/>
      <c r="R1530" s="149"/>
      <c r="S1530" s="149"/>
      <c r="T1530" s="149"/>
      <c r="U1530" s="149"/>
      <c r="V1530" s="149"/>
      <c r="W1530" s="149"/>
      <c r="X1530" s="149"/>
      <c r="Y1530" s="149"/>
      <c r="Z1530" s="149"/>
      <c r="AA1530" s="149"/>
      <c r="AB1530" s="149"/>
      <c r="AC1530" s="149"/>
      <c r="AD1530" s="149"/>
      <c r="AE1530" s="149"/>
      <c r="AF1530" s="149"/>
      <c r="AG1530" s="149"/>
      <c r="AH1530" s="149"/>
      <c r="AI1530" s="149"/>
      <c r="AJ1530" s="149"/>
      <c r="AK1530" s="149"/>
      <c r="AL1530" s="149"/>
      <c r="AM1530" s="149"/>
      <c r="AN1530" s="149"/>
      <c r="AO1530" s="149"/>
      <c r="AP1530" s="149"/>
    </row>
    <row r="1531" ht="18.75" customHeight="1">
      <c r="A1531" s="149"/>
      <c r="B1531" s="149"/>
      <c r="C1531" s="304"/>
      <c r="D1531" s="149"/>
      <c r="E1531" s="149"/>
      <c r="F1531" s="149"/>
      <c r="G1531" s="149"/>
      <c r="H1531" s="149"/>
      <c r="I1531" s="149"/>
      <c r="J1531" s="149"/>
      <c r="K1531" s="149"/>
      <c r="L1531" s="149"/>
      <c r="M1531" s="149"/>
      <c r="N1531" s="149"/>
      <c r="O1531" s="149"/>
      <c r="P1531" s="149"/>
      <c r="Q1531" s="149"/>
      <c r="R1531" s="149"/>
      <c r="S1531" s="149"/>
      <c r="T1531" s="149"/>
      <c r="U1531" s="149"/>
      <c r="V1531" s="149"/>
      <c r="W1531" s="149"/>
      <c r="X1531" s="149"/>
      <c r="Y1531" s="149"/>
      <c r="Z1531" s="149"/>
      <c r="AA1531" s="149"/>
      <c r="AB1531" s="149"/>
      <c r="AC1531" s="149"/>
      <c r="AD1531" s="149"/>
      <c r="AE1531" s="149"/>
      <c r="AF1531" s="149"/>
      <c r="AG1531" s="149"/>
      <c r="AH1531" s="149"/>
      <c r="AI1531" s="149"/>
      <c r="AJ1531" s="149"/>
      <c r="AK1531" s="149"/>
      <c r="AL1531" s="149"/>
      <c r="AM1531" s="149"/>
      <c r="AN1531" s="149"/>
      <c r="AO1531" s="149"/>
      <c r="AP1531" s="149"/>
    </row>
    <row r="1532" ht="18.75" customHeight="1">
      <c r="A1532" s="149"/>
      <c r="B1532" s="149"/>
      <c r="C1532" s="304"/>
      <c r="D1532" s="149"/>
      <c r="E1532" s="149"/>
      <c r="F1532" s="149"/>
      <c r="G1532" s="149"/>
      <c r="H1532" s="149"/>
      <c r="I1532" s="149"/>
      <c r="J1532" s="149"/>
      <c r="K1532" s="149"/>
      <c r="L1532" s="149"/>
      <c r="M1532" s="149"/>
      <c r="N1532" s="149"/>
      <c r="O1532" s="149"/>
      <c r="P1532" s="149"/>
      <c r="Q1532" s="149"/>
      <c r="R1532" s="149"/>
      <c r="S1532" s="149"/>
      <c r="T1532" s="149"/>
      <c r="U1532" s="149"/>
      <c r="V1532" s="149"/>
      <c r="W1532" s="149"/>
      <c r="X1532" s="149"/>
      <c r="Y1532" s="149"/>
      <c r="Z1532" s="149"/>
      <c r="AA1532" s="149"/>
      <c r="AB1532" s="149"/>
      <c r="AC1532" s="149"/>
      <c r="AD1532" s="149"/>
      <c r="AE1532" s="149"/>
      <c r="AF1532" s="149"/>
      <c r="AG1532" s="149"/>
      <c r="AH1532" s="149"/>
      <c r="AI1532" s="149"/>
      <c r="AJ1532" s="149"/>
      <c r="AK1532" s="149"/>
      <c r="AL1532" s="149"/>
      <c r="AM1532" s="149"/>
      <c r="AN1532" s="149"/>
      <c r="AO1532" s="149"/>
      <c r="AP1532" s="149"/>
    </row>
    <row r="1533" ht="18.75" customHeight="1">
      <c r="A1533" s="149"/>
      <c r="B1533" s="149"/>
      <c r="C1533" s="304"/>
      <c r="D1533" s="149"/>
      <c r="E1533" s="149"/>
      <c r="F1533" s="149"/>
      <c r="G1533" s="149"/>
      <c r="H1533" s="149"/>
      <c r="I1533" s="149"/>
      <c r="J1533" s="149"/>
      <c r="K1533" s="149"/>
      <c r="L1533" s="149"/>
      <c r="M1533" s="149"/>
      <c r="N1533" s="149"/>
      <c r="O1533" s="149"/>
      <c r="P1533" s="149"/>
      <c r="Q1533" s="149"/>
      <c r="R1533" s="149"/>
      <c r="S1533" s="149"/>
      <c r="T1533" s="149"/>
      <c r="U1533" s="149"/>
      <c r="V1533" s="149"/>
      <c r="W1533" s="149"/>
      <c r="X1533" s="149"/>
      <c r="Y1533" s="149"/>
      <c r="Z1533" s="149"/>
      <c r="AA1533" s="149"/>
      <c r="AB1533" s="149"/>
      <c r="AC1533" s="149"/>
      <c r="AD1533" s="149"/>
      <c r="AE1533" s="149"/>
      <c r="AF1533" s="149"/>
      <c r="AG1533" s="149"/>
      <c r="AH1533" s="149"/>
      <c r="AI1533" s="149"/>
      <c r="AJ1533" s="149"/>
      <c r="AK1533" s="149"/>
      <c r="AL1533" s="149"/>
      <c r="AM1533" s="149"/>
      <c r="AN1533" s="149"/>
      <c r="AO1533" s="149"/>
      <c r="AP1533" s="149"/>
    </row>
    <row r="1534" ht="18.75" customHeight="1">
      <c r="A1534" s="149"/>
      <c r="B1534" s="149"/>
      <c r="C1534" s="304"/>
      <c r="D1534" s="149"/>
      <c r="E1534" s="149"/>
      <c r="F1534" s="149"/>
      <c r="G1534" s="149"/>
      <c r="H1534" s="149"/>
      <c r="I1534" s="149"/>
      <c r="J1534" s="149"/>
      <c r="K1534" s="149"/>
      <c r="L1534" s="149"/>
      <c r="M1534" s="149"/>
      <c r="N1534" s="149"/>
      <c r="O1534" s="149"/>
      <c r="P1534" s="149"/>
      <c r="Q1534" s="149"/>
      <c r="R1534" s="149"/>
      <c r="S1534" s="149"/>
      <c r="T1534" s="149"/>
      <c r="U1534" s="149"/>
      <c r="V1534" s="149"/>
      <c r="W1534" s="149"/>
      <c r="X1534" s="149"/>
      <c r="Y1534" s="149"/>
      <c r="Z1534" s="149"/>
      <c r="AA1534" s="149"/>
      <c r="AB1534" s="149"/>
      <c r="AC1534" s="149"/>
      <c r="AD1534" s="149"/>
      <c r="AE1534" s="149"/>
      <c r="AF1534" s="149"/>
      <c r="AG1534" s="149"/>
      <c r="AH1534" s="149"/>
      <c r="AI1534" s="149"/>
      <c r="AJ1534" s="149"/>
      <c r="AK1534" s="149"/>
      <c r="AL1534" s="149"/>
      <c r="AM1534" s="149"/>
      <c r="AN1534" s="149"/>
      <c r="AO1534" s="149"/>
      <c r="AP1534" s="149"/>
    </row>
    <row r="1535" ht="18.75" customHeight="1">
      <c r="A1535" s="149"/>
      <c r="B1535" s="149"/>
      <c r="C1535" s="304"/>
      <c r="D1535" s="149"/>
      <c r="E1535" s="149"/>
      <c r="F1535" s="149"/>
      <c r="G1535" s="149"/>
      <c r="H1535" s="149"/>
      <c r="I1535" s="149"/>
      <c r="J1535" s="149"/>
      <c r="K1535" s="149"/>
      <c r="L1535" s="149"/>
      <c r="M1535" s="149"/>
      <c r="N1535" s="149"/>
      <c r="O1535" s="149"/>
      <c r="P1535" s="149"/>
      <c r="Q1535" s="149"/>
      <c r="R1535" s="149"/>
      <c r="S1535" s="149"/>
      <c r="T1535" s="149"/>
      <c r="U1535" s="149"/>
      <c r="V1535" s="149"/>
      <c r="W1535" s="149"/>
      <c r="X1535" s="149"/>
      <c r="Y1535" s="149"/>
      <c r="Z1535" s="149"/>
      <c r="AA1535" s="149"/>
      <c r="AB1535" s="149"/>
      <c r="AC1535" s="149"/>
      <c r="AD1535" s="149"/>
      <c r="AE1535" s="149"/>
      <c r="AF1535" s="149"/>
      <c r="AG1535" s="149"/>
      <c r="AH1535" s="149"/>
      <c r="AI1535" s="149"/>
      <c r="AJ1535" s="149"/>
      <c r="AK1535" s="149"/>
      <c r="AL1535" s="149"/>
      <c r="AM1535" s="149"/>
      <c r="AN1535" s="149"/>
      <c r="AO1535" s="149"/>
      <c r="AP1535" s="149"/>
    </row>
    <row r="1536" ht="18.75" customHeight="1">
      <c r="A1536" s="149"/>
      <c r="B1536" s="149"/>
      <c r="C1536" s="304"/>
      <c r="D1536" s="149"/>
      <c r="E1536" s="149"/>
      <c r="F1536" s="149"/>
      <c r="G1536" s="149"/>
      <c r="H1536" s="149"/>
      <c r="I1536" s="149"/>
      <c r="J1536" s="149"/>
      <c r="K1536" s="149"/>
      <c r="L1536" s="149"/>
      <c r="M1536" s="149"/>
      <c r="N1536" s="149"/>
      <c r="O1536" s="149"/>
      <c r="P1536" s="149"/>
      <c r="Q1536" s="149"/>
      <c r="R1536" s="149"/>
      <c r="S1536" s="149"/>
      <c r="T1536" s="149"/>
      <c r="U1536" s="149"/>
      <c r="V1536" s="149"/>
      <c r="W1536" s="149"/>
      <c r="X1536" s="149"/>
      <c r="Y1536" s="149"/>
      <c r="Z1536" s="149"/>
      <c r="AA1536" s="149"/>
      <c r="AB1536" s="149"/>
      <c r="AC1536" s="149"/>
      <c r="AD1536" s="149"/>
      <c r="AE1536" s="149"/>
      <c r="AF1536" s="149"/>
      <c r="AG1536" s="149"/>
      <c r="AH1536" s="149"/>
      <c r="AI1536" s="149"/>
      <c r="AJ1536" s="149"/>
      <c r="AK1536" s="149"/>
      <c r="AL1536" s="149"/>
      <c r="AM1536" s="149"/>
      <c r="AN1536" s="149"/>
      <c r="AO1536" s="149"/>
      <c r="AP1536" s="149"/>
    </row>
    <row r="1537" ht="18.75" customHeight="1">
      <c r="A1537" s="149"/>
      <c r="B1537" s="149"/>
      <c r="C1537" s="304"/>
      <c r="D1537" s="149"/>
      <c r="E1537" s="149"/>
      <c r="F1537" s="149"/>
      <c r="G1537" s="149"/>
      <c r="H1537" s="149"/>
      <c r="I1537" s="149"/>
      <c r="J1537" s="149"/>
      <c r="K1537" s="149"/>
      <c r="L1537" s="149"/>
      <c r="M1537" s="149"/>
      <c r="N1537" s="149"/>
      <c r="O1537" s="149"/>
      <c r="P1537" s="149"/>
      <c r="Q1537" s="149"/>
      <c r="R1537" s="149"/>
      <c r="S1537" s="149"/>
      <c r="T1537" s="149"/>
      <c r="U1537" s="149"/>
      <c r="V1537" s="149"/>
      <c r="W1537" s="149"/>
      <c r="X1537" s="149"/>
      <c r="Y1537" s="149"/>
      <c r="Z1537" s="149"/>
      <c r="AA1537" s="149"/>
      <c r="AB1537" s="149"/>
      <c r="AC1537" s="149"/>
      <c r="AD1537" s="149"/>
      <c r="AE1537" s="149"/>
      <c r="AF1537" s="149"/>
      <c r="AG1537" s="149"/>
      <c r="AH1537" s="149"/>
      <c r="AI1537" s="149"/>
      <c r="AJ1537" s="149"/>
      <c r="AK1537" s="149"/>
      <c r="AL1537" s="149"/>
      <c r="AM1537" s="149"/>
      <c r="AN1537" s="149"/>
      <c r="AO1537" s="149"/>
      <c r="AP1537" s="149"/>
    </row>
    <row r="1538" ht="18.75" customHeight="1">
      <c r="A1538" s="149"/>
      <c r="B1538" s="149"/>
      <c r="C1538" s="304"/>
      <c r="D1538" s="149"/>
      <c r="E1538" s="149"/>
      <c r="F1538" s="149"/>
      <c r="G1538" s="149"/>
      <c r="H1538" s="149"/>
      <c r="I1538" s="149"/>
      <c r="J1538" s="149"/>
      <c r="K1538" s="149"/>
      <c r="L1538" s="149"/>
      <c r="M1538" s="149"/>
      <c r="N1538" s="149"/>
      <c r="O1538" s="149"/>
      <c r="P1538" s="149"/>
      <c r="Q1538" s="149"/>
      <c r="R1538" s="149"/>
      <c r="S1538" s="149"/>
      <c r="T1538" s="149"/>
      <c r="U1538" s="149"/>
      <c r="V1538" s="149"/>
      <c r="W1538" s="149"/>
      <c r="X1538" s="149"/>
      <c r="Y1538" s="149"/>
      <c r="Z1538" s="149"/>
      <c r="AA1538" s="149"/>
      <c r="AB1538" s="149"/>
      <c r="AC1538" s="149"/>
      <c r="AD1538" s="149"/>
      <c r="AE1538" s="149"/>
      <c r="AF1538" s="149"/>
      <c r="AG1538" s="149"/>
      <c r="AH1538" s="149"/>
      <c r="AI1538" s="149"/>
      <c r="AJ1538" s="149"/>
      <c r="AK1538" s="149"/>
      <c r="AL1538" s="149"/>
      <c r="AM1538" s="149"/>
      <c r="AN1538" s="149"/>
      <c r="AO1538" s="149"/>
      <c r="AP1538" s="149"/>
    </row>
    <row r="1539" ht="18.75" customHeight="1">
      <c r="A1539" s="149"/>
      <c r="B1539" s="149"/>
      <c r="C1539" s="304"/>
      <c r="D1539" s="149"/>
      <c r="E1539" s="149"/>
      <c r="F1539" s="149"/>
      <c r="G1539" s="149"/>
      <c r="H1539" s="149"/>
      <c r="I1539" s="149"/>
      <c r="J1539" s="149"/>
      <c r="K1539" s="149"/>
      <c r="L1539" s="149"/>
      <c r="M1539" s="149"/>
      <c r="N1539" s="149"/>
      <c r="O1539" s="149"/>
      <c r="P1539" s="149"/>
      <c r="Q1539" s="149"/>
      <c r="R1539" s="149"/>
      <c r="S1539" s="149"/>
      <c r="T1539" s="149"/>
      <c r="U1539" s="149"/>
      <c r="V1539" s="149"/>
      <c r="W1539" s="149"/>
      <c r="X1539" s="149"/>
      <c r="Y1539" s="149"/>
      <c r="Z1539" s="149"/>
      <c r="AA1539" s="149"/>
      <c r="AB1539" s="149"/>
      <c r="AC1539" s="149"/>
      <c r="AD1539" s="149"/>
      <c r="AE1539" s="149"/>
      <c r="AF1539" s="149"/>
      <c r="AG1539" s="149"/>
      <c r="AH1539" s="149"/>
      <c r="AI1539" s="149"/>
      <c r="AJ1539" s="149"/>
      <c r="AK1539" s="149"/>
      <c r="AL1539" s="149"/>
      <c r="AM1539" s="149"/>
      <c r="AN1539" s="149"/>
      <c r="AO1539" s="149"/>
      <c r="AP1539" s="149"/>
    </row>
    <row r="1540" ht="18.75" customHeight="1">
      <c r="A1540" s="149"/>
      <c r="B1540" s="149"/>
      <c r="C1540" s="304"/>
      <c r="D1540" s="149"/>
      <c r="E1540" s="149"/>
      <c r="F1540" s="149"/>
      <c r="G1540" s="149"/>
      <c r="H1540" s="149"/>
      <c r="I1540" s="149"/>
      <c r="J1540" s="149"/>
      <c r="K1540" s="149"/>
      <c r="L1540" s="149"/>
      <c r="M1540" s="149"/>
      <c r="N1540" s="149"/>
      <c r="O1540" s="149"/>
      <c r="P1540" s="149"/>
      <c r="Q1540" s="149"/>
      <c r="R1540" s="149"/>
      <c r="S1540" s="149"/>
      <c r="T1540" s="149"/>
      <c r="U1540" s="149"/>
      <c r="V1540" s="149"/>
      <c r="W1540" s="149"/>
      <c r="X1540" s="149"/>
      <c r="Y1540" s="149"/>
      <c r="Z1540" s="149"/>
      <c r="AA1540" s="149"/>
      <c r="AB1540" s="149"/>
      <c r="AC1540" s="149"/>
      <c r="AD1540" s="149"/>
      <c r="AE1540" s="149"/>
      <c r="AF1540" s="149"/>
      <c r="AG1540" s="149"/>
      <c r="AH1540" s="149"/>
      <c r="AI1540" s="149"/>
      <c r="AJ1540" s="149"/>
      <c r="AK1540" s="149"/>
      <c r="AL1540" s="149"/>
      <c r="AM1540" s="149"/>
      <c r="AN1540" s="149"/>
      <c r="AO1540" s="149"/>
      <c r="AP1540" s="149"/>
    </row>
    <row r="1541" ht="18.75" customHeight="1">
      <c r="A1541" s="149"/>
      <c r="B1541" s="149"/>
      <c r="C1541" s="304"/>
      <c r="D1541" s="149"/>
      <c r="E1541" s="149"/>
      <c r="F1541" s="149"/>
      <c r="G1541" s="149"/>
      <c r="H1541" s="149"/>
      <c r="I1541" s="149"/>
      <c r="J1541" s="149"/>
      <c r="K1541" s="149"/>
      <c r="L1541" s="149"/>
      <c r="M1541" s="149"/>
      <c r="N1541" s="149"/>
      <c r="O1541" s="149"/>
      <c r="P1541" s="149"/>
      <c r="Q1541" s="149"/>
      <c r="R1541" s="149"/>
      <c r="S1541" s="149"/>
      <c r="T1541" s="149"/>
      <c r="U1541" s="149"/>
      <c r="V1541" s="149"/>
      <c r="W1541" s="149"/>
      <c r="X1541" s="149"/>
      <c r="Y1541" s="149"/>
      <c r="Z1541" s="149"/>
      <c r="AA1541" s="149"/>
      <c r="AB1541" s="149"/>
      <c r="AC1541" s="149"/>
      <c r="AD1541" s="149"/>
      <c r="AE1541" s="149"/>
      <c r="AF1541" s="149"/>
      <c r="AG1541" s="149"/>
      <c r="AH1541" s="149"/>
      <c r="AI1541" s="149"/>
      <c r="AJ1541" s="149"/>
      <c r="AK1541" s="149"/>
      <c r="AL1541" s="149"/>
      <c r="AM1541" s="149"/>
      <c r="AN1541" s="149"/>
      <c r="AO1541" s="149"/>
      <c r="AP1541" s="149"/>
    </row>
    <row r="1542" ht="18.75" customHeight="1">
      <c r="A1542" s="149"/>
      <c r="B1542" s="149"/>
      <c r="C1542" s="304"/>
      <c r="D1542" s="149"/>
      <c r="E1542" s="149"/>
      <c r="F1542" s="149"/>
      <c r="G1542" s="149"/>
      <c r="H1542" s="149"/>
      <c r="I1542" s="149"/>
      <c r="J1542" s="149"/>
      <c r="K1542" s="149"/>
      <c r="L1542" s="149"/>
      <c r="M1542" s="149"/>
      <c r="N1542" s="149"/>
      <c r="O1542" s="149"/>
      <c r="P1542" s="149"/>
      <c r="Q1542" s="149"/>
      <c r="R1542" s="149"/>
      <c r="S1542" s="149"/>
      <c r="T1542" s="149"/>
      <c r="U1542" s="149"/>
      <c r="V1542" s="149"/>
      <c r="W1542" s="149"/>
      <c r="X1542" s="149"/>
      <c r="Y1542" s="149"/>
      <c r="Z1542" s="149"/>
      <c r="AA1542" s="149"/>
      <c r="AB1542" s="149"/>
      <c r="AC1542" s="149"/>
      <c r="AD1542" s="149"/>
      <c r="AE1542" s="149"/>
      <c r="AF1542" s="149"/>
      <c r="AG1542" s="149"/>
      <c r="AH1542" s="149"/>
      <c r="AI1542" s="149"/>
      <c r="AJ1542" s="149"/>
      <c r="AK1542" s="149"/>
      <c r="AL1542" s="149"/>
      <c r="AM1542" s="149"/>
      <c r="AN1542" s="149"/>
      <c r="AO1542" s="149"/>
      <c r="AP1542" s="149"/>
    </row>
    <row r="1543" ht="18.75" customHeight="1">
      <c r="A1543" s="149"/>
      <c r="B1543" s="149"/>
      <c r="C1543" s="304"/>
      <c r="D1543" s="149"/>
      <c r="E1543" s="149"/>
      <c r="F1543" s="149"/>
      <c r="G1543" s="149"/>
      <c r="H1543" s="149"/>
      <c r="I1543" s="149"/>
      <c r="J1543" s="149"/>
      <c r="K1543" s="149"/>
      <c r="L1543" s="149"/>
      <c r="M1543" s="149"/>
      <c r="N1543" s="149"/>
      <c r="O1543" s="149"/>
      <c r="P1543" s="149"/>
      <c r="Q1543" s="149"/>
      <c r="R1543" s="149"/>
      <c r="S1543" s="149"/>
      <c r="T1543" s="149"/>
      <c r="U1543" s="149"/>
      <c r="V1543" s="149"/>
      <c r="W1543" s="149"/>
      <c r="X1543" s="149"/>
      <c r="Y1543" s="149"/>
      <c r="Z1543" s="149"/>
      <c r="AA1543" s="149"/>
      <c r="AB1543" s="149"/>
      <c r="AC1543" s="149"/>
      <c r="AD1543" s="149"/>
      <c r="AE1543" s="149"/>
      <c r="AF1543" s="149"/>
      <c r="AG1543" s="149"/>
      <c r="AH1543" s="149"/>
      <c r="AI1543" s="149"/>
      <c r="AJ1543" s="149"/>
      <c r="AK1543" s="149"/>
      <c r="AL1543" s="149"/>
      <c r="AM1543" s="149"/>
      <c r="AN1543" s="149"/>
      <c r="AO1543" s="149"/>
      <c r="AP1543" s="149"/>
    </row>
    <row r="1544" ht="18.75" customHeight="1">
      <c r="A1544" s="149"/>
      <c r="B1544" s="149"/>
      <c r="C1544" s="304"/>
      <c r="D1544" s="149"/>
      <c r="E1544" s="149"/>
      <c r="F1544" s="149"/>
      <c r="G1544" s="149"/>
      <c r="H1544" s="149"/>
      <c r="I1544" s="149"/>
      <c r="J1544" s="149"/>
      <c r="K1544" s="149"/>
      <c r="L1544" s="149"/>
      <c r="M1544" s="149"/>
      <c r="N1544" s="149"/>
      <c r="O1544" s="149"/>
      <c r="P1544" s="149"/>
      <c r="Q1544" s="149"/>
      <c r="R1544" s="149"/>
      <c r="S1544" s="149"/>
      <c r="T1544" s="149"/>
      <c r="U1544" s="149"/>
      <c r="V1544" s="149"/>
      <c r="W1544" s="149"/>
      <c r="X1544" s="149"/>
      <c r="Y1544" s="149"/>
      <c r="Z1544" s="149"/>
      <c r="AA1544" s="149"/>
      <c r="AB1544" s="149"/>
      <c r="AC1544" s="149"/>
      <c r="AD1544" s="149"/>
      <c r="AE1544" s="149"/>
      <c r="AF1544" s="149"/>
      <c r="AG1544" s="149"/>
      <c r="AH1544" s="149"/>
      <c r="AI1544" s="149"/>
      <c r="AJ1544" s="149"/>
      <c r="AK1544" s="149"/>
      <c r="AL1544" s="149"/>
      <c r="AM1544" s="149"/>
      <c r="AN1544" s="149"/>
      <c r="AO1544" s="149"/>
      <c r="AP1544" s="149"/>
    </row>
    <row r="1545" ht="18.75" customHeight="1">
      <c r="A1545" s="149"/>
      <c r="B1545" s="149"/>
      <c r="C1545" s="304"/>
      <c r="D1545" s="149"/>
      <c r="E1545" s="149"/>
      <c r="F1545" s="149"/>
      <c r="G1545" s="149"/>
      <c r="H1545" s="149"/>
      <c r="I1545" s="149"/>
      <c r="J1545" s="149"/>
      <c r="K1545" s="149"/>
      <c r="L1545" s="149"/>
      <c r="M1545" s="149"/>
      <c r="N1545" s="149"/>
      <c r="O1545" s="149"/>
      <c r="P1545" s="149"/>
      <c r="Q1545" s="149"/>
      <c r="R1545" s="149"/>
      <c r="S1545" s="149"/>
      <c r="T1545" s="149"/>
      <c r="U1545" s="149"/>
      <c r="V1545" s="149"/>
      <c r="W1545" s="149"/>
      <c r="X1545" s="149"/>
      <c r="Y1545" s="149"/>
      <c r="Z1545" s="149"/>
      <c r="AA1545" s="149"/>
      <c r="AB1545" s="149"/>
      <c r="AC1545" s="149"/>
      <c r="AD1545" s="149"/>
      <c r="AE1545" s="149"/>
      <c r="AF1545" s="149"/>
      <c r="AG1545" s="149"/>
      <c r="AH1545" s="149"/>
      <c r="AI1545" s="149"/>
      <c r="AJ1545" s="149"/>
      <c r="AK1545" s="149"/>
      <c r="AL1545" s="149"/>
      <c r="AM1545" s="149"/>
      <c r="AN1545" s="149"/>
      <c r="AO1545" s="149"/>
      <c r="AP1545" s="149"/>
    </row>
    <row r="1546" ht="18.75" customHeight="1">
      <c r="A1546" s="149"/>
      <c r="B1546" s="149"/>
      <c r="C1546" s="304"/>
      <c r="D1546" s="149"/>
      <c r="E1546" s="149"/>
      <c r="F1546" s="149"/>
      <c r="G1546" s="149"/>
      <c r="H1546" s="149"/>
      <c r="I1546" s="149"/>
      <c r="J1546" s="149"/>
      <c r="K1546" s="149"/>
      <c r="L1546" s="149"/>
      <c r="M1546" s="149"/>
      <c r="N1546" s="149"/>
      <c r="O1546" s="149"/>
      <c r="P1546" s="149"/>
      <c r="Q1546" s="149"/>
      <c r="R1546" s="149"/>
      <c r="S1546" s="149"/>
      <c r="T1546" s="149"/>
      <c r="U1546" s="149"/>
      <c r="V1546" s="149"/>
      <c r="W1546" s="149"/>
      <c r="X1546" s="149"/>
      <c r="Y1546" s="149"/>
      <c r="Z1546" s="149"/>
      <c r="AA1546" s="149"/>
      <c r="AB1546" s="149"/>
      <c r="AC1546" s="149"/>
      <c r="AD1546" s="149"/>
      <c r="AE1546" s="149"/>
      <c r="AF1546" s="149"/>
      <c r="AG1546" s="149"/>
      <c r="AH1546" s="149"/>
      <c r="AI1546" s="149"/>
      <c r="AJ1546" s="149"/>
      <c r="AK1546" s="149"/>
      <c r="AL1546" s="149"/>
      <c r="AM1546" s="149"/>
      <c r="AN1546" s="149"/>
      <c r="AO1546" s="149"/>
      <c r="AP1546" s="149"/>
    </row>
    <row r="1547" ht="18.75" customHeight="1">
      <c r="A1547" s="149"/>
      <c r="B1547" s="149"/>
      <c r="C1547" s="304"/>
      <c r="D1547" s="149"/>
      <c r="E1547" s="149"/>
      <c r="F1547" s="149"/>
      <c r="G1547" s="149"/>
      <c r="H1547" s="149"/>
      <c r="I1547" s="149"/>
      <c r="J1547" s="149"/>
      <c r="K1547" s="149"/>
      <c r="L1547" s="149"/>
      <c r="M1547" s="149"/>
      <c r="N1547" s="149"/>
      <c r="O1547" s="149"/>
      <c r="P1547" s="149"/>
      <c r="Q1547" s="149"/>
      <c r="R1547" s="149"/>
      <c r="S1547" s="149"/>
      <c r="T1547" s="149"/>
      <c r="U1547" s="149"/>
      <c r="V1547" s="149"/>
      <c r="W1547" s="149"/>
      <c r="X1547" s="149"/>
      <c r="Y1547" s="149"/>
      <c r="Z1547" s="149"/>
      <c r="AA1547" s="149"/>
      <c r="AB1547" s="149"/>
      <c r="AC1547" s="149"/>
      <c r="AD1547" s="149"/>
      <c r="AE1547" s="149"/>
      <c r="AF1547" s="149"/>
      <c r="AG1547" s="149"/>
      <c r="AH1547" s="149"/>
      <c r="AI1547" s="149"/>
      <c r="AJ1547" s="149"/>
      <c r="AK1547" s="149"/>
      <c r="AL1547" s="149"/>
      <c r="AM1547" s="149"/>
      <c r="AN1547" s="149"/>
      <c r="AO1547" s="149"/>
      <c r="AP1547" s="149"/>
    </row>
    <row r="1548" ht="18.75" customHeight="1">
      <c r="A1548" s="149"/>
      <c r="B1548" s="149"/>
      <c r="C1548" s="304"/>
      <c r="D1548" s="149"/>
      <c r="E1548" s="149"/>
      <c r="F1548" s="149"/>
      <c r="G1548" s="149"/>
      <c r="H1548" s="149"/>
      <c r="I1548" s="149"/>
      <c r="J1548" s="149"/>
      <c r="K1548" s="149"/>
      <c r="L1548" s="149"/>
      <c r="M1548" s="149"/>
      <c r="N1548" s="149"/>
      <c r="O1548" s="149"/>
      <c r="P1548" s="149"/>
      <c r="Q1548" s="149"/>
      <c r="R1548" s="149"/>
      <c r="S1548" s="149"/>
      <c r="T1548" s="149"/>
      <c r="U1548" s="149"/>
      <c r="V1548" s="149"/>
      <c r="W1548" s="149"/>
      <c r="X1548" s="149"/>
      <c r="Y1548" s="149"/>
      <c r="Z1548" s="149"/>
      <c r="AA1548" s="149"/>
      <c r="AB1548" s="149"/>
      <c r="AC1548" s="149"/>
      <c r="AD1548" s="149"/>
      <c r="AE1548" s="149"/>
      <c r="AF1548" s="149"/>
      <c r="AG1548" s="149"/>
      <c r="AH1548" s="149"/>
      <c r="AI1548" s="149"/>
      <c r="AJ1548" s="149"/>
      <c r="AK1548" s="149"/>
      <c r="AL1548" s="149"/>
      <c r="AM1548" s="149"/>
      <c r="AN1548" s="149"/>
      <c r="AO1548" s="149"/>
      <c r="AP1548" s="149"/>
    </row>
    <row r="1549" ht="18.75" customHeight="1">
      <c r="A1549" s="149"/>
      <c r="B1549" s="149"/>
      <c r="C1549" s="304"/>
      <c r="D1549" s="149"/>
      <c r="E1549" s="149"/>
      <c r="F1549" s="149"/>
      <c r="G1549" s="149"/>
      <c r="H1549" s="149"/>
      <c r="I1549" s="149"/>
      <c r="J1549" s="149"/>
      <c r="K1549" s="149"/>
      <c r="L1549" s="149"/>
      <c r="M1549" s="149"/>
      <c r="N1549" s="149"/>
      <c r="O1549" s="149"/>
      <c r="P1549" s="149"/>
      <c r="Q1549" s="149"/>
      <c r="R1549" s="149"/>
      <c r="S1549" s="149"/>
      <c r="T1549" s="149"/>
      <c r="U1549" s="149"/>
      <c r="V1549" s="149"/>
      <c r="W1549" s="149"/>
      <c r="X1549" s="149"/>
      <c r="Y1549" s="149"/>
      <c r="Z1549" s="149"/>
      <c r="AA1549" s="149"/>
      <c r="AB1549" s="149"/>
      <c r="AC1549" s="149"/>
      <c r="AD1549" s="149"/>
      <c r="AE1549" s="149"/>
      <c r="AF1549" s="149"/>
      <c r="AG1549" s="149"/>
      <c r="AH1549" s="149"/>
      <c r="AI1549" s="149"/>
      <c r="AJ1549" s="149"/>
      <c r="AK1549" s="149"/>
      <c r="AL1549" s="149"/>
      <c r="AM1549" s="149"/>
      <c r="AN1549" s="149"/>
      <c r="AO1549" s="149"/>
      <c r="AP1549" s="149"/>
    </row>
    <row r="1550" ht="18.75" customHeight="1">
      <c r="A1550" s="149"/>
      <c r="B1550" s="149"/>
      <c r="C1550" s="304"/>
      <c r="D1550" s="149"/>
      <c r="E1550" s="149"/>
      <c r="F1550" s="149"/>
      <c r="G1550" s="149"/>
      <c r="H1550" s="149"/>
      <c r="I1550" s="149"/>
      <c r="J1550" s="149"/>
      <c r="K1550" s="149"/>
      <c r="L1550" s="149"/>
      <c r="M1550" s="149"/>
      <c r="N1550" s="149"/>
      <c r="O1550" s="149"/>
      <c r="P1550" s="149"/>
      <c r="Q1550" s="149"/>
      <c r="R1550" s="149"/>
      <c r="S1550" s="149"/>
      <c r="T1550" s="149"/>
      <c r="U1550" s="149"/>
      <c r="V1550" s="149"/>
      <c r="W1550" s="149"/>
      <c r="X1550" s="149"/>
      <c r="Y1550" s="149"/>
      <c r="Z1550" s="149"/>
      <c r="AA1550" s="149"/>
      <c r="AB1550" s="149"/>
      <c r="AC1550" s="149"/>
      <c r="AD1550" s="149"/>
      <c r="AE1550" s="149"/>
      <c r="AF1550" s="149"/>
      <c r="AG1550" s="149"/>
      <c r="AH1550" s="149"/>
      <c r="AI1550" s="149"/>
      <c r="AJ1550" s="149"/>
      <c r="AK1550" s="149"/>
      <c r="AL1550" s="149"/>
      <c r="AM1550" s="149"/>
      <c r="AN1550" s="149"/>
      <c r="AO1550" s="149"/>
      <c r="AP1550" s="149"/>
    </row>
    <row r="1551" ht="18.75" customHeight="1">
      <c r="A1551" s="149"/>
      <c r="B1551" s="149"/>
      <c r="C1551" s="304"/>
      <c r="D1551" s="149"/>
      <c r="E1551" s="149"/>
      <c r="F1551" s="149"/>
      <c r="G1551" s="149"/>
      <c r="H1551" s="149"/>
      <c r="I1551" s="149"/>
      <c r="J1551" s="149"/>
      <c r="K1551" s="149"/>
      <c r="L1551" s="149"/>
      <c r="M1551" s="149"/>
      <c r="N1551" s="149"/>
      <c r="O1551" s="149"/>
      <c r="P1551" s="149"/>
      <c r="Q1551" s="149"/>
      <c r="R1551" s="149"/>
      <c r="S1551" s="149"/>
      <c r="T1551" s="149"/>
      <c r="U1551" s="149"/>
      <c r="V1551" s="149"/>
      <c r="W1551" s="149"/>
      <c r="X1551" s="149"/>
      <c r="Y1551" s="149"/>
      <c r="Z1551" s="149"/>
      <c r="AA1551" s="149"/>
      <c r="AB1551" s="149"/>
      <c r="AC1551" s="149"/>
      <c r="AD1551" s="149"/>
      <c r="AE1551" s="149"/>
      <c r="AF1551" s="149"/>
      <c r="AG1551" s="149"/>
      <c r="AH1551" s="149"/>
      <c r="AI1551" s="149"/>
      <c r="AJ1551" s="149"/>
      <c r="AK1551" s="149"/>
      <c r="AL1551" s="149"/>
      <c r="AM1551" s="149"/>
      <c r="AN1551" s="149"/>
      <c r="AO1551" s="149"/>
      <c r="AP1551" s="149"/>
    </row>
    <row r="1552" ht="18.75" customHeight="1">
      <c r="A1552" s="149"/>
      <c r="B1552" s="149"/>
      <c r="C1552" s="304"/>
      <c r="D1552" s="149"/>
      <c r="E1552" s="149"/>
      <c r="F1552" s="149"/>
      <c r="G1552" s="149"/>
      <c r="H1552" s="149"/>
      <c r="I1552" s="149"/>
      <c r="J1552" s="149"/>
      <c r="K1552" s="149"/>
      <c r="L1552" s="149"/>
      <c r="M1552" s="149"/>
      <c r="N1552" s="149"/>
      <c r="O1552" s="149"/>
      <c r="P1552" s="149"/>
      <c r="Q1552" s="149"/>
      <c r="R1552" s="149"/>
      <c r="S1552" s="149"/>
      <c r="T1552" s="149"/>
      <c r="U1552" s="149"/>
      <c r="V1552" s="149"/>
      <c r="W1552" s="149"/>
      <c r="X1552" s="149"/>
      <c r="Y1552" s="149"/>
      <c r="Z1552" s="149"/>
      <c r="AA1552" s="149"/>
      <c r="AB1552" s="149"/>
      <c r="AC1552" s="149"/>
      <c r="AD1552" s="149"/>
      <c r="AE1552" s="149"/>
      <c r="AF1552" s="149"/>
      <c r="AG1552" s="149"/>
      <c r="AH1552" s="149"/>
      <c r="AI1552" s="149"/>
      <c r="AJ1552" s="149"/>
      <c r="AK1552" s="149"/>
      <c r="AL1552" s="149"/>
      <c r="AM1552" s="149"/>
      <c r="AN1552" s="149"/>
      <c r="AO1552" s="149"/>
      <c r="AP1552" s="149"/>
    </row>
    <row r="1553" ht="18.75" customHeight="1">
      <c r="A1553" s="149"/>
      <c r="B1553" s="149"/>
      <c r="C1553" s="304"/>
      <c r="D1553" s="149"/>
      <c r="E1553" s="149"/>
      <c r="F1553" s="149"/>
      <c r="G1553" s="149"/>
      <c r="H1553" s="149"/>
      <c r="I1553" s="149"/>
      <c r="J1553" s="149"/>
      <c r="K1553" s="149"/>
      <c r="L1553" s="149"/>
      <c r="M1553" s="149"/>
      <c r="N1553" s="149"/>
      <c r="O1553" s="149"/>
      <c r="P1553" s="149"/>
      <c r="Q1553" s="149"/>
      <c r="R1553" s="149"/>
      <c r="S1553" s="149"/>
      <c r="T1553" s="149"/>
      <c r="U1553" s="149"/>
      <c r="V1553" s="149"/>
      <c r="W1553" s="149"/>
      <c r="X1553" s="149"/>
      <c r="Y1553" s="149"/>
      <c r="Z1553" s="149"/>
      <c r="AA1553" s="149"/>
      <c r="AB1553" s="149"/>
      <c r="AC1553" s="149"/>
      <c r="AD1553" s="149"/>
      <c r="AE1553" s="149"/>
      <c r="AF1553" s="149"/>
      <c r="AG1553" s="149"/>
      <c r="AH1553" s="149"/>
      <c r="AI1553" s="149"/>
      <c r="AJ1553" s="149"/>
      <c r="AK1553" s="149"/>
      <c r="AL1553" s="149"/>
      <c r="AM1553" s="149"/>
      <c r="AN1553" s="149"/>
      <c r="AO1553" s="149"/>
      <c r="AP1553" s="149"/>
    </row>
    <row r="1554" ht="18.75" customHeight="1">
      <c r="A1554" s="149"/>
      <c r="B1554" s="149"/>
      <c r="C1554" s="304"/>
      <c r="D1554" s="149"/>
      <c r="E1554" s="149"/>
      <c r="F1554" s="149"/>
      <c r="G1554" s="149"/>
      <c r="H1554" s="149"/>
      <c r="I1554" s="149"/>
      <c r="J1554" s="149"/>
      <c r="K1554" s="149"/>
      <c r="L1554" s="149"/>
      <c r="M1554" s="149"/>
      <c r="N1554" s="149"/>
      <c r="O1554" s="149"/>
      <c r="P1554" s="149"/>
      <c r="Q1554" s="149"/>
      <c r="R1554" s="149"/>
      <c r="S1554" s="149"/>
      <c r="T1554" s="149"/>
      <c r="U1554" s="149"/>
      <c r="V1554" s="149"/>
      <c r="W1554" s="149"/>
      <c r="X1554" s="149"/>
      <c r="Y1554" s="149"/>
      <c r="Z1554" s="149"/>
      <c r="AA1554" s="149"/>
      <c r="AB1554" s="149"/>
      <c r="AC1554" s="149"/>
      <c r="AD1554" s="149"/>
      <c r="AE1554" s="149"/>
      <c r="AF1554" s="149"/>
      <c r="AG1554" s="149"/>
      <c r="AH1554" s="149"/>
      <c r="AI1554" s="149"/>
      <c r="AJ1554" s="149"/>
      <c r="AK1554" s="149"/>
      <c r="AL1554" s="149"/>
      <c r="AM1554" s="149"/>
      <c r="AN1554" s="149"/>
      <c r="AO1554" s="149"/>
      <c r="AP1554" s="149"/>
    </row>
    <row r="1555" ht="18.75" customHeight="1">
      <c r="A1555" s="149"/>
      <c r="B1555" s="149"/>
      <c r="C1555" s="304"/>
      <c r="D1555" s="149"/>
      <c r="E1555" s="149"/>
      <c r="F1555" s="149"/>
      <c r="G1555" s="149"/>
      <c r="H1555" s="149"/>
      <c r="I1555" s="149"/>
      <c r="J1555" s="149"/>
      <c r="K1555" s="149"/>
      <c r="L1555" s="149"/>
      <c r="M1555" s="149"/>
      <c r="N1555" s="149"/>
      <c r="O1555" s="149"/>
      <c r="P1555" s="149"/>
      <c r="Q1555" s="149"/>
      <c r="R1555" s="149"/>
      <c r="S1555" s="149"/>
      <c r="T1555" s="149"/>
      <c r="U1555" s="149"/>
      <c r="V1555" s="149"/>
      <c r="W1555" s="149"/>
      <c r="X1555" s="149"/>
      <c r="Y1555" s="149"/>
      <c r="Z1555" s="149"/>
      <c r="AA1555" s="149"/>
      <c r="AB1555" s="149"/>
      <c r="AC1555" s="149"/>
      <c r="AD1555" s="149"/>
      <c r="AE1555" s="149"/>
      <c r="AF1555" s="149"/>
      <c r="AG1555" s="149"/>
      <c r="AH1555" s="149"/>
      <c r="AI1555" s="149"/>
      <c r="AJ1555" s="149"/>
      <c r="AK1555" s="149"/>
      <c r="AL1555" s="149"/>
      <c r="AM1555" s="149"/>
      <c r="AN1555" s="149"/>
      <c r="AO1555" s="149"/>
      <c r="AP1555" s="149"/>
    </row>
    <row r="1556" ht="18.75" customHeight="1">
      <c r="A1556" s="149"/>
      <c r="B1556" s="149"/>
      <c r="C1556" s="304"/>
      <c r="D1556" s="149"/>
      <c r="E1556" s="149"/>
      <c r="F1556" s="149"/>
      <c r="G1556" s="149"/>
      <c r="H1556" s="149"/>
      <c r="I1556" s="149"/>
      <c r="J1556" s="149"/>
      <c r="K1556" s="149"/>
      <c r="L1556" s="149"/>
      <c r="M1556" s="149"/>
      <c r="N1556" s="149"/>
      <c r="O1556" s="149"/>
      <c r="P1556" s="149"/>
      <c r="Q1556" s="149"/>
      <c r="R1556" s="149"/>
      <c r="S1556" s="149"/>
      <c r="T1556" s="149"/>
      <c r="U1556" s="149"/>
      <c r="V1556" s="149"/>
      <c r="W1556" s="149"/>
      <c r="X1556" s="149"/>
      <c r="Y1556" s="149"/>
      <c r="Z1556" s="149"/>
      <c r="AA1556" s="149"/>
      <c r="AB1556" s="149"/>
      <c r="AC1556" s="149"/>
      <c r="AD1556" s="149"/>
      <c r="AE1556" s="149"/>
      <c r="AF1556" s="149"/>
      <c r="AG1556" s="149"/>
      <c r="AH1556" s="149"/>
      <c r="AI1556" s="149"/>
      <c r="AJ1556" s="149"/>
      <c r="AK1556" s="149"/>
      <c r="AL1556" s="149"/>
      <c r="AM1556" s="149"/>
      <c r="AN1556" s="149"/>
      <c r="AO1556" s="149"/>
      <c r="AP1556" s="149"/>
    </row>
    <row r="1557" ht="18.75" customHeight="1">
      <c r="A1557" s="149"/>
      <c r="B1557" s="149"/>
      <c r="C1557" s="304"/>
      <c r="D1557" s="149"/>
      <c r="E1557" s="149"/>
      <c r="F1557" s="149"/>
      <c r="G1557" s="149"/>
      <c r="H1557" s="149"/>
      <c r="I1557" s="149"/>
      <c r="J1557" s="149"/>
      <c r="K1557" s="149"/>
      <c r="L1557" s="149"/>
      <c r="M1557" s="149"/>
      <c r="N1557" s="149"/>
      <c r="O1557" s="149"/>
      <c r="P1557" s="149"/>
      <c r="Q1557" s="149"/>
      <c r="R1557" s="149"/>
      <c r="S1557" s="149"/>
      <c r="T1557" s="149"/>
      <c r="U1557" s="149"/>
      <c r="V1557" s="149"/>
      <c r="W1557" s="149"/>
      <c r="X1557" s="149"/>
      <c r="Y1557" s="149"/>
      <c r="Z1557" s="149"/>
      <c r="AA1557" s="149"/>
      <c r="AB1557" s="149"/>
      <c r="AC1557" s="149"/>
      <c r="AD1557" s="149"/>
      <c r="AE1557" s="149"/>
      <c r="AF1557" s="149"/>
      <c r="AG1557" s="149"/>
      <c r="AH1557" s="149"/>
      <c r="AI1557" s="149"/>
      <c r="AJ1557" s="149"/>
      <c r="AK1557" s="149"/>
      <c r="AL1557" s="149"/>
      <c r="AM1557" s="149"/>
      <c r="AN1557" s="149"/>
      <c r="AO1557" s="149"/>
      <c r="AP1557" s="149"/>
    </row>
    <row r="1558" ht="18.75" customHeight="1">
      <c r="A1558" s="149"/>
      <c r="B1558" s="149"/>
      <c r="C1558" s="304"/>
      <c r="D1558" s="149"/>
      <c r="E1558" s="149"/>
      <c r="F1558" s="149"/>
      <c r="G1558" s="149"/>
      <c r="H1558" s="149"/>
      <c r="I1558" s="149"/>
      <c r="J1558" s="149"/>
      <c r="K1558" s="149"/>
      <c r="L1558" s="149"/>
      <c r="M1558" s="149"/>
      <c r="N1558" s="149"/>
      <c r="O1558" s="149"/>
      <c r="P1558" s="149"/>
      <c r="Q1558" s="149"/>
      <c r="R1558" s="149"/>
      <c r="S1558" s="149"/>
      <c r="T1558" s="149"/>
      <c r="U1558" s="149"/>
      <c r="V1558" s="149"/>
      <c r="W1558" s="149"/>
      <c r="X1558" s="149"/>
      <c r="Y1558" s="149"/>
      <c r="Z1558" s="149"/>
      <c r="AA1558" s="149"/>
      <c r="AB1558" s="149"/>
      <c r="AC1558" s="149"/>
      <c r="AD1558" s="149"/>
      <c r="AE1558" s="149"/>
      <c r="AF1558" s="149"/>
      <c r="AG1558" s="149"/>
      <c r="AH1558" s="149"/>
      <c r="AI1558" s="149"/>
      <c r="AJ1558" s="149"/>
      <c r="AK1558" s="149"/>
      <c r="AL1558" s="149"/>
      <c r="AM1558" s="149"/>
      <c r="AN1558" s="149"/>
      <c r="AO1558" s="149"/>
      <c r="AP1558" s="149"/>
    </row>
    <row r="1559" ht="18.75" customHeight="1">
      <c r="A1559" s="149"/>
      <c r="B1559" s="149"/>
      <c r="C1559" s="304"/>
      <c r="D1559" s="149"/>
      <c r="E1559" s="149"/>
      <c r="F1559" s="149"/>
      <c r="G1559" s="149"/>
      <c r="H1559" s="149"/>
      <c r="I1559" s="149"/>
      <c r="J1559" s="149"/>
      <c r="K1559" s="149"/>
      <c r="L1559" s="149"/>
      <c r="M1559" s="149"/>
      <c r="N1559" s="149"/>
      <c r="O1559" s="149"/>
      <c r="P1559" s="149"/>
      <c r="Q1559" s="149"/>
      <c r="R1559" s="149"/>
      <c r="S1559" s="149"/>
      <c r="T1559" s="149"/>
      <c r="U1559" s="149"/>
      <c r="V1559" s="149"/>
      <c r="W1559" s="149"/>
      <c r="X1559" s="149"/>
      <c r="Y1559" s="149"/>
      <c r="Z1559" s="149"/>
      <c r="AA1559" s="149"/>
      <c r="AB1559" s="149"/>
      <c r="AC1559" s="149"/>
      <c r="AD1559" s="149"/>
      <c r="AE1559" s="149"/>
      <c r="AF1559" s="149"/>
      <c r="AG1559" s="149"/>
      <c r="AH1559" s="149"/>
      <c r="AI1559" s="149"/>
      <c r="AJ1559" s="149"/>
      <c r="AK1559" s="149"/>
      <c r="AL1559" s="149"/>
      <c r="AM1559" s="149"/>
      <c r="AN1559" s="149"/>
      <c r="AO1559" s="149"/>
      <c r="AP1559" s="149"/>
    </row>
    <row r="1560" ht="18.75" customHeight="1">
      <c r="A1560" s="149"/>
      <c r="B1560" s="149"/>
      <c r="C1560" s="304"/>
      <c r="D1560" s="149"/>
      <c r="E1560" s="149"/>
      <c r="F1560" s="149"/>
      <c r="G1560" s="149"/>
      <c r="H1560" s="149"/>
      <c r="I1560" s="149"/>
      <c r="J1560" s="149"/>
      <c r="K1560" s="149"/>
      <c r="L1560" s="149"/>
      <c r="M1560" s="149"/>
      <c r="N1560" s="149"/>
      <c r="O1560" s="149"/>
      <c r="P1560" s="149"/>
      <c r="Q1560" s="149"/>
      <c r="R1560" s="149"/>
      <c r="S1560" s="149"/>
      <c r="T1560" s="149"/>
      <c r="U1560" s="149"/>
      <c r="V1560" s="149"/>
      <c r="W1560" s="149"/>
      <c r="X1560" s="149"/>
      <c r="Y1560" s="149"/>
      <c r="Z1560" s="149"/>
      <c r="AA1560" s="149"/>
      <c r="AB1560" s="149"/>
      <c r="AC1560" s="149"/>
      <c r="AD1560" s="149"/>
      <c r="AE1560" s="149"/>
      <c r="AF1560" s="149"/>
      <c r="AG1560" s="149"/>
      <c r="AH1560" s="149"/>
      <c r="AI1560" s="149"/>
      <c r="AJ1560" s="149"/>
      <c r="AK1560" s="149"/>
      <c r="AL1560" s="149"/>
      <c r="AM1560" s="149"/>
      <c r="AN1560" s="149"/>
      <c r="AO1560" s="149"/>
      <c r="AP1560" s="149"/>
    </row>
    <row r="1561" ht="18.75" customHeight="1">
      <c r="A1561" s="149"/>
      <c r="B1561" s="149"/>
      <c r="C1561" s="304"/>
      <c r="D1561" s="149"/>
      <c r="E1561" s="149"/>
      <c r="F1561" s="149"/>
      <c r="G1561" s="149"/>
      <c r="H1561" s="149"/>
      <c r="I1561" s="149"/>
      <c r="J1561" s="149"/>
      <c r="K1561" s="149"/>
      <c r="L1561" s="149"/>
      <c r="M1561" s="149"/>
      <c r="N1561" s="149"/>
      <c r="O1561" s="149"/>
      <c r="P1561" s="149"/>
      <c r="Q1561" s="149"/>
      <c r="R1561" s="149"/>
      <c r="S1561" s="149"/>
      <c r="T1561" s="149"/>
      <c r="U1561" s="149"/>
      <c r="V1561" s="149"/>
      <c r="W1561" s="149"/>
      <c r="X1561" s="149"/>
      <c r="Y1561" s="149"/>
      <c r="Z1561" s="149"/>
      <c r="AA1561" s="149"/>
      <c r="AB1561" s="149"/>
      <c r="AC1561" s="149"/>
      <c r="AD1561" s="149"/>
      <c r="AE1561" s="149"/>
      <c r="AF1561" s="149"/>
      <c r="AG1561" s="149"/>
      <c r="AH1561" s="149"/>
      <c r="AI1561" s="149"/>
      <c r="AJ1561" s="149"/>
      <c r="AK1561" s="149"/>
      <c r="AL1561" s="149"/>
      <c r="AM1561" s="149"/>
      <c r="AN1561" s="149"/>
      <c r="AO1561" s="149"/>
      <c r="AP1561" s="149"/>
    </row>
    <row r="1562" ht="18.75" customHeight="1">
      <c r="A1562" s="149"/>
      <c r="B1562" s="149"/>
      <c r="C1562" s="304"/>
      <c r="D1562" s="149"/>
      <c r="E1562" s="149"/>
      <c r="F1562" s="149"/>
      <c r="G1562" s="149"/>
      <c r="H1562" s="149"/>
      <c r="I1562" s="149"/>
      <c r="J1562" s="149"/>
      <c r="K1562" s="149"/>
      <c r="L1562" s="149"/>
      <c r="M1562" s="149"/>
      <c r="N1562" s="149"/>
      <c r="O1562" s="149"/>
      <c r="P1562" s="149"/>
      <c r="Q1562" s="149"/>
      <c r="R1562" s="149"/>
      <c r="S1562" s="149"/>
      <c r="T1562" s="149"/>
      <c r="U1562" s="149"/>
      <c r="V1562" s="149"/>
      <c r="W1562" s="149"/>
      <c r="X1562" s="149"/>
      <c r="Y1562" s="149"/>
      <c r="Z1562" s="149"/>
      <c r="AA1562" s="149"/>
      <c r="AB1562" s="149"/>
      <c r="AC1562" s="149"/>
      <c r="AD1562" s="149"/>
      <c r="AE1562" s="149"/>
      <c r="AF1562" s="149"/>
      <c r="AG1562" s="149"/>
      <c r="AH1562" s="149"/>
      <c r="AI1562" s="149"/>
      <c r="AJ1562" s="149"/>
      <c r="AK1562" s="149"/>
      <c r="AL1562" s="149"/>
      <c r="AM1562" s="149"/>
      <c r="AN1562" s="149"/>
      <c r="AO1562" s="149"/>
      <c r="AP1562" s="149"/>
    </row>
    <row r="1563" ht="18.75" customHeight="1">
      <c r="A1563" s="149"/>
      <c r="B1563" s="149"/>
      <c r="C1563" s="304"/>
      <c r="D1563" s="149"/>
      <c r="E1563" s="149"/>
      <c r="F1563" s="149"/>
      <c r="G1563" s="149"/>
      <c r="H1563" s="149"/>
      <c r="I1563" s="149"/>
      <c r="J1563" s="149"/>
      <c r="K1563" s="149"/>
      <c r="L1563" s="149"/>
      <c r="M1563" s="149"/>
      <c r="N1563" s="149"/>
      <c r="O1563" s="149"/>
      <c r="P1563" s="149"/>
      <c r="Q1563" s="149"/>
      <c r="R1563" s="149"/>
      <c r="S1563" s="149"/>
      <c r="T1563" s="149"/>
      <c r="U1563" s="149"/>
      <c r="V1563" s="149"/>
      <c r="W1563" s="149"/>
      <c r="X1563" s="149"/>
      <c r="Y1563" s="149"/>
      <c r="Z1563" s="149"/>
      <c r="AA1563" s="149"/>
      <c r="AB1563" s="149"/>
      <c r="AC1563" s="149"/>
      <c r="AD1563" s="149"/>
      <c r="AE1563" s="149"/>
      <c r="AF1563" s="149"/>
      <c r="AG1563" s="149"/>
      <c r="AH1563" s="149"/>
      <c r="AI1563" s="149"/>
      <c r="AJ1563" s="149"/>
      <c r="AK1563" s="149"/>
      <c r="AL1563" s="149"/>
      <c r="AM1563" s="149"/>
      <c r="AN1563" s="149"/>
      <c r="AO1563" s="149"/>
      <c r="AP1563" s="149"/>
    </row>
    <row r="1564" ht="18.75" customHeight="1">
      <c r="A1564" s="149"/>
      <c r="B1564" s="149"/>
      <c r="C1564" s="304"/>
      <c r="D1564" s="149"/>
      <c r="E1564" s="149"/>
      <c r="F1564" s="149"/>
      <c r="G1564" s="149"/>
      <c r="H1564" s="149"/>
      <c r="I1564" s="149"/>
      <c r="J1564" s="149"/>
      <c r="K1564" s="149"/>
      <c r="L1564" s="149"/>
      <c r="M1564" s="149"/>
      <c r="N1564" s="149"/>
      <c r="O1564" s="149"/>
      <c r="P1564" s="149"/>
      <c r="Q1564" s="149"/>
      <c r="R1564" s="149"/>
      <c r="S1564" s="149"/>
      <c r="T1564" s="149"/>
      <c r="U1564" s="149"/>
      <c r="V1564" s="149"/>
      <c r="W1564" s="149"/>
      <c r="X1564" s="149"/>
      <c r="Y1564" s="149"/>
      <c r="Z1564" s="149"/>
      <c r="AA1564" s="149"/>
      <c r="AB1564" s="149"/>
      <c r="AC1564" s="149"/>
      <c r="AD1564" s="149"/>
      <c r="AE1564" s="149"/>
      <c r="AF1564" s="149"/>
      <c r="AG1564" s="149"/>
      <c r="AH1564" s="149"/>
      <c r="AI1564" s="149"/>
      <c r="AJ1564" s="149"/>
      <c r="AK1564" s="149"/>
      <c r="AL1564" s="149"/>
      <c r="AM1564" s="149"/>
      <c r="AN1564" s="149"/>
      <c r="AO1564" s="149"/>
      <c r="AP1564" s="149"/>
    </row>
    <row r="1565" ht="18.75" customHeight="1">
      <c r="A1565" s="149"/>
      <c r="B1565" s="149"/>
      <c r="C1565" s="304"/>
      <c r="D1565" s="149"/>
      <c r="E1565" s="149"/>
      <c r="F1565" s="149"/>
      <c r="G1565" s="149"/>
      <c r="H1565" s="149"/>
      <c r="I1565" s="149"/>
      <c r="J1565" s="149"/>
      <c r="K1565" s="149"/>
      <c r="L1565" s="149"/>
      <c r="M1565" s="149"/>
      <c r="N1565" s="149"/>
      <c r="O1565" s="149"/>
      <c r="P1565" s="149"/>
      <c r="Q1565" s="149"/>
      <c r="R1565" s="149"/>
      <c r="S1565" s="149"/>
      <c r="T1565" s="149"/>
      <c r="U1565" s="149"/>
      <c r="V1565" s="149"/>
      <c r="W1565" s="149"/>
      <c r="X1565" s="149"/>
      <c r="Y1565" s="149"/>
      <c r="Z1565" s="149"/>
      <c r="AA1565" s="149"/>
      <c r="AB1565" s="149"/>
      <c r="AC1565" s="149"/>
      <c r="AD1565" s="149"/>
      <c r="AE1565" s="149"/>
      <c r="AF1565" s="149"/>
      <c r="AG1565" s="149"/>
      <c r="AH1565" s="149"/>
      <c r="AI1565" s="149"/>
      <c r="AJ1565" s="149"/>
      <c r="AK1565" s="149"/>
      <c r="AL1565" s="149"/>
      <c r="AM1565" s="149"/>
      <c r="AN1565" s="149"/>
      <c r="AO1565" s="149"/>
      <c r="AP1565" s="149"/>
    </row>
    <row r="1566" ht="18.75" customHeight="1">
      <c r="A1566" s="149"/>
      <c r="B1566" s="149"/>
      <c r="C1566" s="304"/>
      <c r="D1566" s="149"/>
      <c r="E1566" s="149"/>
      <c r="F1566" s="149"/>
      <c r="G1566" s="149"/>
      <c r="H1566" s="149"/>
      <c r="I1566" s="149"/>
      <c r="J1566" s="149"/>
      <c r="K1566" s="149"/>
      <c r="L1566" s="149"/>
      <c r="M1566" s="149"/>
      <c r="N1566" s="149"/>
      <c r="O1566" s="149"/>
      <c r="P1566" s="149"/>
      <c r="Q1566" s="149"/>
      <c r="R1566" s="149"/>
      <c r="S1566" s="149"/>
      <c r="T1566" s="149"/>
      <c r="U1566" s="149"/>
      <c r="V1566" s="149"/>
      <c r="W1566" s="149"/>
      <c r="X1566" s="149"/>
      <c r="Y1566" s="149"/>
      <c r="Z1566" s="149"/>
      <c r="AA1566" s="149"/>
      <c r="AB1566" s="149"/>
      <c r="AC1566" s="149"/>
      <c r="AD1566" s="149"/>
      <c r="AE1566" s="149"/>
      <c r="AF1566" s="149"/>
      <c r="AG1566" s="149"/>
      <c r="AH1566" s="149"/>
      <c r="AI1566" s="149"/>
      <c r="AJ1566" s="149"/>
      <c r="AK1566" s="149"/>
      <c r="AL1566" s="149"/>
      <c r="AM1566" s="149"/>
      <c r="AN1566" s="149"/>
      <c r="AO1566" s="149"/>
      <c r="AP1566" s="149"/>
    </row>
    <row r="1567" ht="18.75" customHeight="1">
      <c r="A1567" s="149"/>
      <c r="B1567" s="149"/>
      <c r="C1567" s="304"/>
      <c r="D1567" s="149"/>
      <c r="E1567" s="149"/>
      <c r="F1567" s="149"/>
      <c r="G1567" s="149"/>
      <c r="H1567" s="149"/>
      <c r="I1567" s="149"/>
      <c r="J1567" s="149"/>
      <c r="K1567" s="149"/>
      <c r="L1567" s="149"/>
      <c r="M1567" s="149"/>
      <c r="N1567" s="149"/>
      <c r="O1567" s="149"/>
      <c r="P1567" s="149"/>
      <c r="Q1567" s="149"/>
      <c r="R1567" s="149"/>
      <c r="S1567" s="149"/>
      <c r="T1567" s="149"/>
      <c r="U1567" s="149"/>
      <c r="V1567" s="149"/>
      <c r="W1567" s="149"/>
      <c r="X1567" s="149"/>
      <c r="Y1567" s="149"/>
      <c r="Z1567" s="149"/>
      <c r="AA1567" s="149"/>
      <c r="AB1567" s="149"/>
      <c r="AC1567" s="149"/>
      <c r="AD1567" s="149"/>
      <c r="AE1567" s="149"/>
      <c r="AF1567" s="149"/>
      <c r="AG1567" s="149"/>
      <c r="AH1567" s="149"/>
      <c r="AI1567" s="149"/>
      <c r="AJ1567" s="149"/>
      <c r="AK1567" s="149"/>
      <c r="AL1567" s="149"/>
      <c r="AM1567" s="149"/>
      <c r="AN1567" s="149"/>
      <c r="AO1567" s="149"/>
      <c r="AP1567" s="149"/>
    </row>
    <row r="1568" ht="18.75" customHeight="1">
      <c r="A1568" s="149"/>
      <c r="B1568" s="149"/>
      <c r="C1568" s="304"/>
      <c r="D1568" s="149"/>
      <c r="E1568" s="149"/>
      <c r="F1568" s="149"/>
      <c r="G1568" s="149"/>
      <c r="H1568" s="149"/>
      <c r="I1568" s="149"/>
      <c r="J1568" s="149"/>
      <c r="K1568" s="149"/>
      <c r="L1568" s="149"/>
      <c r="M1568" s="149"/>
      <c r="N1568" s="149"/>
      <c r="O1568" s="149"/>
      <c r="P1568" s="149"/>
      <c r="Q1568" s="149"/>
      <c r="R1568" s="149"/>
      <c r="S1568" s="149"/>
      <c r="T1568" s="149"/>
      <c r="U1568" s="149"/>
      <c r="V1568" s="149"/>
      <c r="W1568" s="149"/>
      <c r="X1568" s="149"/>
      <c r="Y1568" s="149"/>
      <c r="Z1568" s="149"/>
      <c r="AA1568" s="149"/>
      <c r="AB1568" s="149"/>
      <c r="AC1568" s="149"/>
      <c r="AD1568" s="149"/>
      <c r="AE1568" s="149"/>
      <c r="AF1568" s="149"/>
      <c r="AG1568" s="149"/>
      <c r="AH1568" s="149"/>
      <c r="AI1568" s="149"/>
      <c r="AJ1568" s="149"/>
      <c r="AK1568" s="149"/>
      <c r="AL1568" s="149"/>
      <c r="AM1568" s="149"/>
      <c r="AN1568" s="149"/>
      <c r="AO1568" s="149"/>
      <c r="AP1568" s="149"/>
    </row>
    <row r="1569" ht="18.75" customHeight="1">
      <c r="A1569" s="149"/>
      <c r="B1569" s="149"/>
      <c r="C1569" s="304"/>
      <c r="D1569" s="149"/>
      <c r="E1569" s="149"/>
      <c r="F1569" s="149"/>
      <c r="G1569" s="149"/>
      <c r="H1569" s="149"/>
      <c r="I1569" s="149"/>
      <c r="J1569" s="149"/>
      <c r="K1569" s="149"/>
      <c r="L1569" s="149"/>
      <c r="M1569" s="149"/>
      <c r="N1569" s="149"/>
      <c r="O1569" s="149"/>
      <c r="P1569" s="149"/>
      <c r="Q1569" s="149"/>
      <c r="R1569" s="149"/>
      <c r="S1569" s="149"/>
      <c r="T1569" s="149"/>
      <c r="U1569" s="149"/>
      <c r="V1569" s="149"/>
      <c r="W1569" s="149"/>
      <c r="X1569" s="149"/>
      <c r="Y1569" s="149"/>
      <c r="Z1569" s="149"/>
      <c r="AA1569" s="149"/>
      <c r="AB1569" s="149"/>
      <c r="AC1569" s="149"/>
      <c r="AD1569" s="149"/>
      <c r="AE1569" s="149"/>
      <c r="AF1569" s="149"/>
      <c r="AG1569" s="149"/>
      <c r="AH1569" s="149"/>
      <c r="AI1569" s="149"/>
      <c r="AJ1569" s="149"/>
      <c r="AK1569" s="149"/>
      <c r="AL1569" s="149"/>
      <c r="AM1569" s="149"/>
      <c r="AN1569" s="149"/>
      <c r="AO1569" s="149"/>
      <c r="AP1569" s="149"/>
    </row>
    <row r="1570" ht="18.75" customHeight="1">
      <c r="A1570" s="149"/>
      <c r="B1570" s="149"/>
      <c r="C1570" s="304"/>
      <c r="D1570" s="149"/>
      <c r="E1570" s="149"/>
      <c r="F1570" s="149"/>
      <c r="G1570" s="149"/>
      <c r="H1570" s="149"/>
      <c r="I1570" s="149"/>
      <c r="J1570" s="149"/>
      <c r="K1570" s="149"/>
      <c r="L1570" s="149"/>
      <c r="M1570" s="149"/>
      <c r="N1570" s="149"/>
      <c r="O1570" s="149"/>
      <c r="P1570" s="149"/>
      <c r="Q1570" s="149"/>
      <c r="R1570" s="149"/>
      <c r="S1570" s="149"/>
      <c r="T1570" s="149"/>
      <c r="U1570" s="149"/>
      <c r="V1570" s="149"/>
      <c r="W1570" s="149"/>
      <c r="X1570" s="149"/>
      <c r="Y1570" s="149"/>
      <c r="Z1570" s="149"/>
      <c r="AA1570" s="149"/>
      <c r="AB1570" s="149"/>
      <c r="AC1570" s="149"/>
      <c r="AD1570" s="149"/>
      <c r="AE1570" s="149"/>
      <c r="AF1570" s="149"/>
      <c r="AG1570" s="149"/>
      <c r="AH1570" s="149"/>
      <c r="AI1570" s="149"/>
      <c r="AJ1570" s="149"/>
      <c r="AK1570" s="149"/>
      <c r="AL1570" s="149"/>
      <c r="AM1570" s="149"/>
      <c r="AN1570" s="149"/>
      <c r="AO1570" s="149"/>
      <c r="AP1570" s="149"/>
    </row>
    <row r="1571" ht="18.75" customHeight="1">
      <c r="A1571" s="149"/>
      <c r="B1571" s="149"/>
      <c r="C1571" s="304"/>
      <c r="D1571" s="149"/>
      <c r="E1571" s="149"/>
      <c r="F1571" s="149"/>
      <c r="G1571" s="149"/>
      <c r="H1571" s="149"/>
      <c r="I1571" s="149"/>
      <c r="J1571" s="149"/>
      <c r="K1571" s="149"/>
      <c r="L1571" s="149"/>
      <c r="M1571" s="149"/>
      <c r="N1571" s="149"/>
      <c r="O1571" s="149"/>
      <c r="P1571" s="149"/>
      <c r="Q1571" s="149"/>
      <c r="R1571" s="149"/>
      <c r="S1571" s="149"/>
      <c r="T1571" s="149"/>
      <c r="U1571" s="149"/>
      <c r="V1571" s="149"/>
      <c r="W1571" s="149"/>
      <c r="X1571" s="149"/>
      <c r="Y1571" s="149"/>
      <c r="Z1571" s="149"/>
      <c r="AA1571" s="149"/>
      <c r="AB1571" s="149"/>
      <c r="AC1571" s="149"/>
      <c r="AD1571" s="149"/>
      <c r="AE1571" s="149"/>
      <c r="AF1571" s="149"/>
      <c r="AG1571" s="149"/>
      <c r="AH1571" s="149"/>
      <c r="AI1571" s="149"/>
      <c r="AJ1571" s="149"/>
      <c r="AK1571" s="149"/>
      <c r="AL1571" s="149"/>
      <c r="AM1571" s="149"/>
      <c r="AN1571" s="149"/>
      <c r="AO1571" s="149"/>
      <c r="AP1571" s="149"/>
    </row>
    <row r="1572" ht="18.75" customHeight="1">
      <c r="A1572" s="149"/>
      <c r="B1572" s="149"/>
      <c r="C1572" s="304"/>
      <c r="D1572" s="149"/>
      <c r="E1572" s="149"/>
      <c r="F1572" s="149"/>
      <c r="G1572" s="149"/>
      <c r="H1572" s="149"/>
      <c r="I1572" s="149"/>
      <c r="J1572" s="149"/>
      <c r="K1572" s="149"/>
      <c r="L1572" s="149"/>
      <c r="M1572" s="149"/>
      <c r="N1572" s="149"/>
      <c r="O1572" s="149"/>
      <c r="P1572" s="149"/>
      <c r="Q1572" s="149"/>
      <c r="R1572" s="149"/>
      <c r="S1572" s="149"/>
      <c r="T1572" s="149"/>
      <c r="U1572" s="149"/>
      <c r="V1572" s="149"/>
      <c r="W1572" s="149"/>
      <c r="X1572" s="149"/>
      <c r="Y1572" s="149"/>
      <c r="Z1572" s="149"/>
      <c r="AA1572" s="149"/>
      <c r="AB1572" s="149"/>
      <c r="AC1572" s="149"/>
      <c r="AD1572" s="149"/>
      <c r="AE1572" s="149"/>
      <c r="AF1572" s="149"/>
      <c r="AG1572" s="149"/>
      <c r="AH1572" s="149"/>
      <c r="AI1572" s="149"/>
      <c r="AJ1572" s="149"/>
      <c r="AK1572" s="149"/>
      <c r="AL1572" s="149"/>
      <c r="AM1572" s="149"/>
      <c r="AN1572" s="149"/>
      <c r="AO1572" s="149"/>
      <c r="AP1572" s="149"/>
    </row>
    <row r="1573" ht="18.75" customHeight="1">
      <c r="A1573" s="149"/>
      <c r="B1573" s="149"/>
      <c r="C1573" s="304"/>
      <c r="D1573" s="149"/>
      <c r="E1573" s="149"/>
      <c r="F1573" s="149"/>
      <c r="G1573" s="149"/>
      <c r="H1573" s="149"/>
      <c r="I1573" s="149"/>
      <c r="J1573" s="149"/>
      <c r="K1573" s="149"/>
      <c r="L1573" s="149"/>
      <c r="M1573" s="149"/>
      <c r="N1573" s="149"/>
      <c r="O1573" s="149"/>
      <c r="P1573" s="149"/>
      <c r="Q1573" s="149"/>
      <c r="R1573" s="149"/>
      <c r="S1573" s="149"/>
      <c r="T1573" s="149"/>
      <c r="U1573" s="149"/>
      <c r="V1573" s="149"/>
      <c r="W1573" s="149"/>
      <c r="X1573" s="149"/>
      <c r="Y1573" s="149"/>
      <c r="Z1573" s="149"/>
      <c r="AA1573" s="149"/>
      <c r="AB1573" s="149"/>
      <c r="AC1573" s="149"/>
      <c r="AD1573" s="149"/>
      <c r="AE1573" s="149"/>
      <c r="AF1573" s="149"/>
      <c r="AG1573" s="149"/>
      <c r="AH1573" s="149"/>
      <c r="AI1573" s="149"/>
      <c r="AJ1573" s="149"/>
      <c r="AK1573" s="149"/>
      <c r="AL1573" s="149"/>
      <c r="AM1573" s="149"/>
      <c r="AN1573" s="149"/>
      <c r="AO1573" s="149"/>
      <c r="AP1573" s="149"/>
    </row>
    <row r="1574" ht="18.75" customHeight="1">
      <c r="A1574" s="149"/>
      <c r="B1574" s="149"/>
      <c r="C1574" s="304"/>
      <c r="D1574" s="149"/>
      <c r="E1574" s="149"/>
      <c r="F1574" s="149"/>
      <c r="G1574" s="149"/>
      <c r="H1574" s="149"/>
      <c r="I1574" s="149"/>
      <c r="J1574" s="149"/>
      <c r="K1574" s="149"/>
      <c r="L1574" s="149"/>
      <c r="M1574" s="149"/>
      <c r="N1574" s="149"/>
      <c r="O1574" s="149"/>
      <c r="P1574" s="149"/>
      <c r="Q1574" s="149"/>
      <c r="R1574" s="149"/>
      <c r="S1574" s="149"/>
      <c r="T1574" s="149"/>
      <c r="U1574" s="149"/>
      <c r="V1574" s="149"/>
      <c r="W1574" s="149"/>
      <c r="X1574" s="149"/>
      <c r="Y1574" s="149"/>
      <c r="Z1574" s="149"/>
      <c r="AA1574" s="149"/>
      <c r="AB1574" s="149"/>
      <c r="AC1574" s="149"/>
      <c r="AD1574" s="149"/>
      <c r="AE1574" s="149"/>
      <c r="AF1574" s="149"/>
      <c r="AG1574" s="149"/>
      <c r="AH1574" s="149"/>
      <c r="AI1574" s="149"/>
      <c r="AJ1574" s="149"/>
      <c r="AK1574" s="149"/>
      <c r="AL1574" s="149"/>
      <c r="AM1574" s="149"/>
      <c r="AN1574" s="149"/>
      <c r="AO1574" s="149"/>
      <c r="AP1574" s="149"/>
    </row>
    <row r="1575" ht="18.75" customHeight="1">
      <c r="A1575" s="149"/>
      <c r="B1575" s="149"/>
      <c r="C1575" s="304"/>
      <c r="D1575" s="149"/>
      <c r="E1575" s="149"/>
      <c r="F1575" s="149"/>
      <c r="G1575" s="149"/>
      <c r="H1575" s="149"/>
      <c r="I1575" s="149"/>
      <c r="J1575" s="149"/>
      <c r="K1575" s="149"/>
      <c r="L1575" s="149"/>
      <c r="M1575" s="149"/>
      <c r="N1575" s="149"/>
      <c r="O1575" s="149"/>
      <c r="P1575" s="149"/>
      <c r="Q1575" s="149"/>
      <c r="R1575" s="149"/>
      <c r="S1575" s="149"/>
      <c r="T1575" s="149"/>
      <c r="U1575" s="149"/>
      <c r="V1575" s="149"/>
      <c r="W1575" s="149"/>
      <c r="X1575" s="149"/>
      <c r="Y1575" s="149"/>
      <c r="Z1575" s="149"/>
      <c r="AA1575" s="149"/>
      <c r="AB1575" s="149"/>
      <c r="AC1575" s="149"/>
      <c r="AD1575" s="149"/>
      <c r="AE1575" s="149"/>
      <c r="AF1575" s="149"/>
      <c r="AG1575" s="149"/>
      <c r="AH1575" s="149"/>
      <c r="AI1575" s="149"/>
      <c r="AJ1575" s="149"/>
      <c r="AK1575" s="149"/>
      <c r="AL1575" s="149"/>
      <c r="AM1575" s="149"/>
      <c r="AN1575" s="149"/>
      <c r="AO1575" s="149"/>
      <c r="AP1575" s="149"/>
    </row>
    <row r="1576" ht="18.75" customHeight="1">
      <c r="A1576" s="149"/>
      <c r="B1576" s="149"/>
      <c r="C1576" s="304"/>
      <c r="D1576" s="149"/>
      <c r="E1576" s="149"/>
      <c r="F1576" s="149"/>
      <c r="G1576" s="149"/>
      <c r="H1576" s="149"/>
      <c r="I1576" s="149"/>
      <c r="J1576" s="149"/>
      <c r="K1576" s="149"/>
      <c r="L1576" s="149"/>
      <c r="M1576" s="149"/>
      <c r="N1576" s="149"/>
      <c r="O1576" s="149"/>
      <c r="P1576" s="149"/>
      <c r="Q1576" s="149"/>
      <c r="R1576" s="149"/>
      <c r="S1576" s="149"/>
      <c r="T1576" s="149"/>
      <c r="U1576" s="149"/>
      <c r="V1576" s="149"/>
      <c r="W1576" s="149"/>
      <c r="X1576" s="149"/>
      <c r="Y1576" s="149"/>
      <c r="Z1576" s="149"/>
      <c r="AA1576" s="149"/>
      <c r="AB1576" s="149"/>
      <c r="AC1576" s="149"/>
      <c r="AD1576" s="149"/>
      <c r="AE1576" s="149"/>
      <c r="AF1576" s="149"/>
      <c r="AG1576" s="149"/>
      <c r="AH1576" s="149"/>
      <c r="AI1576" s="149"/>
      <c r="AJ1576" s="149"/>
      <c r="AK1576" s="149"/>
      <c r="AL1576" s="149"/>
      <c r="AM1576" s="149"/>
      <c r="AN1576" s="149"/>
      <c r="AO1576" s="149"/>
      <c r="AP1576" s="149"/>
    </row>
    <row r="1577" ht="18.75" customHeight="1">
      <c r="A1577" s="149"/>
      <c r="B1577" s="149"/>
      <c r="C1577" s="304"/>
      <c r="D1577" s="149"/>
      <c r="E1577" s="149"/>
      <c r="F1577" s="149"/>
      <c r="G1577" s="149"/>
      <c r="H1577" s="149"/>
      <c r="I1577" s="149"/>
      <c r="J1577" s="149"/>
      <c r="K1577" s="149"/>
      <c r="L1577" s="149"/>
      <c r="M1577" s="149"/>
      <c r="N1577" s="149"/>
      <c r="O1577" s="149"/>
      <c r="P1577" s="149"/>
      <c r="Q1577" s="149"/>
      <c r="R1577" s="149"/>
      <c r="S1577" s="149"/>
      <c r="T1577" s="149"/>
      <c r="U1577" s="149"/>
      <c r="V1577" s="149"/>
      <c r="W1577" s="149"/>
      <c r="X1577" s="149"/>
      <c r="Y1577" s="149"/>
      <c r="Z1577" s="149"/>
      <c r="AA1577" s="149"/>
      <c r="AB1577" s="149"/>
      <c r="AC1577" s="149"/>
      <c r="AD1577" s="149"/>
      <c r="AE1577" s="149"/>
      <c r="AF1577" s="149"/>
      <c r="AG1577" s="149"/>
      <c r="AH1577" s="149"/>
      <c r="AI1577" s="149"/>
      <c r="AJ1577" s="149"/>
      <c r="AK1577" s="149"/>
      <c r="AL1577" s="149"/>
      <c r="AM1577" s="149"/>
      <c r="AN1577" s="149"/>
      <c r="AO1577" s="149"/>
      <c r="AP1577" s="149"/>
    </row>
    <row r="1578" ht="18.75" customHeight="1">
      <c r="A1578" s="149"/>
      <c r="B1578" s="149"/>
      <c r="C1578" s="304"/>
      <c r="D1578" s="149"/>
      <c r="E1578" s="149"/>
      <c r="F1578" s="149"/>
      <c r="G1578" s="149"/>
      <c r="H1578" s="149"/>
      <c r="I1578" s="149"/>
      <c r="J1578" s="149"/>
      <c r="K1578" s="149"/>
      <c r="L1578" s="149"/>
      <c r="M1578" s="149"/>
      <c r="N1578" s="149"/>
      <c r="O1578" s="149"/>
      <c r="P1578" s="149"/>
      <c r="Q1578" s="149"/>
      <c r="R1578" s="149"/>
      <c r="S1578" s="149"/>
      <c r="T1578" s="149"/>
      <c r="U1578" s="149"/>
      <c r="V1578" s="149"/>
      <c r="W1578" s="149"/>
      <c r="X1578" s="149"/>
      <c r="Y1578" s="149"/>
      <c r="Z1578" s="149"/>
      <c r="AA1578" s="149"/>
      <c r="AB1578" s="149"/>
      <c r="AC1578" s="149"/>
      <c r="AD1578" s="149"/>
      <c r="AE1578" s="149"/>
      <c r="AF1578" s="149"/>
      <c r="AG1578" s="149"/>
      <c r="AH1578" s="149"/>
      <c r="AI1578" s="149"/>
      <c r="AJ1578" s="149"/>
      <c r="AK1578" s="149"/>
      <c r="AL1578" s="149"/>
      <c r="AM1578" s="149"/>
      <c r="AN1578" s="149"/>
      <c r="AO1578" s="149"/>
      <c r="AP1578" s="149"/>
    </row>
    <row r="1579" ht="18.75" customHeight="1">
      <c r="A1579" s="149"/>
      <c r="B1579" s="149"/>
      <c r="C1579" s="304"/>
      <c r="D1579" s="149"/>
      <c r="E1579" s="149"/>
      <c r="F1579" s="149"/>
      <c r="G1579" s="149"/>
      <c r="H1579" s="149"/>
      <c r="I1579" s="149"/>
      <c r="J1579" s="149"/>
      <c r="K1579" s="149"/>
      <c r="L1579" s="149"/>
      <c r="M1579" s="149"/>
      <c r="N1579" s="149"/>
      <c r="O1579" s="149"/>
      <c r="P1579" s="149"/>
      <c r="Q1579" s="149"/>
      <c r="R1579" s="149"/>
      <c r="S1579" s="149"/>
      <c r="T1579" s="149"/>
      <c r="U1579" s="149"/>
      <c r="V1579" s="149"/>
      <c r="W1579" s="149"/>
      <c r="X1579" s="149"/>
      <c r="Y1579" s="149"/>
      <c r="Z1579" s="149"/>
      <c r="AA1579" s="149"/>
      <c r="AB1579" s="149"/>
      <c r="AC1579" s="149"/>
      <c r="AD1579" s="149"/>
      <c r="AE1579" s="149"/>
      <c r="AF1579" s="149"/>
      <c r="AG1579" s="149"/>
      <c r="AH1579" s="149"/>
      <c r="AI1579" s="149"/>
      <c r="AJ1579" s="149"/>
      <c r="AK1579" s="149"/>
      <c r="AL1579" s="149"/>
      <c r="AM1579" s="149"/>
      <c r="AN1579" s="149"/>
      <c r="AO1579" s="149"/>
      <c r="AP1579" s="149"/>
    </row>
    <row r="1580" ht="18.75" customHeight="1">
      <c r="A1580" s="149"/>
      <c r="B1580" s="149"/>
      <c r="C1580" s="304"/>
      <c r="D1580" s="149"/>
      <c r="E1580" s="149"/>
      <c r="F1580" s="149"/>
      <c r="G1580" s="149"/>
      <c r="H1580" s="149"/>
      <c r="I1580" s="149"/>
      <c r="J1580" s="149"/>
      <c r="K1580" s="149"/>
      <c r="L1580" s="149"/>
      <c r="M1580" s="149"/>
      <c r="N1580" s="149"/>
      <c r="O1580" s="149"/>
      <c r="P1580" s="149"/>
      <c r="Q1580" s="149"/>
      <c r="R1580" s="149"/>
      <c r="S1580" s="149"/>
      <c r="T1580" s="149"/>
      <c r="U1580" s="149"/>
      <c r="V1580" s="149"/>
      <c r="W1580" s="149"/>
      <c r="X1580" s="149"/>
      <c r="Y1580" s="149"/>
      <c r="Z1580" s="149"/>
      <c r="AA1580" s="149"/>
      <c r="AB1580" s="149"/>
      <c r="AC1580" s="149"/>
      <c r="AD1580" s="149"/>
      <c r="AE1580" s="149"/>
      <c r="AF1580" s="149"/>
      <c r="AG1580" s="149"/>
      <c r="AH1580" s="149"/>
      <c r="AI1580" s="149"/>
      <c r="AJ1580" s="149"/>
      <c r="AK1580" s="149"/>
      <c r="AL1580" s="149"/>
      <c r="AM1580" s="149"/>
      <c r="AN1580" s="149"/>
      <c r="AO1580" s="149"/>
      <c r="AP1580" s="149"/>
    </row>
    <row r="1581" ht="18.75" customHeight="1">
      <c r="A1581" s="149"/>
      <c r="B1581" s="149"/>
      <c r="C1581" s="304"/>
      <c r="D1581" s="149"/>
      <c r="E1581" s="149"/>
      <c r="F1581" s="149"/>
      <c r="G1581" s="149"/>
      <c r="H1581" s="149"/>
      <c r="I1581" s="149"/>
      <c r="J1581" s="149"/>
      <c r="K1581" s="149"/>
      <c r="L1581" s="149"/>
      <c r="M1581" s="149"/>
      <c r="N1581" s="149"/>
      <c r="O1581" s="149"/>
      <c r="P1581" s="149"/>
      <c r="Q1581" s="149"/>
      <c r="R1581" s="149"/>
      <c r="S1581" s="149"/>
      <c r="T1581" s="149"/>
      <c r="U1581" s="149"/>
      <c r="V1581" s="149"/>
      <c r="W1581" s="149"/>
      <c r="X1581" s="149"/>
      <c r="Y1581" s="149"/>
      <c r="Z1581" s="149"/>
      <c r="AA1581" s="149"/>
      <c r="AB1581" s="149"/>
      <c r="AC1581" s="149"/>
      <c r="AD1581" s="149"/>
      <c r="AE1581" s="149"/>
      <c r="AF1581" s="149"/>
      <c r="AG1581" s="149"/>
      <c r="AH1581" s="149"/>
      <c r="AI1581" s="149"/>
      <c r="AJ1581" s="149"/>
      <c r="AK1581" s="149"/>
      <c r="AL1581" s="149"/>
      <c r="AM1581" s="149"/>
      <c r="AN1581" s="149"/>
      <c r="AO1581" s="149"/>
      <c r="AP1581" s="149"/>
    </row>
    <row r="1582" ht="18.75" customHeight="1">
      <c r="A1582" s="149"/>
      <c r="B1582" s="149"/>
      <c r="C1582" s="304"/>
      <c r="D1582" s="149"/>
      <c r="E1582" s="149"/>
      <c r="F1582" s="149"/>
      <c r="G1582" s="149"/>
      <c r="H1582" s="149"/>
      <c r="I1582" s="149"/>
      <c r="J1582" s="149"/>
      <c r="K1582" s="149"/>
      <c r="L1582" s="149"/>
      <c r="M1582" s="149"/>
      <c r="N1582" s="149"/>
      <c r="O1582" s="149"/>
      <c r="P1582" s="149"/>
      <c r="Q1582" s="149"/>
      <c r="R1582" s="149"/>
      <c r="S1582" s="149"/>
      <c r="T1582" s="149"/>
      <c r="U1582" s="149"/>
      <c r="V1582" s="149"/>
      <c r="W1582" s="149"/>
      <c r="X1582" s="149"/>
      <c r="Y1582" s="149"/>
      <c r="Z1582" s="149"/>
      <c r="AA1582" s="149"/>
      <c r="AB1582" s="149"/>
      <c r="AC1582" s="149"/>
      <c r="AD1582" s="149"/>
      <c r="AE1582" s="149"/>
      <c r="AF1582" s="149"/>
      <c r="AG1582" s="149"/>
      <c r="AH1582" s="149"/>
      <c r="AI1582" s="149"/>
      <c r="AJ1582" s="149"/>
      <c r="AK1582" s="149"/>
      <c r="AL1582" s="149"/>
      <c r="AM1582" s="149"/>
      <c r="AN1582" s="149"/>
      <c r="AO1582" s="149"/>
      <c r="AP1582" s="149"/>
    </row>
    <row r="1583" ht="18.75" customHeight="1">
      <c r="A1583" s="149"/>
      <c r="B1583" s="149"/>
      <c r="C1583" s="304"/>
      <c r="D1583" s="149"/>
      <c r="E1583" s="149"/>
      <c r="F1583" s="149"/>
      <c r="G1583" s="149"/>
      <c r="H1583" s="149"/>
      <c r="I1583" s="149"/>
      <c r="J1583" s="149"/>
      <c r="K1583" s="149"/>
      <c r="L1583" s="149"/>
      <c r="M1583" s="149"/>
      <c r="N1583" s="149"/>
      <c r="O1583" s="149"/>
      <c r="P1583" s="149"/>
      <c r="Q1583" s="149"/>
      <c r="R1583" s="149"/>
      <c r="S1583" s="149"/>
      <c r="T1583" s="149"/>
      <c r="U1583" s="149"/>
      <c r="V1583" s="149"/>
      <c r="W1583" s="149"/>
      <c r="X1583" s="149"/>
      <c r="Y1583" s="149"/>
      <c r="Z1583" s="149"/>
      <c r="AA1583" s="149"/>
      <c r="AB1583" s="149"/>
      <c r="AC1583" s="149"/>
      <c r="AD1583" s="149"/>
      <c r="AE1583" s="149"/>
      <c r="AF1583" s="149"/>
      <c r="AG1583" s="149"/>
      <c r="AH1583" s="149"/>
      <c r="AI1583" s="149"/>
      <c r="AJ1583" s="149"/>
      <c r="AK1583" s="149"/>
      <c r="AL1583" s="149"/>
      <c r="AM1583" s="149"/>
      <c r="AN1583" s="149"/>
      <c r="AO1583" s="149"/>
      <c r="AP1583" s="149"/>
    </row>
    <row r="1584" ht="18.75" customHeight="1">
      <c r="A1584" s="149"/>
      <c r="B1584" s="149"/>
      <c r="C1584" s="304"/>
      <c r="D1584" s="149"/>
      <c r="E1584" s="149"/>
      <c r="F1584" s="149"/>
      <c r="G1584" s="149"/>
      <c r="H1584" s="149"/>
      <c r="I1584" s="149"/>
      <c r="J1584" s="149"/>
      <c r="K1584" s="149"/>
      <c r="L1584" s="149"/>
      <c r="M1584" s="149"/>
      <c r="N1584" s="149"/>
      <c r="O1584" s="149"/>
      <c r="P1584" s="149"/>
      <c r="Q1584" s="149"/>
      <c r="R1584" s="149"/>
      <c r="S1584" s="149"/>
      <c r="T1584" s="149"/>
      <c r="U1584" s="149"/>
      <c r="V1584" s="149"/>
      <c r="W1584" s="149"/>
      <c r="X1584" s="149"/>
      <c r="Y1584" s="149"/>
      <c r="Z1584" s="149"/>
      <c r="AA1584" s="149"/>
      <c r="AB1584" s="149"/>
      <c r="AC1584" s="149"/>
      <c r="AD1584" s="149"/>
      <c r="AE1584" s="149"/>
      <c r="AF1584" s="149"/>
      <c r="AG1584" s="149"/>
      <c r="AH1584" s="149"/>
      <c r="AI1584" s="149"/>
      <c r="AJ1584" s="149"/>
      <c r="AK1584" s="149"/>
      <c r="AL1584" s="149"/>
      <c r="AM1584" s="149"/>
      <c r="AN1584" s="149"/>
      <c r="AO1584" s="149"/>
      <c r="AP1584" s="149"/>
    </row>
    <row r="1585" ht="18.75" customHeight="1">
      <c r="A1585" s="149"/>
      <c r="B1585" s="149"/>
      <c r="C1585" s="304"/>
      <c r="D1585" s="149"/>
      <c r="E1585" s="149"/>
      <c r="F1585" s="149"/>
      <c r="G1585" s="149"/>
      <c r="H1585" s="149"/>
      <c r="I1585" s="149"/>
      <c r="J1585" s="149"/>
      <c r="K1585" s="149"/>
      <c r="L1585" s="149"/>
      <c r="M1585" s="149"/>
      <c r="N1585" s="149"/>
      <c r="O1585" s="149"/>
      <c r="P1585" s="149"/>
      <c r="Q1585" s="149"/>
      <c r="R1585" s="149"/>
      <c r="S1585" s="149"/>
      <c r="T1585" s="149"/>
      <c r="U1585" s="149"/>
      <c r="V1585" s="149"/>
      <c r="W1585" s="149"/>
      <c r="X1585" s="149"/>
      <c r="Y1585" s="149"/>
      <c r="Z1585" s="149"/>
      <c r="AA1585" s="149"/>
      <c r="AB1585" s="149"/>
      <c r="AC1585" s="149"/>
      <c r="AD1585" s="149"/>
      <c r="AE1585" s="149"/>
      <c r="AF1585" s="149"/>
      <c r="AG1585" s="149"/>
      <c r="AH1585" s="149"/>
      <c r="AI1585" s="149"/>
      <c r="AJ1585" s="149"/>
      <c r="AK1585" s="149"/>
      <c r="AL1585" s="149"/>
      <c r="AM1585" s="149"/>
      <c r="AN1585" s="149"/>
      <c r="AO1585" s="149"/>
      <c r="AP1585" s="149"/>
    </row>
    <row r="1586" ht="18.75" customHeight="1">
      <c r="A1586" s="149"/>
      <c r="B1586" s="149"/>
      <c r="C1586" s="304"/>
      <c r="D1586" s="149"/>
      <c r="E1586" s="149"/>
      <c r="F1586" s="149"/>
      <c r="G1586" s="149"/>
      <c r="H1586" s="149"/>
      <c r="I1586" s="149"/>
      <c r="J1586" s="149"/>
      <c r="K1586" s="149"/>
      <c r="L1586" s="149"/>
      <c r="M1586" s="149"/>
      <c r="N1586" s="149"/>
      <c r="O1586" s="149"/>
      <c r="P1586" s="149"/>
      <c r="Q1586" s="149"/>
      <c r="R1586" s="149"/>
      <c r="S1586" s="149"/>
      <c r="T1586" s="149"/>
      <c r="U1586" s="149"/>
      <c r="V1586" s="149"/>
      <c r="W1586" s="149"/>
      <c r="X1586" s="149"/>
      <c r="Y1586" s="149"/>
      <c r="Z1586" s="149"/>
      <c r="AA1586" s="149"/>
      <c r="AB1586" s="149"/>
      <c r="AC1586" s="149"/>
      <c r="AD1586" s="149"/>
      <c r="AE1586" s="149"/>
      <c r="AF1586" s="149"/>
      <c r="AG1586" s="149"/>
      <c r="AH1586" s="149"/>
      <c r="AI1586" s="149"/>
      <c r="AJ1586" s="149"/>
      <c r="AK1586" s="149"/>
      <c r="AL1586" s="149"/>
      <c r="AM1586" s="149"/>
      <c r="AN1586" s="149"/>
      <c r="AO1586" s="149"/>
      <c r="AP1586" s="149"/>
    </row>
    <row r="1587" ht="18.75" customHeight="1">
      <c r="A1587" s="149"/>
      <c r="B1587" s="149"/>
      <c r="C1587" s="304"/>
      <c r="D1587" s="149"/>
      <c r="E1587" s="149"/>
      <c r="F1587" s="149"/>
      <c r="G1587" s="149"/>
      <c r="H1587" s="149"/>
      <c r="I1587" s="149"/>
      <c r="J1587" s="149"/>
      <c r="K1587" s="149"/>
      <c r="L1587" s="149"/>
      <c r="M1587" s="149"/>
      <c r="N1587" s="149"/>
      <c r="O1587" s="149"/>
      <c r="P1587" s="149"/>
      <c r="Q1587" s="149"/>
      <c r="R1587" s="149"/>
      <c r="S1587" s="149"/>
      <c r="T1587" s="149"/>
      <c r="U1587" s="149"/>
      <c r="V1587" s="149"/>
      <c r="W1587" s="149"/>
      <c r="X1587" s="149"/>
      <c r="Y1587" s="149"/>
      <c r="Z1587" s="149"/>
      <c r="AA1587" s="149"/>
      <c r="AB1587" s="149"/>
      <c r="AC1587" s="149"/>
      <c r="AD1587" s="149"/>
      <c r="AE1587" s="149"/>
      <c r="AF1587" s="149"/>
      <c r="AG1587" s="149"/>
      <c r="AH1587" s="149"/>
      <c r="AI1587" s="149"/>
      <c r="AJ1587" s="149"/>
      <c r="AK1587" s="149"/>
      <c r="AL1587" s="149"/>
      <c r="AM1587" s="149"/>
      <c r="AN1587" s="149"/>
      <c r="AO1587" s="149"/>
      <c r="AP1587" s="149"/>
    </row>
    <row r="1588" ht="18.75" customHeight="1">
      <c r="A1588" s="149"/>
      <c r="B1588" s="149"/>
      <c r="C1588" s="304"/>
      <c r="D1588" s="149"/>
      <c r="E1588" s="149"/>
      <c r="F1588" s="149"/>
      <c r="G1588" s="149"/>
      <c r="H1588" s="149"/>
      <c r="I1588" s="149"/>
      <c r="J1588" s="149"/>
      <c r="K1588" s="149"/>
      <c r="L1588" s="149"/>
      <c r="M1588" s="149"/>
      <c r="N1588" s="149"/>
      <c r="O1588" s="149"/>
      <c r="P1588" s="149"/>
      <c r="Q1588" s="149"/>
      <c r="R1588" s="149"/>
      <c r="S1588" s="149"/>
      <c r="T1588" s="149"/>
      <c r="U1588" s="149"/>
      <c r="V1588" s="149"/>
      <c r="W1588" s="149"/>
      <c r="X1588" s="149"/>
      <c r="Y1588" s="149"/>
      <c r="Z1588" s="149"/>
      <c r="AA1588" s="149"/>
      <c r="AB1588" s="149"/>
      <c r="AC1588" s="149"/>
      <c r="AD1588" s="149"/>
      <c r="AE1588" s="149"/>
      <c r="AF1588" s="149"/>
      <c r="AG1588" s="149"/>
      <c r="AH1588" s="149"/>
      <c r="AI1588" s="149"/>
      <c r="AJ1588" s="149"/>
      <c r="AK1588" s="149"/>
      <c r="AL1588" s="149"/>
      <c r="AM1588" s="149"/>
      <c r="AN1588" s="149"/>
      <c r="AO1588" s="149"/>
      <c r="AP1588" s="149"/>
    </row>
    <row r="1589" ht="18.75" customHeight="1">
      <c r="A1589" s="149"/>
      <c r="B1589" s="149"/>
      <c r="C1589" s="304"/>
      <c r="D1589" s="149"/>
      <c r="E1589" s="149"/>
      <c r="F1589" s="149"/>
      <c r="G1589" s="149"/>
      <c r="H1589" s="149"/>
      <c r="I1589" s="149"/>
      <c r="J1589" s="149"/>
      <c r="K1589" s="149"/>
      <c r="L1589" s="149"/>
      <c r="M1589" s="149"/>
      <c r="N1589" s="149"/>
      <c r="O1589" s="149"/>
      <c r="P1589" s="149"/>
      <c r="Q1589" s="149"/>
      <c r="R1589" s="149"/>
      <c r="S1589" s="149"/>
      <c r="T1589" s="149"/>
      <c r="U1589" s="149"/>
      <c r="V1589" s="149"/>
      <c r="W1589" s="149"/>
      <c r="X1589" s="149"/>
      <c r="Y1589" s="149"/>
      <c r="Z1589" s="149"/>
      <c r="AA1589" s="149"/>
      <c r="AB1589" s="149"/>
      <c r="AC1589" s="149"/>
      <c r="AD1589" s="149"/>
      <c r="AE1589" s="149"/>
      <c r="AF1589" s="149"/>
      <c r="AG1589" s="149"/>
      <c r="AH1589" s="149"/>
      <c r="AI1589" s="149"/>
      <c r="AJ1589" s="149"/>
      <c r="AK1589" s="149"/>
      <c r="AL1589" s="149"/>
      <c r="AM1589" s="149"/>
      <c r="AN1589" s="149"/>
      <c r="AO1589" s="149"/>
      <c r="AP1589" s="149"/>
    </row>
    <row r="1590" ht="18.75" customHeight="1">
      <c r="A1590" s="149"/>
      <c r="B1590" s="149"/>
      <c r="C1590" s="304"/>
      <c r="D1590" s="149"/>
      <c r="E1590" s="149"/>
      <c r="F1590" s="149"/>
      <c r="G1590" s="149"/>
      <c r="H1590" s="149"/>
      <c r="I1590" s="149"/>
      <c r="J1590" s="149"/>
      <c r="K1590" s="149"/>
      <c r="L1590" s="149"/>
      <c r="M1590" s="149"/>
      <c r="N1590" s="149"/>
      <c r="O1590" s="149"/>
      <c r="P1590" s="149"/>
      <c r="Q1590" s="149"/>
      <c r="R1590" s="149"/>
      <c r="S1590" s="149"/>
      <c r="T1590" s="149"/>
      <c r="U1590" s="149"/>
      <c r="V1590" s="149"/>
      <c r="W1590" s="149"/>
      <c r="X1590" s="149"/>
      <c r="Y1590" s="149"/>
      <c r="Z1590" s="149"/>
      <c r="AA1590" s="149"/>
      <c r="AB1590" s="149"/>
      <c r="AC1590" s="149"/>
      <c r="AD1590" s="149"/>
      <c r="AE1590" s="149"/>
      <c r="AF1590" s="149"/>
      <c r="AG1590" s="149"/>
      <c r="AH1590" s="149"/>
      <c r="AI1590" s="149"/>
      <c r="AJ1590" s="149"/>
      <c r="AK1590" s="149"/>
      <c r="AL1590" s="149"/>
      <c r="AM1590" s="149"/>
      <c r="AN1590" s="149"/>
      <c r="AO1590" s="149"/>
      <c r="AP1590" s="149"/>
    </row>
    <row r="1591" ht="18.75" customHeight="1">
      <c r="A1591" s="149"/>
      <c r="B1591" s="149"/>
      <c r="C1591" s="304"/>
      <c r="D1591" s="149"/>
      <c r="E1591" s="149"/>
      <c r="F1591" s="149"/>
      <c r="G1591" s="149"/>
      <c r="H1591" s="149"/>
      <c r="I1591" s="149"/>
      <c r="J1591" s="149"/>
      <c r="K1591" s="149"/>
      <c r="L1591" s="149"/>
      <c r="M1591" s="149"/>
      <c r="N1591" s="149"/>
      <c r="O1591" s="149"/>
      <c r="P1591" s="149"/>
      <c r="Q1591" s="149"/>
      <c r="R1591" s="149"/>
      <c r="S1591" s="149"/>
      <c r="T1591" s="149"/>
      <c r="U1591" s="149"/>
      <c r="V1591" s="149"/>
      <c r="W1591" s="149"/>
      <c r="X1591" s="149"/>
      <c r="Y1591" s="149"/>
      <c r="Z1591" s="149"/>
      <c r="AA1591" s="149"/>
      <c r="AB1591" s="149"/>
      <c r="AC1591" s="149"/>
      <c r="AD1591" s="149"/>
      <c r="AE1591" s="149"/>
      <c r="AF1591" s="149"/>
      <c r="AG1591" s="149"/>
      <c r="AH1591" s="149"/>
      <c r="AI1591" s="149"/>
      <c r="AJ1591" s="149"/>
      <c r="AK1591" s="149"/>
      <c r="AL1591" s="149"/>
      <c r="AM1591" s="149"/>
      <c r="AN1591" s="149"/>
      <c r="AO1591" s="149"/>
      <c r="AP1591" s="149"/>
    </row>
    <row r="1592" ht="18.75" customHeight="1">
      <c r="A1592" s="149"/>
      <c r="B1592" s="149"/>
      <c r="C1592" s="304"/>
      <c r="D1592" s="149"/>
      <c r="E1592" s="149"/>
      <c r="F1592" s="149"/>
      <c r="G1592" s="149"/>
      <c r="H1592" s="149"/>
      <c r="I1592" s="149"/>
      <c r="J1592" s="149"/>
      <c r="K1592" s="149"/>
      <c r="L1592" s="149"/>
      <c r="M1592" s="149"/>
      <c r="N1592" s="149"/>
      <c r="O1592" s="149"/>
      <c r="P1592" s="149"/>
      <c r="Q1592" s="149"/>
      <c r="R1592" s="149"/>
      <c r="S1592" s="149"/>
      <c r="T1592" s="149"/>
      <c r="U1592" s="149"/>
      <c r="V1592" s="149"/>
      <c r="W1592" s="149"/>
      <c r="X1592" s="149"/>
      <c r="Y1592" s="149"/>
      <c r="Z1592" s="149"/>
      <c r="AA1592" s="149"/>
      <c r="AB1592" s="149"/>
      <c r="AC1592" s="149"/>
      <c r="AD1592" s="149"/>
      <c r="AE1592" s="149"/>
      <c r="AF1592" s="149"/>
      <c r="AG1592" s="149"/>
      <c r="AH1592" s="149"/>
      <c r="AI1592" s="149"/>
      <c r="AJ1592" s="149"/>
      <c r="AK1592" s="149"/>
      <c r="AL1592" s="149"/>
      <c r="AM1592" s="149"/>
      <c r="AN1592" s="149"/>
      <c r="AO1592" s="149"/>
      <c r="AP1592" s="149"/>
    </row>
    <row r="1593" ht="18.75" customHeight="1">
      <c r="A1593" s="149"/>
      <c r="B1593" s="149"/>
      <c r="C1593" s="304"/>
      <c r="D1593" s="149"/>
      <c r="E1593" s="149"/>
      <c r="F1593" s="149"/>
      <c r="G1593" s="149"/>
      <c r="H1593" s="149"/>
      <c r="I1593" s="149"/>
      <c r="J1593" s="149"/>
      <c r="K1593" s="149"/>
      <c r="L1593" s="149"/>
      <c r="M1593" s="149"/>
      <c r="N1593" s="149"/>
      <c r="O1593" s="149"/>
      <c r="P1593" s="149"/>
      <c r="Q1593" s="149"/>
      <c r="R1593" s="149"/>
      <c r="S1593" s="149"/>
      <c r="T1593" s="149"/>
      <c r="U1593" s="149"/>
      <c r="V1593" s="149"/>
      <c r="W1593" s="149"/>
      <c r="X1593" s="149"/>
      <c r="Y1593" s="149"/>
      <c r="Z1593" s="149"/>
      <c r="AA1593" s="149"/>
      <c r="AB1593" s="149"/>
      <c r="AC1593" s="149"/>
      <c r="AD1593" s="149"/>
      <c r="AE1593" s="149"/>
      <c r="AF1593" s="149"/>
      <c r="AG1593" s="149"/>
      <c r="AH1593" s="149"/>
      <c r="AI1593" s="149"/>
      <c r="AJ1593" s="149"/>
      <c r="AK1593" s="149"/>
      <c r="AL1593" s="149"/>
      <c r="AM1593" s="149"/>
      <c r="AN1593" s="149"/>
      <c r="AO1593" s="149"/>
      <c r="AP1593" s="149"/>
    </row>
    <row r="1594" ht="18.75" customHeight="1">
      <c r="A1594" s="149"/>
      <c r="B1594" s="149"/>
      <c r="C1594" s="304"/>
      <c r="D1594" s="149"/>
      <c r="E1594" s="149"/>
      <c r="F1594" s="149"/>
      <c r="G1594" s="149"/>
      <c r="H1594" s="149"/>
      <c r="I1594" s="149"/>
      <c r="J1594" s="149"/>
      <c r="K1594" s="149"/>
      <c r="L1594" s="149"/>
      <c r="M1594" s="149"/>
      <c r="N1594" s="149"/>
      <c r="O1594" s="149"/>
      <c r="P1594" s="149"/>
      <c r="Q1594" s="149"/>
      <c r="R1594" s="149"/>
      <c r="S1594" s="149"/>
      <c r="T1594" s="149"/>
      <c r="U1594" s="149"/>
      <c r="V1594" s="149"/>
      <c r="W1594" s="149"/>
      <c r="X1594" s="149"/>
      <c r="Y1594" s="149"/>
      <c r="Z1594" s="149"/>
      <c r="AA1594" s="149"/>
      <c r="AB1594" s="149"/>
      <c r="AC1594" s="149"/>
      <c r="AD1594" s="149"/>
      <c r="AE1594" s="149"/>
      <c r="AF1594" s="149"/>
      <c r="AG1594" s="149"/>
      <c r="AH1594" s="149"/>
      <c r="AI1594" s="149"/>
      <c r="AJ1594" s="149"/>
      <c r="AK1594" s="149"/>
      <c r="AL1594" s="149"/>
      <c r="AM1594" s="149"/>
      <c r="AN1594" s="149"/>
      <c r="AO1594" s="149"/>
      <c r="AP1594" s="149"/>
    </row>
    <row r="1595" ht="18.75" customHeight="1">
      <c r="A1595" s="149"/>
      <c r="B1595" s="149"/>
      <c r="C1595" s="304"/>
      <c r="D1595" s="149"/>
      <c r="E1595" s="149"/>
      <c r="F1595" s="149"/>
      <c r="G1595" s="149"/>
      <c r="H1595" s="149"/>
      <c r="I1595" s="149"/>
      <c r="J1595" s="149"/>
      <c r="K1595" s="149"/>
      <c r="L1595" s="149"/>
      <c r="M1595" s="149"/>
      <c r="N1595" s="149"/>
      <c r="O1595" s="149"/>
      <c r="P1595" s="149"/>
      <c r="Q1595" s="149"/>
      <c r="R1595" s="149"/>
      <c r="S1595" s="149"/>
      <c r="T1595" s="149"/>
      <c r="U1595" s="149"/>
      <c r="V1595" s="149"/>
      <c r="W1595" s="149"/>
      <c r="X1595" s="149"/>
      <c r="Y1595" s="149"/>
      <c r="Z1595" s="149"/>
      <c r="AA1595" s="149"/>
      <c r="AB1595" s="149"/>
      <c r="AC1595" s="149"/>
      <c r="AD1595" s="149"/>
      <c r="AE1595" s="149"/>
      <c r="AF1595" s="149"/>
      <c r="AG1595" s="149"/>
      <c r="AH1595" s="149"/>
      <c r="AI1595" s="149"/>
      <c r="AJ1595" s="149"/>
      <c r="AK1595" s="149"/>
      <c r="AL1595" s="149"/>
      <c r="AM1595" s="149"/>
      <c r="AN1595" s="149"/>
      <c r="AO1595" s="149"/>
      <c r="AP1595" s="149"/>
    </row>
    <row r="1596" ht="18.75" customHeight="1">
      <c r="A1596" s="149"/>
      <c r="B1596" s="149"/>
      <c r="C1596" s="304"/>
      <c r="D1596" s="149"/>
      <c r="E1596" s="149"/>
      <c r="F1596" s="149"/>
      <c r="G1596" s="149"/>
      <c r="H1596" s="149"/>
      <c r="I1596" s="149"/>
      <c r="J1596" s="149"/>
      <c r="K1596" s="149"/>
      <c r="L1596" s="149"/>
      <c r="M1596" s="149"/>
      <c r="N1596" s="149"/>
      <c r="O1596" s="149"/>
      <c r="P1596" s="149"/>
      <c r="Q1596" s="149"/>
      <c r="R1596" s="149"/>
      <c r="S1596" s="149"/>
      <c r="T1596" s="149"/>
      <c r="U1596" s="149"/>
      <c r="V1596" s="149"/>
      <c r="W1596" s="149"/>
      <c r="X1596" s="149"/>
      <c r="Y1596" s="149"/>
      <c r="Z1596" s="149"/>
      <c r="AA1596" s="149"/>
      <c r="AB1596" s="149"/>
      <c r="AC1596" s="149"/>
      <c r="AD1596" s="149"/>
      <c r="AE1596" s="149"/>
      <c r="AF1596" s="149"/>
      <c r="AG1596" s="149"/>
      <c r="AH1596" s="149"/>
      <c r="AI1596" s="149"/>
      <c r="AJ1596" s="149"/>
      <c r="AK1596" s="149"/>
      <c r="AL1596" s="149"/>
      <c r="AM1596" s="149"/>
      <c r="AN1596" s="149"/>
      <c r="AO1596" s="149"/>
      <c r="AP1596" s="149"/>
    </row>
    <row r="1597" ht="18.75" customHeight="1">
      <c r="A1597" s="149"/>
      <c r="B1597" s="149"/>
      <c r="C1597" s="304"/>
      <c r="D1597" s="149"/>
      <c r="E1597" s="149"/>
      <c r="F1597" s="149"/>
      <c r="G1597" s="149"/>
      <c r="H1597" s="149"/>
      <c r="I1597" s="149"/>
      <c r="J1597" s="149"/>
      <c r="K1597" s="149"/>
      <c r="L1597" s="149"/>
      <c r="M1597" s="149"/>
      <c r="N1597" s="149"/>
      <c r="O1597" s="149"/>
      <c r="P1597" s="149"/>
      <c r="Q1597" s="149"/>
      <c r="R1597" s="149"/>
      <c r="S1597" s="149"/>
      <c r="T1597" s="149"/>
      <c r="U1597" s="149"/>
      <c r="V1597" s="149"/>
      <c r="W1597" s="149"/>
      <c r="X1597" s="149"/>
      <c r="Y1597" s="149"/>
      <c r="Z1597" s="149"/>
      <c r="AA1597" s="149"/>
      <c r="AB1597" s="149"/>
      <c r="AC1597" s="149"/>
      <c r="AD1597" s="149"/>
      <c r="AE1597" s="149"/>
      <c r="AF1597" s="149"/>
      <c r="AG1597" s="149"/>
      <c r="AH1597" s="149"/>
      <c r="AI1597" s="149"/>
      <c r="AJ1597" s="149"/>
      <c r="AK1597" s="149"/>
      <c r="AL1597" s="149"/>
      <c r="AM1597" s="149"/>
      <c r="AN1597" s="149"/>
      <c r="AO1597" s="149"/>
      <c r="AP1597" s="149"/>
    </row>
    <row r="1598" ht="18.75" customHeight="1">
      <c r="A1598" s="149"/>
      <c r="B1598" s="149"/>
      <c r="C1598" s="304"/>
      <c r="D1598" s="149"/>
      <c r="E1598" s="149"/>
      <c r="F1598" s="149"/>
      <c r="G1598" s="149"/>
      <c r="H1598" s="149"/>
      <c r="I1598" s="149"/>
      <c r="J1598" s="149"/>
      <c r="K1598" s="149"/>
      <c r="L1598" s="149"/>
      <c r="M1598" s="149"/>
      <c r="N1598" s="149"/>
      <c r="O1598" s="149"/>
      <c r="P1598" s="149"/>
      <c r="Q1598" s="149"/>
      <c r="R1598" s="149"/>
      <c r="S1598" s="149"/>
      <c r="T1598" s="149"/>
      <c r="U1598" s="149"/>
      <c r="V1598" s="149"/>
      <c r="W1598" s="149"/>
      <c r="X1598" s="149"/>
      <c r="Y1598" s="149"/>
      <c r="Z1598" s="149"/>
      <c r="AA1598" s="149"/>
      <c r="AB1598" s="149"/>
      <c r="AC1598" s="149"/>
      <c r="AD1598" s="149"/>
      <c r="AE1598" s="149"/>
      <c r="AF1598" s="149"/>
      <c r="AG1598" s="149"/>
      <c r="AH1598" s="149"/>
      <c r="AI1598" s="149"/>
      <c r="AJ1598" s="149"/>
      <c r="AK1598" s="149"/>
      <c r="AL1598" s="149"/>
      <c r="AM1598" s="149"/>
      <c r="AN1598" s="149"/>
      <c r="AO1598" s="149"/>
      <c r="AP1598" s="149"/>
    </row>
    <row r="1599" ht="18.75" customHeight="1">
      <c r="A1599" s="149"/>
      <c r="B1599" s="149"/>
      <c r="C1599" s="304"/>
      <c r="D1599" s="149"/>
      <c r="E1599" s="149"/>
      <c r="F1599" s="149"/>
      <c r="G1599" s="149"/>
      <c r="H1599" s="149"/>
      <c r="I1599" s="149"/>
      <c r="J1599" s="149"/>
      <c r="K1599" s="149"/>
      <c r="L1599" s="149"/>
      <c r="M1599" s="149"/>
      <c r="N1599" s="149"/>
      <c r="O1599" s="149"/>
      <c r="P1599" s="149"/>
      <c r="Q1599" s="149"/>
      <c r="R1599" s="149"/>
      <c r="S1599" s="149"/>
      <c r="T1599" s="149"/>
      <c r="U1599" s="149"/>
      <c r="V1599" s="149"/>
      <c r="W1599" s="149"/>
      <c r="X1599" s="149"/>
      <c r="Y1599" s="149"/>
      <c r="Z1599" s="149"/>
      <c r="AA1599" s="149"/>
      <c r="AB1599" s="149"/>
      <c r="AC1599" s="149"/>
      <c r="AD1599" s="149"/>
      <c r="AE1599" s="149"/>
      <c r="AF1599" s="149"/>
      <c r="AG1599" s="149"/>
      <c r="AH1599" s="149"/>
      <c r="AI1599" s="149"/>
      <c r="AJ1599" s="149"/>
      <c r="AK1599" s="149"/>
      <c r="AL1599" s="149"/>
      <c r="AM1599" s="149"/>
      <c r="AN1599" s="149"/>
      <c r="AO1599" s="149"/>
      <c r="AP1599" s="149"/>
    </row>
    <row r="1600" ht="18.75" customHeight="1">
      <c r="A1600" s="149"/>
      <c r="B1600" s="149"/>
      <c r="C1600" s="304"/>
      <c r="D1600" s="149"/>
      <c r="E1600" s="149"/>
      <c r="F1600" s="149"/>
      <c r="G1600" s="149"/>
      <c r="H1600" s="149"/>
      <c r="I1600" s="149"/>
      <c r="J1600" s="149"/>
      <c r="K1600" s="149"/>
      <c r="L1600" s="149"/>
      <c r="M1600" s="149"/>
      <c r="N1600" s="149"/>
      <c r="O1600" s="149"/>
      <c r="P1600" s="149"/>
      <c r="Q1600" s="149"/>
      <c r="R1600" s="149"/>
      <c r="S1600" s="149"/>
      <c r="T1600" s="149"/>
      <c r="U1600" s="149"/>
      <c r="V1600" s="149"/>
      <c r="W1600" s="149"/>
      <c r="X1600" s="149"/>
      <c r="Y1600" s="149"/>
      <c r="Z1600" s="149"/>
      <c r="AA1600" s="149"/>
      <c r="AB1600" s="149"/>
      <c r="AC1600" s="149"/>
      <c r="AD1600" s="149"/>
      <c r="AE1600" s="149"/>
      <c r="AF1600" s="149"/>
      <c r="AG1600" s="149"/>
      <c r="AH1600" s="149"/>
      <c r="AI1600" s="149"/>
      <c r="AJ1600" s="149"/>
      <c r="AK1600" s="149"/>
      <c r="AL1600" s="149"/>
      <c r="AM1600" s="149"/>
      <c r="AN1600" s="149"/>
      <c r="AO1600" s="149"/>
      <c r="AP1600" s="149"/>
    </row>
    <row r="1601" ht="18.75" customHeight="1">
      <c r="A1601" s="149"/>
      <c r="B1601" s="149"/>
      <c r="C1601" s="304"/>
      <c r="D1601" s="149"/>
      <c r="E1601" s="149"/>
      <c r="F1601" s="149"/>
      <c r="G1601" s="149"/>
      <c r="H1601" s="149"/>
      <c r="I1601" s="149"/>
      <c r="J1601" s="149"/>
      <c r="K1601" s="149"/>
      <c r="L1601" s="149"/>
      <c r="M1601" s="149"/>
      <c r="N1601" s="149"/>
      <c r="O1601" s="149"/>
      <c r="P1601" s="149"/>
      <c r="Q1601" s="149"/>
      <c r="R1601" s="149"/>
      <c r="S1601" s="149"/>
      <c r="T1601" s="149"/>
      <c r="U1601" s="149"/>
      <c r="V1601" s="149"/>
      <c r="W1601" s="149"/>
      <c r="X1601" s="149"/>
      <c r="Y1601" s="149"/>
      <c r="Z1601" s="149"/>
      <c r="AA1601" s="149"/>
      <c r="AB1601" s="149"/>
      <c r="AC1601" s="149"/>
      <c r="AD1601" s="149"/>
      <c r="AE1601" s="149"/>
      <c r="AF1601" s="149"/>
      <c r="AG1601" s="149"/>
      <c r="AH1601" s="149"/>
      <c r="AI1601" s="149"/>
      <c r="AJ1601" s="149"/>
      <c r="AK1601" s="149"/>
      <c r="AL1601" s="149"/>
      <c r="AM1601" s="149"/>
      <c r="AN1601" s="149"/>
      <c r="AO1601" s="149"/>
      <c r="AP1601" s="149"/>
    </row>
    <row r="1602" ht="18.75" customHeight="1">
      <c r="A1602" s="149"/>
      <c r="B1602" s="149"/>
      <c r="C1602" s="304"/>
      <c r="D1602" s="149"/>
      <c r="E1602" s="149"/>
      <c r="F1602" s="149"/>
      <c r="G1602" s="149"/>
      <c r="H1602" s="149"/>
      <c r="I1602" s="149"/>
      <c r="J1602" s="149"/>
      <c r="K1602" s="149"/>
      <c r="L1602" s="149"/>
      <c r="M1602" s="149"/>
      <c r="N1602" s="149"/>
      <c r="O1602" s="149"/>
      <c r="P1602" s="149"/>
      <c r="Q1602" s="149"/>
      <c r="R1602" s="149"/>
      <c r="S1602" s="149"/>
      <c r="T1602" s="149"/>
      <c r="U1602" s="149"/>
      <c r="V1602" s="149"/>
      <c r="W1602" s="149"/>
      <c r="X1602" s="149"/>
      <c r="Y1602" s="149"/>
      <c r="Z1602" s="149"/>
      <c r="AA1602" s="149"/>
      <c r="AB1602" s="149"/>
      <c r="AC1602" s="149"/>
      <c r="AD1602" s="149"/>
      <c r="AE1602" s="149"/>
      <c r="AF1602" s="149"/>
      <c r="AG1602" s="149"/>
      <c r="AH1602" s="149"/>
      <c r="AI1602" s="149"/>
      <c r="AJ1602" s="149"/>
      <c r="AK1602" s="149"/>
      <c r="AL1602" s="149"/>
      <c r="AM1602" s="149"/>
      <c r="AN1602" s="149"/>
      <c r="AO1602" s="149"/>
      <c r="AP1602" s="149"/>
    </row>
    <row r="1603" ht="18.75" customHeight="1">
      <c r="A1603" s="149"/>
      <c r="B1603" s="149"/>
      <c r="C1603" s="304"/>
      <c r="D1603" s="149"/>
      <c r="E1603" s="149"/>
      <c r="F1603" s="149"/>
      <c r="G1603" s="149"/>
      <c r="H1603" s="149"/>
      <c r="I1603" s="149"/>
      <c r="J1603" s="149"/>
      <c r="K1603" s="149"/>
      <c r="L1603" s="149"/>
      <c r="M1603" s="149"/>
      <c r="N1603" s="149"/>
      <c r="O1603" s="149"/>
      <c r="P1603" s="149"/>
      <c r="Q1603" s="149"/>
      <c r="R1603" s="149"/>
      <c r="S1603" s="149"/>
      <c r="T1603" s="149"/>
      <c r="U1603" s="149"/>
      <c r="V1603" s="149"/>
      <c r="W1603" s="149"/>
      <c r="X1603" s="149"/>
      <c r="Y1603" s="149"/>
      <c r="Z1603" s="149"/>
      <c r="AA1603" s="149"/>
      <c r="AB1603" s="149"/>
      <c r="AC1603" s="149"/>
      <c r="AD1603" s="149"/>
      <c r="AE1603" s="149"/>
      <c r="AF1603" s="149"/>
      <c r="AG1603" s="149"/>
      <c r="AH1603" s="149"/>
      <c r="AI1603" s="149"/>
      <c r="AJ1603" s="149"/>
      <c r="AK1603" s="149"/>
      <c r="AL1603" s="149"/>
      <c r="AM1603" s="149"/>
      <c r="AN1603" s="149"/>
      <c r="AO1603" s="149"/>
      <c r="AP1603" s="149"/>
    </row>
    <row r="1604" ht="18.75" customHeight="1">
      <c r="A1604" s="149"/>
      <c r="B1604" s="149"/>
      <c r="C1604" s="304"/>
      <c r="D1604" s="149"/>
      <c r="E1604" s="149"/>
      <c r="F1604" s="149"/>
      <c r="G1604" s="149"/>
      <c r="H1604" s="149"/>
      <c r="I1604" s="149"/>
      <c r="J1604" s="149"/>
      <c r="K1604" s="149"/>
      <c r="L1604" s="149"/>
      <c r="M1604" s="149"/>
      <c r="N1604" s="149"/>
      <c r="O1604" s="149"/>
      <c r="P1604" s="149"/>
      <c r="Q1604" s="149"/>
      <c r="R1604" s="149"/>
      <c r="S1604" s="149"/>
      <c r="T1604" s="149"/>
      <c r="U1604" s="149"/>
      <c r="V1604" s="149"/>
      <c r="W1604" s="149"/>
      <c r="X1604" s="149"/>
      <c r="Y1604" s="149"/>
      <c r="Z1604" s="149"/>
      <c r="AA1604" s="149"/>
      <c r="AB1604" s="149"/>
      <c r="AC1604" s="149"/>
      <c r="AD1604" s="149"/>
      <c r="AE1604" s="149"/>
      <c r="AF1604" s="149"/>
      <c r="AG1604" s="149"/>
      <c r="AH1604" s="149"/>
      <c r="AI1604" s="149"/>
      <c r="AJ1604" s="149"/>
      <c r="AK1604" s="149"/>
      <c r="AL1604" s="149"/>
      <c r="AM1604" s="149"/>
      <c r="AN1604" s="149"/>
      <c r="AO1604" s="149"/>
      <c r="AP1604" s="149"/>
    </row>
    <row r="1605" ht="18.75" customHeight="1">
      <c r="A1605" s="149"/>
      <c r="B1605" s="149"/>
      <c r="C1605" s="304"/>
      <c r="D1605" s="149"/>
      <c r="E1605" s="149"/>
      <c r="F1605" s="149"/>
      <c r="G1605" s="149"/>
      <c r="H1605" s="149"/>
      <c r="I1605" s="149"/>
      <c r="J1605" s="149"/>
      <c r="K1605" s="149"/>
      <c r="L1605" s="149"/>
      <c r="M1605" s="149"/>
      <c r="N1605" s="149"/>
      <c r="O1605" s="149"/>
      <c r="P1605" s="149"/>
      <c r="Q1605" s="149"/>
      <c r="R1605" s="149"/>
      <c r="S1605" s="149"/>
      <c r="T1605" s="149"/>
      <c r="U1605" s="149"/>
      <c r="V1605" s="149"/>
      <c r="W1605" s="149"/>
      <c r="X1605" s="149"/>
      <c r="Y1605" s="149"/>
      <c r="Z1605" s="149"/>
      <c r="AA1605" s="149"/>
      <c r="AB1605" s="149"/>
      <c r="AC1605" s="149"/>
      <c r="AD1605" s="149"/>
      <c r="AE1605" s="149"/>
      <c r="AF1605" s="149"/>
      <c r="AG1605" s="149"/>
      <c r="AH1605" s="149"/>
      <c r="AI1605" s="149"/>
      <c r="AJ1605" s="149"/>
      <c r="AK1605" s="149"/>
      <c r="AL1605" s="149"/>
      <c r="AM1605" s="149"/>
      <c r="AN1605" s="149"/>
      <c r="AO1605" s="149"/>
      <c r="AP1605" s="149"/>
    </row>
    <row r="1606" ht="18.75" customHeight="1">
      <c r="A1606" s="149"/>
      <c r="B1606" s="149"/>
      <c r="C1606" s="304"/>
      <c r="D1606" s="149"/>
      <c r="E1606" s="149"/>
      <c r="F1606" s="149"/>
      <c r="G1606" s="149"/>
      <c r="H1606" s="149"/>
      <c r="I1606" s="149"/>
      <c r="J1606" s="149"/>
      <c r="K1606" s="149"/>
      <c r="L1606" s="149"/>
      <c r="M1606" s="149"/>
      <c r="N1606" s="149"/>
      <c r="O1606" s="149"/>
      <c r="P1606" s="149"/>
      <c r="Q1606" s="149"/>
      <c r="R1606" s="149"/>
      <c r="S1606" s="149"/>
      <c r="T1606" s="149"/>
      <c r="U1606" s="149"/>
      <c r="V1606" s="149"/>
      <c r="W1606" s="149"/>
      <c r="X1606" s="149"/>
      <c r="Y1606" s="149"/>
      <c r="Z1606" s="149"/>
      <c r="AA1606" s="149"/>
      <c r="AB1606" s="149"/>
      <c r="AC1606" s="149"/>
      <c r="AD1606" s="149"/>
      <c r="AE1606" s="149"/>
      <c r="AF1606" s="149"/>
      <c r="AG1606" s="149"/>
      <c r="AH1606" s="149"/>
      <c r="AI1606" s="149"/>
      <c r="AJ1606" s="149"/>
      <c r="AK1606" s="149"/>
      <c r="AL1606" s="149"/>
      <c r="AM1606" s="149"/>
      <c r="AN1606" s="149"/>
      <c r="AO1606" s="149"/>
      <c r="AP1606" s="149"/>
    </row>
    <row r="1607" ht="18.75" customHeight="1">
      <c r="A1607" s="149"/>
      <c r="B1607" s="149"/>
      <c r="C1607" s="304"/>
      <c r="D1607" s="149"/>
      <c r="E1607" s="149"/>
      <c r="F1607" s="149"/>
      <c r="G1607" s="149"/>
      <c r="H1607" s="149"/>
      <c r="I1607" s="149"/>
      <c r="J1607" s="149"/>
      <c r="K1607" s="149"/>
      <c r="L1607" s="149"/>
      <c r="M1607" s="149"/>
      <c r="N1607" s="149"/>
      <c r="O1607" s="149"/>
      <c r="P1607" s="149"/>
      <c r="Q1607" s="149"/>
      <c r="R1607" s="149"/>
      <c r="S1607" s="149"/>
      <c r="T1607" s="149"/>
      <c r="U1607" s="149"/>
      <c r="V1607" s="149"/>
      <c r="W1607" s="149"/>
      <c r="X1607" s="149"/>
      <c r="Y1607" s="149"/>
      <c r="Z1607" s="149"/>
      <c r="AA1607" s="149"/>
      <c r="AB1607" s="149"/>
      <c r="AC1607" s="149"/>
      <c r="AD1607" s="149"/>
      <c r="AE1607" s="149"/>
      <c r="AF1607" s="149"/>
      <c r="AG1607" s="149"/>
      <c r="AH1607" s="149"/>
      <c r="AI1607" s="149"/>
      <c r="AJ1607" s="149"/>
      <c r="AK1607" s="149"/>
      <c r="AL1607" s="149"/>
      <c r="AM1607" s="149"/>
      <c r="AN1607" s="149"/>
      <c r="AO1607" s="149"/>
      <c r="AP1607" s="149"/>
    </row>
    <row r="1608" ht="18.75" customHeight="1">
      <c r="A1608" s="149"/>
      <c r="B1608" s="149"/>
      <c r="C1608" s="304"/>
      <c r="D1608" s="149"/>
      <c r="E1608" s="149"/>
      <c r="F1608" s="149"/>
      <c r="G1608" s="149"/>
      <c r="H1608" s="149"/>
      <c r="I1608" s="149"/>
      <c r="J1608" s="149"/>
      <c r="K1608" s="149"/>
      <c r="L1608" s="149"/>
      <c r="M1608" s="149"/>
      <c r="N1608" s="149"/>
      <c r="O1608" s="149"/>
      <c r="P1608" s="149"/>
      <c r="Q1608" s="149"/>
      <c r="R1608" s="149"/>
      <c r="S1608" s="149"/>
      <c r="T1608" s="149"/>
      <c r="U1608" s="149"/>
      <c r="V1608" s="149"/>
      <c r="W1608" s="149"/>
      <c r="X1608" s="149"/>
      <c r="Y1608" s="149"/>
      <c r="Z1608" s="149"/>
      <c r="AA1608" s="149"/>
      <c r="AB1608" s="149"/>
      <c r="AC1608" s="149"/>
      <c r="AD1608" s="149"/>
      <c r="AE1608" s="149"/>
      <c r="AF1608" s="149"/>
      <c r="AG1608" s="149"/>
      <c r="AH1608" s="149"/>
      <c r="AI1608" s="149"/>
      <c r="AJ1608" s="149"/>
      <c r="AK1608" s="149"/>
      <c r="AL1608" s="149"/>
      <c r="AM1608" s="149"/>
      <c r="AN1608" s="149"/>
      <c r="AO1608" s="149"/>
      <c r="AP1608" s="149"/>
    </row>
    <row r="1609" ht="18.75" customHeight="1">
      <c r="A1609" s="149"/>
      <c r="B1609" s="149"/>
      <c r="C1609" s="304"/>
      <c r="D1609" s="149"/>
      <c r="E1609" s="149"/>
      <c r="F1609" s="149"/>
      <c r="G1609" s="149"/>
      <c r="H1609" s="149"/>
      <c r="I1609" s="149"/>
      <c r="J1609" s="149"/>
      <c r="K1609" s="149"/>
      <c r="L1609" s="149"/>
      <c r="M1609" s="149"/>
      <c r="N1609" s="149"/>
      <c r="O1609" s="149"/>
      <c r="P1609" s="149"/>
      <c r="Q1609" s="149"/>
      <c r="R1609" s="149"/>
      <c r="S1609" s="149"/>
      <c r="T1609" s="149"/>
      <c r="U1609" s="149"/>
      <c r="V1609" s="149"/>
      <c r="W1609" s="149"/>
      <c r="X1609" s="149"/>
      <c r="Y1609" s="149"/>
      <c r="Z1609" s="149"/>
      <c r="AA1609" s="149"/>
      <c r="AB1609" s="149"/>
      <c r="AC1609" s="149"/>
      <c r="AD1609" s="149"/>
      <c r="AE1609" s="149"/>
      <c r="AF1609" s="149"/>
      <c r="AG1609" s="149"/>
      <c r="AH1609" s="149"/>
      <c r="AI1609" s="149"/>
      <c r="AJ1609" s="149"/>
      <c r="AK1609" s="149"/>
      <c r="AL1609" s="149"/>
      <c r="AM1609" s="149"/>
      <c r="AN1609" s="149"/>
      <c r="AO1609" s="149"/>
      <c r="AP1609" s="149"/>
    </row>
    <row r="1610" ht="18.75" customHeight="1">
      <c r="A1610" s="149"/>
      <c r="B1610" s="149"/>
      <c r="C1610" s="304"/>
      <c r="D1610" s="149"/>
      <c r="E1610" s="149"/>
      <c r="F1610" s="149"/>
      <c r="G1610" s="149"/>
      <c r="H1610" s="149"/>
      <c r="I1610" s="149"/>
      <c r="J1610" s="149"/>
      <c r="K1610" s="149"/>
      <c r="L1610" s="149"/>
      <c r="M1610" s="149"/>
      <c r="N1610" s="149"/>
      <c r="O1610" s="149"/>
      <c r="P1610" s="149"/>
      <c r="Q1610" s="149"/>
      <c r="R1610" s="149"/>
      <c r="S1610" s="149"/>
      <c r="T1610" s="149"/>
      <c r="U1610" s="149"/>
      <c r="V1610" s="149"/>
      <c r="W1610" s="149"/>
      <c r="X1610" s="149"/>
      <c r="Y1610" s="149"/>
      <c r="Z1610" s="149"/>
      <c r="AA1610" s="149"/>
      <c r="AB1610" s="149"/>
      <c r="AC1610" s="149"/>
      <c r="AD1610" s="149"/>
      <c r="AE1610" s="149"/>
      <c r="AF1610" s="149"/>
      <c r="AG1610" s="149"/>
      <c r="AH1610" s="149"/>
      <c r="AI1610" s="149"/>
      <c r="AJ1610" s="149"/>
      <c r="AK1610" s="149"/>
      <c r="AL1610" s="149"/>
      <c r="AM1610" s="149"/>
      <c r="AN1610" s="149"/>
      <c r="AO1610" s="149"/>
      <c r="AP1610" s="149"/>
    </row>
    <row r="1611" ht="18.75" customHeight="1">
      <c r="A1611" s="149"/>
      <c r="B1611" s="149"/>
      <c r="C1611" s="304"/>
      <c r="D1611" s="149"/>
      <c r="E1611" s="149"/>
      <c r="F1611" s="149"/>
      <c r="G1611" s="149"/>
      <c r="H1611" s="149"/>
      <c r="I1611" s="149"/>
      <c r="J1611" s="149"/>
      <c r="K1611" s="149"/>
      <c r="L1611" s="149"/>
      <c r="M1611" s="149"/>
      <c r="N1611" s="149"/>
      <c r="O1611" s="149"/>
      <c r="P1611" s="149"/>
      <c r="Q1611" s="149"/>
      <c r="R1611" s="149"/>
      <c r="S1611" s="149"/>
      <c r="T1611" s="149"/>
      <c r="U1611" s="149"/>
      <c r="V1611" s="149"/>
      <c r="W1611" s="149"/>
      <c r="X1611" s="149"/>
      <c r="Y1611" s="149"/>
      <c r="Z1611" s="149"/>
      <c r="AA1611" s="149"/>
      <c r="AB1611" s="149"/>
      <c r="AC1611" s="149"/>
      <c r="AD1611" s="149"/>
      <c r="AE1611" s="149"/>
      <c r="AF1611" s="149"/>
      <c r="AG1611" s="149"/>
      <c r="AH1611" s="149"/>
      <c r="AI1611" s="149"/>
      <c r="AJ1611" s="149"/>
      <c r="AK1611" s="149"/>
      <c r="AL1611" s="149"/>
      <c r="AM1611" s="149"/>
      <c r="AN1611" s="149"/>
      <c r="AO1611" s="149"/>
      <c r="AP1611" s="149"/>
    </row>
    <row r="1612" ht="18.75" customHeight="1">
      <c r="A1612" s="149"/>
      <c r="B1612" s="149"/>
      <c r="C1612" s="304"/>
      <c r="D1612" s="149"/>
      <c r="E1612" s="149"/>
      <c r="F1612" s="149"/>
      <c r="G1612" s="149"/>
      <c r="H1612" s="149"/>
      <c r="I1612" s="149"/>
      <c r="J1612" s="149"/>
      <c r="K1612" s="149"/>
      <c r="L1612" s="149"/>
      <c r="M1612" s="149"/>
      <c r="N1612" s="149"/>
      <c r="O1612" s="149"/>
      <c r="P1612" s="149"/>
      <c r="Q1612" s="149"/>
      <c r="R1612" s="149"/>
      <c r="S1612" s="149"/>
      <c r="T1612" s="149"/>
      <c r="U1612" s="149"/>
      <c r="V1612" s="149"/>
      <c r="W1612" s="149"/>
      <c r="X1612" s="149"/>
      <c r="Y1612" s="149"/>
      <c r="Z1612" s="149"/>
      <c r="AA1612" s="149"/>
      <c r="AB1612" s="149"/>
      <c r="AC1612" s="149"/>
      <c r="AD1612" s="149"/>
      <c r="AE1612" s="149"/>
      <c r="AF1612" s="149"/>
      <c r="AG1612" s="149"/>
      <c r="AH1612" s="149"/>
      <c r="AI1612" s="149"/>
      <c r="AJ1612" s="149"/>
      <c r="AK1612" s="149"/>
      <c r="AL1612" s="149"/>
      <c r="AM1612" s="149"/>
      <c r="AN1612" s="149"/>
      <c r="AO1612" s="149"/>
      <c r="AP1612" s="149"/>
    </row>
    <row r="1613" ht="18.75" customHeight="1">
      <c r="A1613" s="149"/>
      <c r="B1613" s="149"/>
      <c r="C1613" s="304"/>
      <c r="D1613" s="149"/>
      <c r="E1613" s="149"/>
      <c r="F1613" s="149"/>
      <c r="G1613" s="149"/>
      <c r="H1613" s="149"/>
      <c r="I1613" s="149"/>
      <c r="J1613" s="149"/>
      <c r="K1613" s="149"/>
      <c r="L1613" s="149"/>
      <c r="M1613" s="149"/>
      <c r="N1613" s="149"/>
      <c r="O1613" s="149"/>
      <c r="P1613" s="149"/>
      <c r="Q1613" s="149"/>
      <c r="R1613" s="149"/>
      <c r="S1613" s="149"/>
      <c r="T1613" s="149"/>
      <c r="U1613" s="149"/>
      <c r="V1613" s="149"/>
      <c r="W1613" s="149"/>
      <c r="X1613" s="149"/>
      <c r="Y1613" s="149"/>
      <c r="Z1613" s="149"/>
      <c r="AA1613" s="149"/>
      <c r="AB1613" s="149"/>
      <c r="AC1613" s="149"/>
      <c r="AD1613" s="149"/>
      <c r="AE1613" s="149"/>
      <c r="AF1613" s="149"/>
      <c r="AG1613" s="149"/>
      <c r="AH1613" s="149"/>
      <c r="AI1613" s="149"/>
      <c r="AJ1613" s="149"/>
      <c r="AK1613" s="149"/>
      <c r="AL1613" s="149"/>
      <c r="AM1613" s="149"/>
      <c r="AN1613" s="149"/>
      <c r="AO1613" s="149"/>
      <c r="AP1613" s="149"/>
    </row>
    <row r="1614" ht="18.75" customHeight="1">
      <c r="A1614" s="149"/>
      <c r="B1614" s="149"/>
      <c r="C1614" s="304"/>
      <c r="D1614" s="149"/>
      <c r="E1614" s="149"/>
      <c r="F1614" s="149"/>
      <c r="G1614" s="149"/>
      <c r="H1614" s="149"/>
      <c r="I1614" s="149"/>
      <c r="J1614" s="149"/>
      <c r="K1614" s="149"/>
      <c r="L1614" s="149"/>
      <c r="M1614" s="149"/>
      <c r="N1614" s="149"/>
      <c r="O1614" s="149"/>
      <c r="P1614" s="149"/>
      <c r="Q1614" s="149"/>
      <c r="R1614" s="149"/>
      <c r="S1614" s="149"/>
      <c r="T1614" s="149"/>
      <c r="U1614" s="149"/>
      <c r="V1614" s="149"/>
      <c r="W1614" s="149"/>
      <c r="X1614" s="149"/>
      <c r="Y1614" s="149"/>
      <c r="Z1614" s="149"/>
      <c r="AA1614" s="149"/>
      <c r="AB1614" s="149"/>
      <c r="AC1614" s="149"/>
      <c r="AD1614" s="149"/>
      <c r="AE1614" s="149"/>
      <c r="AF1614" s="149"/>
      <c r="AG1614" s="149"/>
      <c r="AH1614" s="149"/>
      <c r="AI1614" s="149"/>
      <c r="AJ1614" s="149"/>
      <c r="AK1614" s="149"/>
      <c r="AL1614" s="149"/>
      <c r="AM1614" s="149"/>
      <c r="AN1614" s="149"/>
      <c r="AO1614" s="149"/>
      <c r="AP1614" s="149"/>
    </row>
    <row r="1615" ht="18.75" customHeight="1">
      <c r="A1615" s="149"/>
      <c r="B1615" s="149"/>
      <c r="C1615" s="304"/>
      <c r="D1615" s="149"/>
      <c r="E1615" s="149"/>
      <c r="F1615" s="149"/>
      <c r="G1615" s="149"/>
      <c r="H1615" s="149"/>
      <c r="I1615" s="149"/>
      <c r="J1615" s="149"/>
      <c r="K1615" s="149"/>
      <c r="L1615" s="149"/>
      <c r="M1615" s="149"/>
      <c r="N1615" s="149"/>
      <c r="O1615" s="149"/>
      <c r="P1615" s="149"/>
      <c r="Q1615" s="149"/>
      <c r="R1615" s="149"/>
      <c r="S1615" s="149"/>
      <c r="T1615" s="149"/>
      <c r="U1615" s="149"/>
      <c r="V1615" s="149"/>
      <c r="W1615" s="149"/>
      <c r="X1615" s="149"/>
      <c r="Y1615" s="149"/>
      <c r="Z1615" s="149"/>
      <c r="AA1615" s="149"/>
      <c r="AB1615" s="149"/>
      <c r="AC1615" s="149"/>
      <c r="AD1615" s="149"/>
      <c r="AE1615" s="149"/>
      <c r="AF1615" s="149"/>
      <c r="AG1615" s="149"/>
      <c r="AH1615" s="149"/>
      <c r="AI1615" s="149"/>
      <c r="AJ1615" s="149"/>
      <c r="AK1615" s="149"/>
      <c r="AL1615" s="149"/>
      <c r="AM1615" s="149"/>
      <c r="AN1615" s="149"/>
      <c r="AO1615" s="149"/>
      <c r="AP1615" s="149"/>
    </row>
    <row r="1616" ht="18.75" customHeight="1">
      <c r="A1616" s="149"/>
      <c r="B1616" s="149"/>
      <c r="C1616" s="304"/>
      <c r="D1616" s="149"/>
      <c r="E1616" s="149"/>
      <c r="F1616" s="149"/>
      <c r="G1616" s="149"/>
      <c r="H1616" s="149"/>
      <c r="I1616" s="149"/>
      <c r="J1616" s="149"/>
      <c r="K1616" s="149"/>
      <c r="L1616" s="149"/>
      <c r="M1616" s="149"/>
      <c r="N1616" s="149"/>
      <c r="O1616" s="149"/>
      <c r="P1616" s="149"/>
      <c r="Q1616" s="149"/>
      <c r="R1616" s="149"/>
      <c r="S1616" s="149"/>
      <c r="T1616" s="149"/>
      <c r="U1616" s="149"/>
      <c r="V1616" s="149"/>
      <c r="W1616" s="149"/>
      <c r="X1616" s="149"/>
      <c r="Y1616" s="149"/>
      <c r="Z1616" s="149"/>
      <c r="AA1616" s="149"/>
      <c r="AB1616" s="149"/>
      <c r="AC1616" s="149"/>
      <c r="AD1616" s="149"/>
      <c r="AE1616" s="149"/>
      <c r="AF1616" s="149"/>
      <c r="AG1616" s="149"/>
      <c r="AH1616" s="149"/>
      <c r="AI1616" s="149"/>
      <c r="AJ1616" s="149"/>
      <c r="AK1616" s="149"/>
      <c r="AL1616" s="149"/>
      <c r="AM1616" s="149"/>
      <c r="AN1616" s="149"/>
      <c r="AO1616" s="149"/>
      <c r="AP1616" s="149"/>
    </row>
    <row r="1617" ht="18.75" customHeight="1">
      <c r="A1617" s="149"/>
      <c r="B1617" s="149"/>
      <c r="C1617" s="304"/>
      <c r="D1617" s="149"/>
      <c r="E1617" s="149"/>
      <c r="F1617" s="149"/>
      <c r="G1617" s="149"/>
      <c r="H1617" s="149"/>
      <c r="I1617" s="149"/>
      <c r="J1617" s="149"/>
      <c r="K1617" s="149"/>
      <c r="L1617" s="149"/>
      <c r="M1617" s="149"/>
      <c r="N1617" s="149"/>
      <c r="O1617" s="149"/>
      <c r="P1617" s="149"/>
      <c r="Q1617" s="149"/>
      <c r="R1617" s="149"/>
      <c r="S1617" s="149"/>
      <c r="T1617" s="149"/>
      <c r="U1617" s="149"/>
      <c r="V1617" s="149"/>
      <c r="W1617" s="149"/>
      <c r="X1617" s="149"/>
      <c r="Y1617" s="149"/>
      <c r="Z1617" s="149"/>
      <c r="AA1617" s="149"/>
      <c r="AB1617" s="149"/>
      <c r="AC1617" s="149"/>
      <c r="AD1617" s="149"/>
      <c r="AE1617" s="149"/>
      <c r="AF1617" s="149"/>
      <c r="AG1617" s="149"/>
      <c r="AH1617" s="149"/>
      <c r="AI1617" s="149"/>
      <c r="AJ1617" s="149"/>
      <c r="AK1617" s="149"/>
      <c r="AL1617" s="149"/>
      <c r="AM1617" s="149"/>
      <c r="AN1617" s="149"/>
      <c r="AO1617" s="149"/>
      <c r="AP1617" s="149"/>
    </row>
    <row r="1618" ht="18.75" customHeight="1">
      <c r="A1618" s="149"/>
      <c r="B1618" s="149"/>
      <c r="C1618" s="304"/>
      <c r="D1618" s="149"/>
      <c r="E1618" s="149"/>
      <c r="F1618" s="149"/>
      <c r="G1618" s="149"/>
      <c r="H1618" s="149"/>
      <c r="I1618" s="149"/>
      <c r="J1618" s="149"/>
      <c r="K1618" s="149"/>
      <c r="L1618" s="149"/>
      <c r="M1618" s="149"/>
      <c r="N1618" s="149"/>
      <c r="O1618" s="149"/>
      <c r="P1618" s="149"/>
      <c r="Q1618" s="149"/>
      <c r="R1618" s="149"/>
      <c r="S1618" s="149"/>
      <c r="T1618" s="149"/>
      <c r="U1618" s="149"/>
      <c r="V1618" s="149"/>
      <c r="W1618" s="149"/>
      <c r="X1618" s="149"/>
      <c r="Y1618" s="149"/>
      <c r="Z1618" s="149"/>
      <c r="AA1618" s="149"/>
      <c r="AB1618" s="149"/>
      <c r="AC1618" s="149"/>
      <c r="AD1618" s="149"/>
      <c r="AE1618" s="149"/>
      <c r="AF1618" s="149"/>
      <c r="AG1618" s="149"/>
      <c r="AH1618" s="149"/>
      <c r="AI1618" s="149"/>
      <c r="AJ1618" s="149"/>
      <c r="AK1618" s="149"/>
      <c r="AL1618" s="149"/>
      <c r="AM1618" s="149"/>
      <c r="AN1618" s="149"/>
      <c r="AO1618" s="149"/>
      <c r="AP1618" s="149"/>
    </row>
    <row r="1619" ht="18.75" customHeight="1">
      <c r="A1619" s="149"/>
      <c r="B1619" s="149"/>
      <c r="C1619" s="304"/>
      <c r="D1619" s="149"/>
      <c r="E1619" s="149"/>
      <c r="F1619" s="149"/>
      <c r="G1619" s="149"/>
      <c r="H1619" s="149"/>
      <c r="I1619" s="149"/>
      <c r="J1619" s="149"/>
      <c r="K1619" s="149"/>
      <c r="L1619" s="149"/>
      <c r="M1619" s="149"/>
      <c r="N1619" s="149"/>
      <c r="O1619" s="149"/>
      <c r="P1619" s="149"/>
      <c r="Q1619" s="149"/>
      <c r="R1619" s="149"/>
      <c r="S1619" s="149"/>
      <c r="T1619" s="149"/>
      <c r="U1619" s="149"/>
      <c r="V1619" s="149"/>
      <c r="W1619" s="149"/>
      <c r="X1619" s="149"/>
      <c r="Y1619" s="149"/>
      <c r="Z1619" s="149"/>
      <c r="AA1619" s="149"/>
      <c r="AB1619" s="149"/>
      <c r="AC1619" s="149"/>
      <c r="AD1619" s="149"/>
      <c r="AE1619" s="149"/>
      <c r="AF1619" s="149"/>
      <c r="AG1619" s="149"/>
      <c r="AH1619" s="149"/>
      <c r="AI1619" s="149"/>
      <c r="AJ1619" s="149"/>
      <c r="AK1619" s="149"/>
      <c r="AL1619" s="149"/>
      <c r="AM1619" s="149"/>
      <c r="AN1619" s="149"/>
      <c r="AO1619" s="149"/>
      <c r="AP1619" s="149"/>
    </row>
    <row r="1620" ht="18.75" customHeight="1">
      <c r="A1620" s="149"/>
      <c r="B1620" s="149"/>
      <c r="C1620" s="304"/>
      <c r="D1620" s="149"/>
      <c r="E1620" s="149"/>
      <c r="F1620" s="149"/>
      <c r="G1620" s="149"/>
      <c r="H1620" s="149"/>
      <c r="I1620" s="149"/>
      <c r="J1620" s="149"/>
      <c r="K1620" s="149"/>
      <c r="L1620" s="149"/>
      <c r="M1620" s="149"/>
      <c r="N1620" s="149"/>
      <c r="O1620" s="149"/>
      <c r="P1620" s="149"/>
      <c r="Q1620" s="149"/>
      <c r="R1620" s="149"/>
      <c r="S1620" s="149"/>
      <c r="T1620" s="149"/>
      <c r="U1620" s="149"/>
      <c r="V1620" s="149"/>
      <c r="W1620" s="149"/>
      <c r="X1620" s="149"/>
      <c r="Y1620" s="149"/>
      <c r="Z1620" s="149"/>
      <c r="AA1620" s="149"/>
      <c r="AB1620" s="149"/>
      <c r="AC1620" s="149"/>
      <c r="AD1620" s="149"/>
      <c r="AE1620" s="149"/>
      <c r="AF1620" s="149"/>
      <c r="AG1620" s="149"/>
      <c r="AH1620" s="149"/>
      <c r="AI1620" s="149"/>
      <c r="AJ1620" s="149"/>
      <c r="AK1620" s="149"/>
      <c r="AL1620" s="149"/>
      <c r="AM1620" s="149"/>
      <c r="AN1620" s="149"/>
      <c r="AO1620" s="149"/>
      <c r="AP1620" s="149"/>
    </row>
    <row r="1621" ht="18.75" customHeight="1">
      <c r="A1621" s="149"/>
      <c r="B1621" s="149"/>
      <c r="C1621" s="304"/>
      <c r="D1621" s="149"/>
      <c r="E1621" s="149"/>
      <c r="F1621" s="149"/>
      <c r="G1621" s="149"/>
      <c r="H1621" s="149"/>
      <c r="I1621" s="149"/>
      <c r="J1621" s="149"/>
      <c r="K1621" s="149"/>
      <c r="L1621" s="149"/>
      <c r="M1621" s="149"/>
      <c r="N1621" s="149"/>
      <c r="O1621" s="149"/>
      <c r="P1621" s="149"/>
      <c r="Q1621" s="149"/>
      <c r="R1621" s="149"/>
      <c r="S1621" s="149"/>
      <c r="T1621" s="149"/>
      <c r="U1621" s="149"/>
      <c r="V1621" s="149"/>
      <c r="W1621" s="149"/>
      <c r="X1621" s="149"/>
      <c r="Y1621" s="149"/>
      <c r="Z1621" s="149"/>
      <c r="AA1621" s="149"/>
      <c r="AB1621" s="149"/>
      <c r="AC1621" s="149"/>
      <c r="AD1621" s="149"/>
      <c r="AE1621" s="149"/>
      <c r="AF1621" s="149"/>
      <c r="AG1621" s="149"/>
      <c r="AH1621" s="149"/>
      <c r="AI1621" s="149"/>
      <c r="AJ1621" s="149"/>
      <c r="AK1621" s="149"/>
      <c r="AL1621" s="149"/>
      <c r="AM1621" s="149"/>
      <c r="AN1621" s="149"/>
      <c r="AO1621" s="149"/>
      <c r="AP1621" s="149"/>
    </row>
    <row r="1622" ht="18.75" customHeight="1">
      <c r="A1622" s="149"/>
      <c r="B1622" s="149"/>
      <c r="C1622" s="304"/>
      <c r="D1622" s="149"/>
      <c r="E1622" s="149"/>
      <c r="F1622" s="149"/>
      <c r="G1622" s="149"/>
      <c r="H1622" s="149"/>
      <c r="I1622" s="149"/>
      <c r="J1622" s="149"/>
      <c r="K1622" s="149"/>
      <c r="L1622" s="149"/>
      <c r="M1622" s="149"/>
      <c r="N1622" s="149"/>
      <c r="O1622" s="149"/>
      <c r="P1622" s="149"/>
      <c r="Q1622" s="149"/>
      <c r="R1622" s="149"/>
      <c r="S1622" s="149"/>
      <c r="T1622" s="149"/>
      <c r="U1622" s="149"/>
      <c r="V1622" s="149"/>
      <c r="W1622" s="149"/>
      <c r="X1622" s="149"/>
      <c r="Y1622" s="149"/>
      <c r="Z1622" s="149"/>
      <c r="AA1622" s="149"/>
      <c r="AB1622" s="149"/>
      <c r="AC1622" s="149"/>
      <c r="AD1622" s="149"/>
      <c r="AE1622" s="149"/>
      <c r="AF1622" s="149"/>
      <c r="AG1622" s="149"/>
      <c r="AH1622" s="149"/>
      <c r="AI1622" s="149"/>
      <c r="AJ1622" s="149"/>
      <c r="AK1622" s="149"/>
      <c r="AL1622" s="149"/>
      <c r="AM1622" s="149"/>
      <c r="AN1622" s="149"/>
      <c r="AO1622" s="149"/>
      <c r="AP1622" s="149"/>
    </row>
    <row r="1623" ht="18.75" customHeight="1">
      <c r="A1623" s="149"/>
      <c r="B1623" s="149"/>
      <c r="C1623" s="304"/>
      <c r="D1623" s="149"/>
      <c r="E1623" s="149"/>
      <c r="F1623" s="149"/>
      <c r="G1623" s="149"/>
      <c r="H1623" s="149"/>
      <c r="I1623" s="149"/>
      <c r="J1623" s="149"/>
      <c r="K1623" s="149"/>
      <c r="L1623" s="149"/>
      <c r="M1623" s="149"/>
      <c r="N1623" s="149"/>
      <c r="O1623" s="149"/>
      <c r="P1623" s="149"/>
      <c r="Q1623" s="149"/>
      <c r="R1623" s="149"/>
      <c r="S1623" s="149"/>
      <c r="T1623" s="149"/>
      <c r="U1623" s="149"/>
      <c r="V1623" s="149"/>
      <c r="W1623" s="149"/>
      <c r="X1623" s="149"/>
      <c r="Y1623" s="149"/>
      <c r="Z1623" s="149"/>
      <c r="AA1623" s="149"/>
      <c r="AB1623" s="149"/>
      <c r="AC1623" s="149"/>
      <c r="AD1623" s="149"/>
      <c r="AE1623" s="149"/>
      <c r="AF1623" s="149"/>
      <c r="AG1623" s="149"/>
      <c r="AH1623" s="149"/>
      <c r="AI1623" s="149"/>
      <c r="AJ1623" s="149"/>
      <c r="AK1623" s="149"/>
      <c r="AL1623" s="149"/>
      <c r="AM1623" s="149"/>
      <c r="AN1623" s="149"/>
      <c r="AO1623" s="149"/>
      <c r="AP1623" s="149"/>
    </row>
    <row r="1624" ht="18.75" customHeight="1">
      <c r="A1624" s="149"/>
      <c r="B1624" s="149"/>
      <c r="C1624" s="304"/>
      <c r="D1624" s="149"/>
      <c r="E1624" s="149"/>
      <c r="F1624" s="149"/>
      <c r="G1624" s="149"/>
      <c r="H1624" s="149"/>
      <c r="I1624" s="149"/>
      <c r="J1624" s="149"/>
      <c r="K1624" s="149"/>
      <c r="L1624" s="149"/>
      <c r="M1624" s="149"/>
      <c r="N1624" s="149"/>
      <c r="O1624" s="149"/>
      <c r="P1624" s="149"/>
      <c r="Q1624" s="149"/>
      <c r="R1624" s="149"/>
      <c r="S1624" s="149"/>
      <c r="T1624" s="149"/>
      <c r="U1624" s="149"/>
      <c r="V1624" s="149"/>
      <c r="W1624" s="149"/>
      <c r="X1624" s="149"/>
      <c r="Y1624" s="149"/>
      <c r="Z1624" s="149"/>
      <c r="AA1624" s="149"/>
      <c r="AB1624" s="149"/>
      <c r="AC1624" s="149"/>
      <c r="AD1624" s="149"/>
      <c r="AE1624" s="149"/>
      <c r="AF1624" s="149"/>
      <c r="AG1624" s="149"/>
      <c r="AH1624" s="149"/>
      <c r="AI1624" s="149"/>
      <c r="AJ1624" s="149"/>
      <c r="AK1624" s="149"/>
      <c r="AL1624" s="149"/>
      <c r="AM1624" s="149"/>
      <c r="AN1624" s="149"/>
      <c r="AO1624" s="149"/>
      <c r="AP1624" s="149"/>
    </row>
    <row r="1625" ht="18.75" customHeight="1">
      <c r="A1625" s="149"/>
      <c r="B1625" s="149"/>
      <c r="C1625" s="304"/>
      <c r="D1625" s="149"/>
      <c r="E1625" s="149"/>
      <c r="F1625" s="149"/>
      <c r="G1625" s="149"/>
      <c r="H1625" s="149"/>
      <c r="I1625" s="149"/>
      <c r="J1625" s="149"/>
      <c r="K1625" s="149"/>
      <c r="L1625" s="149"/>
      <c r="M1625" s="149"/>
      <c r="N1625" s="149"/>
      <c r="O1625" s="149"/>
      <c r="P1625" s="149"/>
      <c r="Q1625" s="149"/>
      <c r="R1625" s="149"/>
      <c r="S1625" s="149"/>
      <c r="T1625" s="149"/>
      <c r="U1625" s="149"/>
      <c r="V1625" s="149"/>
      <c r="W1625" s="149"/>
      <c r="X1625" s="149"/>
      <c r="Y1625" s="149"/>
      <c r="Z1625" s="149"/>
      <c r="AA1625" s="149"/>
      <c r="AB1625" s="149"/>
      <c r="AC1625" s="149"/>
      <c r="AD1625" s="149"/>
      <c r="AE1625" s="149"/>
      <c r="AF1625" s="149"/>
      <c r="AG1625" s="149"/>
      <c r="AH1625" s="149"/>
      <c r="AI1625" s="149"/>
      <c r="AJ1625" s="149"/>
      <c r="AK1625" s="149"/>
      <c r="AL1625" s="149"/>
      <c r="AM1625" s="149"/>
      <c r="AN1625" s="149"/>
      <c r="AO1625" s="149"/>
      <c r="AP1625" s="149"/>
    </row>
    <row r="1626" ht="18.75" customHeight="1">
      <c r="A1626" s="149"/>
      <c r="B1626" s="149"/>
      <c r="C1626" s="304"/>
      <c r="D1626" s="149"/>
      <c r="E1626" s="149"/>
      <c r="F1626" s="149"/>
      <c r="G1626" s="149"/>
      <c r="H1626" s="149"/>
      <c r="I1626" s="149"/>
      <c r="J1626" s="149"/>
      <c r="K1626" s="149"/>
      <c r="L1626" s="149"/>
      <c r="M1626" s="149"/>
      <c r="N1626" s="149"/>
      <c r="O1626" s="149"/>
      <c r="P1626" s="149"/>
      <c r="Q1626" s="149"/>
      <c r="R1626" s="149"/>
      <c r="S1626" s="149"/>
      <c r="T1626" s="149"/>
      <c r="U1626" s="149"/>
      <c r="V1626" s="149"/>
      <c r="W1626" s="149"/>
      <c r="X1626" s="149"/>
      <c r="Y1626" s="149"/>
      <c r="Z1626" s="149"/>
      <c r="AA1626" s="149"/>
      <c r="AB1626" s="149"/>
      <c r="AC1626" s="149"/>
      <c r="AD1626" s="149"/>
      <c r="AE1626" s="149"/>
      <c r="AF1626" s="149"/>
      <c r="AG1626" s="149"/>
      <c r="AH1626" s="149"/>
      <c r="AI1626" s="149"/>
      <c r="AJ1626" s="149"/>
      <c r="AK1626" s="149"/>
      <c r="AL1626" s="149"/>
      <c r="AM1626" s="149"/>
      <c r="AN1626" s="149"/>
      <c r="AO1626" s="149"/>
      <c r="AP1626" s="149"/>
    </row>
    <row r="1627" ht="18.75" customHeight="1">
      <c r="A1627" s="149"/>
      <c r="B1627" s="149"/>
      <c r="C1627" s="304"/>
      <c r="D1627" s="149"/>
      <c r="E1627" s="149"/>
      <c r="F1627" s="149"/>
      <c r="G1627" s="149"/>
      <c r="H1627" s="149"/>
      <c r="I1627" s="149"/>
      <c r="J1627" s="149"/>
      <c r="K1627" s="149"/>
      <c r="L1627" s="149"/>
      <c r="M1627" s="149"/>
      <c r="N1627" s="149"/>
      <c r="O1627" s="149"/>
      <c r="P1627" s="149"/>
      <c r="Q1627" s="149"/>
      <c r="R1627" s="149"/>
      <c r="S1627" s="149"/>
      <c r="T1627" s="149"/>
      <c r="U1627" s="149"/>
      <c r="V1627" s="149"/>
      <c r="W1627" s="149"/>
      <c r="X1627" s="149"/>
      <c r="Y1627" s="149"/>
      <c r="Z1627" s="149"/>
      <c r="AA1627" s="149"/>
      <c r="AB1627" s="149"/>
      <c r="AC1627" s="149"/>
      <c r="AD1627" s="149"/>
      <c r="AE1627" s="149"/>
      <c r="AF1627" s="149"/>
      <c r="AG1627" s="149"/>
      <c r="AH1627" s="149"/>
      <c r="AI1627" s="149"/>
      <c r="AJ1627" s="149"/>
      <c r="AK1627" s="149"/>
      <c r="AL1627" s="149"/>
      <c r="AM1627" s="149"/>
      <c r="AN1627" s="149"/>
      <c r="AO1627" s="149"/>
      <c r="AP1627" s="149"/>
    </row>
    <row r="1628" ht="18.75" customHeight="1">
      <c r="A1628" s="149"/>
      <c r="B1628" s="149"/>
      <c r="C1628" s="304"/>
      <c r="D1628" s="149"/>
      <c r="E1628" s="149"/>
      <c r="F1628" s="149"/>
      <c r="G1628" s="149"/>
      <c r="H1628" s="149"/>
      <c r="I1628" s="149"/>
      <c r="J1628" s="149"/>
      <c r="K1628" s="149"/>
      <c r="L1628" s="149"/>
      <c r="M1628" s="149"/>
      <c r="N1628" s="149"/>
      <c r="O1628" s="149"/>
      <c r="P1628" s="149"/>
      <c r="Q1628" s="149"/>
      <c r="R1628" s="149"/>
      <c r="S1628" s="149"/>
      <c r="T1628" s="149"/>
      <c r="U1628" s="149"/>
      <c r="V1628" s="149"/>
      <c r="W1628" s="149"/>
      <c r="X1628" s="149"/>
      <c r="Y1628" s="149"/>
      <c r="Z1628" s="149"/>
      <c r="AA1628" s="149"/>
      <c r="AB1628" s="149"/>
      <c r="AC1628" s="149"/>
      <c r="AD1628" s="149"/>
      <c r="AE1628" s="149"/>
      <c r="AF1628" s="149"/>
      <c r="AG1628" s="149"/>
      <c r="AH1628" s="149"/>
      <c r="AI1628" s="149"/>
      <c r="AJ1628" s="149"/>
      <c r="AK1628" s="149"/>
      <c r="AL1628" s="149"/>
      <c r="AM1628" s="149"/>
      <c r="AN1628" s="149"/>
      <c r="AO1628" s="149"/>
      <c r="AP1628" s="149"/>
    </row>
    <row r="1629" ht="18.75" customHeight="1">
      <c r="A1629" s="149"/>
      <c r="B1629" s="149"/>
      <c r="C1629" s="304"/>
      <c r="D1629" s="149"/>
      <c r="E1629" s="149"/>
      <c r="F1629" s="149"/>
      <c r="G1629" s="149"/>
      <c r="H1629" s="149"/>
      <c r="I1629" s="149"/>
      <c r="J1629" s="149"/>
      <c r="K1629" s="149"/>
      <c r="L1629" s="149"/>
      <c r="M1629" s="149"/>
      <c r="N1629" s="149"/>
      <c r="O1629" s="149"/>
      <c r="P1629" s="149"/>
      <c r="Q1629" s="149"/>
      <c r="R1629" s="149"/>
      <c r="S1629" s="149"/>
      <c r="T1629" s="149"/>
      <c r="U1629" s="149"/>
      <c r="V1629" s="149"/>
      <c r="W1629" s="149"/>
      <c r="X1629" s="149"/>
      <c r="Y1629" s="149"/>
      <c r="Z1629" s="149"/>
      <c r="AA1629" s="149"/>
      <c r="AB1629" s="149"/>
      <c r="AC1629" s="149"/>
      <c r="AD1629" s="149"/>
      <c r="AE1629" s="149"/>
      <c r="AF1629" s="149"/>
      <c r="AG1629" s="149"/>
      <c r="AH1629" s="149"/>
      <c r="AI1629" s="149"/>
      <c r="AJ1629" s="149"/>
      <c r="AK1629" s="149"/>
      <c r="AL1629" s="149"/>
      <c r="AM1629" s="149"/>
      <c r="AN1629" s="149"/>
      <c r="AO1629" s="149"/>
      <c r="AP1629" s="149"/>
    </row>
    <row r="1630" ht="18.75" customHeight="1">
      <c r="A1630" s="149"/>
      <c r="B1630" s="149"/>
      <c r="C1630" s="304"/>
      <c r="D1630" s="149"/>
      <c r="E1630" s="149"/>
      <c r="F1630" s="149"/>
      <c r="G1630" s="149"/>
      <c r="H1630" s="149"/>
      <c r="I1630" s="149"/>
      <c r="J1630" s="149"/>
      <c r="K1630" s="149"/>
      <c r="L1630" s="149"/>
      <c r="M1630" s="149"/>
      <c r="N1630" s="149"/>
      <c r="O1630" s="149"/>
      <c r="P1630" s="149"/>
      <c r="Q1630" s="149"/>
      <c r="R1630" s="149"/>
      <c r="S1630" s="149"/>
      <c r="T1630" s="149"/>
      <c r="U1630" s="149"/>
      <c r="V1630" s="149"/>
      <c r="W1630" s="149"/>
      <c r="X1630" s="149"/>
      <c r="Y1630" s="149"/>
      <c r="Z1630" s="149"/>
      <c r="AA1630" s="149"/>
      <c r="AB1630" s="149"/>
      <c r="AC1630" s="149"/>
      <c r="AD1630" s="149"/>
      <c r="AE1630" s="149"/>
      <c r="AF1630" s="149"/>
      <c r="AG1630" s="149"/>
      <c r="AH1630" s="149"/>
      <c r="AI1630" s="149"/>
      <c r="AJ1630" s="149"/>
      <c r="AK1630" s="149"/>
      <c r="AL1630" s="149"/>
      <c r="AM1630" s="149"/>
      <c r="AN1630" s="149"/>
      <c r="AO1630" s="149"/>
      <c r="AP1630" s="149"/>
    </row>
    <row r="1631" ht="18.75" customHeight="1">
      <c r="A1631" s="149"/>
      <c r="B1631" s="149"/>
      <c r="C1631" s="304"/>
      <c r="D1631" s="149"/>
      <c r="E1631" s="149"/>
      <c r="F1631" s="149"/>
      <c r="G1631" s="149"/>
      <c r="H1631" s="149"/>
      <c r="I1631" s="149"/>
      <c r="J1631" s="149"/>
      <c r="K1631" s="149"/>
      <c r="L1631" s="149"/>
      <c r="M1631" s="149"/>
      <c r="N1631" s="149"/>
      <c r="O1631" s="149"/>
      <c r="P1631" s="149"/>
      <c r="Q1631" s="149"/>
      <c r="R1631" s="149"/>
      <c r="S1631" s="149"/>
      <c r="T1631" s="149"/>
      <c r="U1631" s="149"/>
      <c r="V1631" s="149"/>
      <c r="W1631" s="149"/>
      <c r="X1631" s="149"/>
      <c r="Y1631" s="149"/>
      <c r="Z1631" s="149"/>
      <c r="AA1631" s="149"/>
      <c r="AB1631" s="149"/>
      <c r="AC1631" s="149"/>
      <c r="AD1631" s="149"/>
      <c r="AE1631" s="149"/>
      <c r="AF1631" s="149"/>
      <c r="AG1631" s="149"/>
      <c r="AH1631" s="149"/>
      <c r="AI1631" s="149"/>
      <c r="AJ1631" s="149"/>
      <c r="AK1631" s="149"/>
      <c r="AL1631" s="149"/>
      <c r="AM1631" s="149"/>
      <c r="AN1631" s="149"/>
      <c r="AO1631" s="149"/>
      <c r="AP1631" s="149"/>
    </row>
    <row r="1632" ht="18.75" customHeight="1">
      <c r="A1632" s="149"/>
      <c r="B1632" s="149"/>
      <c r="C1632" s="304"/>
      <c r="D1632" s="149"/>
      <c r="E1632" s="149"/>
      <c r="F1632" s="149"/>
      <c r="G1632" s="149"/>
      <c r="H1632" s="149"/>
      <c r="I1632" s="149"/>
      <c r="J1632" s="149"/>
      <c r="K1632" s="149"/>
      <c r="L1632" s="149"/>
      <c r="M1632" s="149"/>
      <c r="N1632" s="149"/>
      <c r="O1632" s="149"/>
      <c r="P1632" s="149"/>
      <c r="Q1632" s="149"/>
      <c r="R1632" s="149"/>
      <c r="S1632" s="149"/>
      <c r="T1632" s="149"/>
      <c r="U1632" s="149"/>
      <c r="V1632" s="149"/>
      <c r="W1632" s="149"/>
      <c r="X1632" s="149"/>
      <c r="Y1632" s="149"/>
      <c r="Z1632" s="149"/>
      <c r="AA1632" s="149"/>
      <c r="AB1632" s="149"/>
      <c r="AC1632" s="149"/>
      <c r="AD1632" s="149"/>
      <c r="AE1632" s="149"/>
      <c r="AF1632" s="149"/>
      <c r="AG1632" s="149"/>
      <c r="AH1632" s="149"/>
      <c r="AI1632" s="149"/>
      <c r="AJ1632" s="149"/>
      <c r="AK1632" s="149"/>
      <c r="AL1632" s="149"/>
      <c r="AM1632" s="149"/>
      <c r="AN1632" s="149"/>
      <c r="AO1632" s="149"/>
      <c r="AP1632" s="149"/>
    </row>
    <row r="1633" ht="18.75" customHeight="1">
      <c r="A1633" s="149"/>
      <c r="B1633" s="149"/>
      <c r="C1633" s="304"/>
      <c r="D1633" s="149"/>
      <c r="E1633" s="149"/>
      <c r="F1633" s="149"/>
      <c r="G1633" s="149"/>
      <c r="H1633" s="149"/>
      <c r="I1633" s="149"/>
      <c r="J1633" s="149"/>
      <c r="K1633" s="149"/>
      <c r="L1633" s="149"/>
      <c r="M1633" s="149"/>
      <c r="N1633" s="149"/>
      <c r="O1633" s="149"/>
      <c r="P1633" s="149"/>
      <c r="Q1633" s="149"/>
      <c r="R1633" s="149"/>
      <c r="S1633" s="149"/>
      <c r="T1633" s="149"/>
      <c r="U1633" s="149"/>
      <c r="V1633" s="149"/>
      <c r="W1633" s="149"/>
      <c r="X1633" s="149"/>
      <c r="Y1633" s="149"/>
      <c r="Z1633" s="149"/>
      <c r="AA1633" s="149"/>
      <c r="AB1633" s="149"/>
      <c r="AC1633" s="149"/>
      <c r="AD1633" s="149"/>
      <c r="AE1633" s="149"/>
      <c r="AF1633" s="149"/>
      <c r="AG1633" s="149"/>
      <c r="AH1633" s="149"/>
      <c r="AI1633" s="149"/>
      <c r="AJ1633" s="149"/>
      <c r="AK1633" s="149"/>
      <c r="AL1633" s="149"/>
      <c r="AM1633" s="149"/>
      <c r="AN1633" s="149"/>
      <c r="AO1633" s="149"/>
      <c r="AP1633" s="149"/>
    </row>
    <row r="1634" ht="18.75" customHeight="1">
      <c r="A1634" s="149"/>
      <c r="B1634" s="149"/>
      <c r="C1634" s="304"/>
      <c r="D1634" s="149"/>
      <c r="E1634" s="149"/>
      <c r="F1634" s="149"/>
      <c r="G1634" s="149"/>
      <c r="H1634" s="149"/>
      <c r="I1634" s="149"/>
      <c r="J1634" s="149"/>
      <c r="K1634" s="149"/>
      <c r="L1634" s="149"/>
      <c r="M1634" s="149"/>
      <c r="N1634" s="149"/>
      <c r="O1634" s="149"/>
      <c r="P1634" s="149"/>
      <c r="Q1634" s="149"/>
      <c r="R1634" s="149"/>
      <c r="S1634" s="149"/>
      <c r="T1634" s="149"/>
      <c r="U1634" s="149"/>
      <c r="V1634" s="149"/>
      <c r="W1634" s="149"/>
      <c r="X1634" s="149"/>
      <c r="Y1634" s="149"/>
      <c r="Z1634" s="149"/>
      <c r="AA1634" s="149"/>
      <c r="AB1634" s="149"/>
      <c r="AC1634" s="149"/>
      <c r="AD1634" s="149"/>
      <c r="AE1634" s="149"/>
      <c r="AF1634" s="149"/>
      <c r="AG1634" s="149"/>
      <c r="AH1634" s="149"/>
      <c r="AI1634" s="149"/>
      <c r="AJ1634" s="149"/>
      <c r="AK1634" s="149"/>
      <c r="AL1634" s="149"/>
      <c r="AM1634" s="149"/>
      <c r="AN1634" s="149"/>
      <c r="AO1634" s="149"/>
      <c r="AP1634" s="149"/>
    </row>
    <row r="1635" ht="18.75" customHeight="1">
      <c r="A1635" s="149"/>
      <c r="B1635" s="149"/>
      <c r="C1635" s="304"/>
      <c r="D1635" s="149"/>
      <c r="E1635" s="149"/>
      <c r="F1635" s="149"/>
      <c r="G1635" s="149"/>
      <c r="H1635" s="149"/>
      <c r="I1635" s="149"/>
      <c r="J1635" s="149"/>
      <c r="K1635" s="149"/>
      <c r="L1635" s="149"/>
      <c r="M1635" s="149"/>
      <c r="N1635" s="149"/>
      <c r="O1635" s="149"/>
      <c r="P1635" s="149"/>
      <c r="Q1635" s="149"/>
      <c r="R1635" s="149"/>
      <c r="S1635" s="149"/>
      <c r="T1635" s="149"/>
      <c r="U1635" s="149"/>
      <c r="V1635" s="149"/>
      <c r="W1635" s="149"/>
      <c r="X1635" s="149"/>
      <c r="Y1635" s="149"/>
      <c r="Z1635" s="149"/>
      <c r="AA1635" s="149"/>
      <c r="AB1635" s="149"/>
      <c r="AC1635" s="149"/>
      <c r="AD1635" s="149"/>
      <c r="AE1635" s="149"/>
      <c r="AF1635" s="149"/>
      <c r="AG1635" s="149"/>
      <c r="AH1635" s="149"/>
      <c r="AI1635" s="149"/>
      <c r="AJ1635" s="149"/>
      <c r="AK1635" s="149"/>
      <c r="AL1635" s="149"/>
      <c r="AM1635" s="149"/>
      <c r="AN1635" s="149"/>
      <c r="AO1635" s="149"/>
      <c r="AP1635" s="149"/>
    </row>
    <row r="1636" ht="18.75" customHeight="1">
      <c r="A1636" s="149"/>
      <c r="B1636" s="149"/>
      <c r="C1636" s="304"/>
      <c r="D1636" s="149"/>
      <c r="E1636" s="149"/>
      <c r="F1636" s="149"/>
      <c r="G1636" s="149"/>
      <c r="H1636" s="149"/>
      <c r="I1636" s="149"/>
      <c r="J1636" s="149"/>
      <c r="K1636" s="149"/>
      <c r="L1636" s="149"/>
      <c r="M1636" s="149"/>
      <c r="N1636" s="149"/>
      <c r="O1636" s="149"/>
      <c r="P1636" s="149"/>
      <c r="Q1636" s="149"/>
      <c r="R1636" s="149"/>
      <c r="S1636" s="149"/>
      <c r="T1636" s="149"/>
      <c r="U1636" s="149"/>
      <c r="V1636" s="149"/>
      <c r="W1636" s="149"/>
      <c r="X1636" s="149"/>
      <c r="Y1636" s="149"/>
      <c r="Z1636" s="149"/>
      <c r="AA1636" s="149"/>
      <c r="AB1636" s="149"/>
      <c r="AC1636" s="149"/>
      <c r="AD1636" s="149"/>
      <c r="AE1636" s="149"/>
      <c r="AF1636" s="149"/>
      <c r="AG1636" s="149"/>
      <c r="AH1636" s="149"/>
      <c r="AI1636" s="149"/>
      <c r="AJ1636" s="149"/>
      <c r="AK1636" s="149"/>
      <c r="AL1636" s="149"/>
      <c r="AM1636" s="149"/>
      <c r="AN1636" s="149"/>
      <c r="AO1636" s="149"/>
      <c r="AP1636" s="149"/>
    </row>
    <row r="1637" ht="18.75" customHeight="1">
      <c r="A1637" s="149"/>
      <c r="B1637" s="149"/>
      <c r="C1637" s="304"/>
      <c r="D1637" s="149"/>
      <c r="E1637" s="149"/>
      <c r="F1637" s="149"/>
      <c r="G1637" s="149"/>
      <c r="H1637" s="149"/>
      <c r="I1637" s="149"/>
      <c r="J1637" s="149"/>
      <c r="K1637" s="149"/>
      <c r="L1637" s="149"/>
      <c r="M1637" s="149"/>
      <c r="N1637" s="149"/>
      <c r="O1637" s="149"/>
      <c r="P1637" s="149"/>
      <c r="Q1637" s="149"/>
      <c r="R1637" s="149"/>
      <c r="S1637" s="149"/>
      <c r="T1637" s="149"/>
      <c r="U1637" s="149"/>
      <c r="V1637" s="149"/>
      <c r="W1637" s="149"/>
      <c r="X1637" s="149"/>
      <c r="Y1637" s="149"/>
      <c r="Z1637" s="149"/>
      <c r="AA1637" s="149"/>
      <c r="AB1637" s="149"/>
      <c r="AC1637" s="149"/>
      <c r="AD1637" s="149"/>
      <c r="AE1637" s="149"/>
      <c r="AF1637" s="149"/>
      <c r="AG1637" s="149"/>
      <c r="AH1637" s="149"/>
      <c r="AI1637" s="149"/>
      <c r="AJ1637" s="149"/>
      <c r="AK1637" s="149"/>
      <c r="AL1637" s="149"/>
      <c r="AM1637" s="149"/>
      <c r="AN1637" s="149"/>
      <c r="AO1637" s="149"/>
      <c r="AP1637" s="149"/>
    </row>
    <row r="1638" ht="18.75" customHeight="1">
      <c r="A1638" s="149"/>
      <c r="B1638" s="149"/>
      <c r="C1638" s="304"/>
      <c r="D1638" s="149"/>
      <c r="E1638" s="149"/>
      <c r="F1638" s="149"/>
      <c r="G1638" s="149"/>
      <c r="H1638" s="149"/>
      <c r="I1638" s="149"/>
      <c r="J1638" s="149"/>
      <c r="K1638" s="149"/>
      <c r="L1638" s="149"/>
      <c r="M1638" s="149"/>
      <c r="N1638" s="149"/>
      <c r="O1638" s="149"/>
      <c r="P1638" s="149"/>
      <c r="Q1638" s="149"/>
      <c r="R1638" s="149"/>
      <c r="S1638" s="149"/>
      <c r="T1638" s="149"/>
      <c r="U1638" s="149"/>
      <c r="V1638" s="149"/>
      <c r="W1638" s="149"/>
      <c r="X1638" s="149"/>
      <c r="Y1638" s="149"/>
      <c r="Z1638" s="149"/>
      <c r="AA1638" s="149"/>
      <c r="AB1638" s="149"/>
      <c r="AC1638" s="149"/>
      <c r="AD1638" s="149"/>
      <c r="AE1638" s="149"/>
      <c r="AF1638" s="149"/>
      <c r="AG1638" s="149"/>
      <c r="AH1638" s="149"/>
      <c r="AI1638" s="149"/>
      <c r="AJ1638" s="149"/>
      <c r="AK1638" s="149"/>
      <c r="AL1638" s="149"/>
      <c r="AM1638" s="149"/>
      <c r="AN1638" s="149"/>
      <c r="AO1638" s="149"/>
      <c r="AP1638" s="149"/>
    </row>
    <row r="1639" ht="18.75" customHeight="1">
      <c r="A1639" s="149"/>
      <c r="B1639" s="149"/>
      <c r="C1639" s="304"/>
      <c r="D1639" s="149"/>
      <c r="E1639" s="149"/>
      <c r="F1639" s="149"/>
      <c r="G1639" s="149"/>
      <c r="H1639" s="149"/>
      <c r="I1639" s="149"/>
      <c r="J1639" s="149"/>
      <c r="K1639" s="149"/>
      <c r="L1639" s="149"/>
      <c r="M1639" s="149"/>
      <c r="N1639" s="149"/>
      <c r="O1639" s="149"/>
      <c r="P1639" s="149"/>
      <c r="Q1639" s="149"/>
      <c r="R1639" s="149"/>
      <c r="S1639" s="149"/>
      <c r="T1639" s="149"/>
      <c r="U1639" s="149"/>
      <c r="V1639" s="149"/>
      <c r="W1639" s="149"/>
      <c r="X1639" s="149"/>
      <c r="Y1639" s="149"/>
      <c r="Z1639" s="149"/>
      <c r="AA1639" s="149"/>
      <c r="AB1639" s="149"/>
      <c r="AC1639" s="149"/>
      <c r="AD1639" s="149"/>
      <c r="AE1639" s="149"/>
      <c r="AF1639" s="149"/>
      <c r="AG1639" s="149"/>
      <c r="AH1639" s="149"/>
      <c r="AI1639" s="149"/>
      <c r="AJ1639" s="149"/>
      <c r="AK1639" s="149"/>
      <c r="AL1639" s="149"/>
      <c r="AM1639" s="149"/>
      <c r="AN1639" s="149"/>
      <c r="AO1639" s="149"/>
      <c r="AP1639" s="149"/>
    </row>
    <row r="1640" ht="18.75" customHeight="1">
      <c r="A1640" s="149"/>
      <c r="B1640" s="149"/>
      <c r="C1640" s="304"/>
      <c r="D1640" s="149"/>
      <c r="E1640" s="149"/>
      <c r="F1640" s="149"/>
      <c r="G1640" s="149"/>
      <c r="H1640" s="149"/>
      <c r="I1640" s="149"/>
      <c r="J1640" s="149"/>
      <c r="K1640" s="149"/>
      <c r="L1640" s="149"/>
      <c r="M1640" s="149"/>
      <c r="N1640" s="149"/>
      <c r="O1640" s="149"/>
      <c r="P1640" s="149"/>
      <c r="Q1640" s="149"/>
      <c r="R1640" s="149"/>
      <c r="S1640" s="149"/>
      <c r="T1640" s="149"/>
      <c r="U1640" s="149"/>
      <c r="V1640" s="149"/>
      <c r="W1640" s="149"/>
      <c r="X1640" s="149"/>
      <c r="Y1640" s="149"/>
      <c r="Z1640" s="149"/>
      <c r="AA1640" s="149"/>
      <c r="AB1640" s="149"/>
      <c r="AC1640" s="149"/>
      <c r="AD1640" s="149"/>
      <c r="AE1640" s="149"/>
      <c r="AF1640" s="149"/>
      <c r="AG1640" s="149"/>
      <c r="AH1640" s="149"/>
      <c r="AI1640" s="149"/>
      <c r="AJ1640" s="149"/>
      <c r="AK1640" s="149"/>
      <c r="AL1640" s="149"/>
      <c r="AM1640" s="149"/>
      <c r="AN1640" s="149"/>
      <c r="AO1640" s="149"/>
      <c r="AP1640" s="149"/>
    </row>
    <row r="1641" ht="18.75" customHeight="1">
      <c r="A1641" s="149"/>
      <c r="B1641" s="149"/>
      <c r="C1641" s="304"/>
      <c r="D1641" s="149"/>
      <c r="E1641" s="149"/>
      <c r="F1641" s="149"/>
      <c r="G1641" s="149"/>
      <c r="H1641" s="149"/>
      <c r="I1641" s="149"/>
      <c r="J1641" s="149"/>
      <c r="K1641" s="149"/>
      <c r="L1641" s="149"/>
      <c r="M1641" s="149"/>
      <c r="N1641" s="149"/>
      <c r="O1641" s="149"/>
      <c r="P1641" s="149"/>
      <c r="Q1641" s="149"/>
      <c r="R1641" s="149"/>
      <c r="S1641" s="149"/>
      <c r="T1641" s="149"/>
      <c r="U1641" s="149"/>
      <c r="V1641" s="149"/>
      <c r="W1641" s="149"/>
      <c r="X1641" s="149"/>
      <c r="Y1641" s="149"/>
      <c r="Z1641" s="149"/>
      <c r="AA1641" s="149"/>
      <c r="AB1641" s="149"/>
      <c r="AC1641" s="149"/>
      <c r="AD1641" s="149"/>
      <c r="AE1641" s="149"/>
      <c r="AF1641" s="149"/>
      <c r="AG1641" s="149"/>
      <c r="AH1641" s="149"/>
      <c r="AI1641" s="149"/>
      <c r="AJ1641" s="149"/>
      <c r="AK1641" s="149"/>
      <c r="AL1641" s="149"/>
      <c r="AM1641" s="149"/>
      <c r="AN1641" s="149"/>
      <c r="AO1641" s="149"/>
      <c r="AP1641" s="149"/>
    </row>
    <row r="1642" ht="18.75" customHeight="1">
      <c r="A1642" s="149"/>
      <c r="B1642" s="149"/>
      <c r="C1642" s="304"/>
      <c r="D1642" s="149"/>
      <c r="E1642" s="149"/>
      <c r="F1642" s="149"/>
      <c r="G1642" s="149"/>
      <c r="H1642" s="149"/>
      <c r="I1642" s="149"/>
      <c r="J1642" s="149"/>
      <c r="K1642" s="149"/>
      <c r="L1642" s="149"/>
      <c r="M1642" s="149"/>
      <c r="N1642" s="149"/>
      <c r="O1642" s="149"/>
      <c r="P1642" s="149"/>
      <c r="Q1642" s="149"/>
      <c r="R1642" s="149"/>
      <c r="S1642" s="149"/>
      <c r="T1642" s="149"/>
      <c r="U1642" s="149"/>
      <c r="V1642" s="149"/>
      <c r="W1642" s="149"/>
      <c r="X1642" s="149"/>
      <c r="Y1642" s="149"/>
      <c r="Z1642" s="149"/>
      <c r="AA1642" s="149"/>
      <c r="AB1642" s="149"/>
      <c r="AC1642" s="149"/>
      <c r="AD1642" s="149"/>
      <c r="AE1642" s="149"/>
      <c r="AF1642" s="149"/>
      <c r="AG1642" s="149"/>
      <c r="AH1642" s="149"/>
      <c r="AI1642" s="149"/>
      <c r="AJ1642" s="149"/>
      <c r="AK1642" s="149"/>
      <c r="AL1642" s="149"/>
      <c r="AM1642" s="149"/>
      <c r="AN1642" s="149"/>
      <c r="AO1642" s="149"/>
      <c r="AP1642" s="149"/>
    </row>
    <row r="1643" ht="18.75" customHeight="1">
      <c r="A1643" s="149"/>
      <c r="B1643" s="149"/>
      <c r="C1643" s="304"/>
      <c r="D1643" s="149"/>
      <c r="E1643" s="149"/>
      <c r="F1643" s="149"/>
      <c r="G1643" s="149"/>
      <c r="H1643" s="149"/>
      <c r="I1643" s="149"/>
      <c r="J1643" s="149"/>
      <c r="K1643" s="149"/>
      <c r="L1643" s="149"/>
      <c r="M1643" s="149"/>
      <c r="N1643" s="149"/>
      <c r="O1643" s="149"/>
      <c r="P1643" s="149"/>
      <c r="Q1643" s="149"/>
      <c r="R1643" s="149"/>
      <c r="S1643" s="149"/>
      <c r="T1643" s="149"/>
      <c r="U1643" s="149"/>
      <c r="V1643" s="149"/>
      <c r="W1643" s="149"/>
      <c r="X1643" s="149"/>
      <c r="Y1643" s="149"/>
      <c r="Z1643" s="149"/>
      <c r="AA1643" s="149"/>
      <c r="AB1643" s="149"/>
      <c r="AC1643" s="149"/>
      <c r="AD1643" s="149"/>
      <c r="AE1643" s="149"/>
      <c r="AF1643" s="149"/>
      <c r="AG1643" s="149"/>
      <c r="AH1643" s="149"/>
      <c r="AI1643" s="149"/>
      <c r="AJ1643" s="149"/>
      <c r="AK1643" s="149"/>
      <c r="AL1643" s="149"/>
      <c r="AM1643" s="149"/>
      <c r="AN1643" s="149"/>
      <c r="AO1643" s="149"/>
      <c r="AP1643" s="149"/>
    </row>
    <row r="1644" ht="18.75" customHeight="1">
      <c r="A1644" s="149"/>
      <c r="B1644" s="149"/>
      <c r="C1644" s="304"/>
      <c r="D1644" s="149"/>
      <c r="E1644" s="149"/>
      <c r="F1644" s="149"/>
      <c r="G1644" s="149"/>
      <c r="H1644" s="149"/>
      <c r="I1644" s="149"/>
      <c r="J1644" s="149"/>
      <c r="K1644" s="149"/>
      <c r="L1644" s="149"/>
      <c r="M1644" s="149"/>
      <c r="N1644" s="149"/>
      <c r="O1644" s="149"/>
      <c r="P1644" s="149"/>
      <c r="Q1644" s="149"/>
      <c r="R1644" s="149"/>
      <c r="S1644" s="149"/>
      <c r="T1644" s="149"/>
      <c r="U1644" s="149"/>
      <c r="V1644" s="149"/>
      <c r="W1644" s="149"/>
      <c r="X1644" s="149"/>
      <c r="Y1644" s="149"/>
      <c r="Z1644" s="149"/>
      <c r="AA1644" s="149"/>
      <c r="AB1644" s="149"/>
      <c r="AC1644" s="149"/>
      <c r="AD1644" s="149"/>
      <c r="AE1644" s="149"/>
      <c r="AF1644" s="149"/>
      <c r="AG1644" s="149"/>
      <c r="AH1644" s="149"/>
      <c r="AI1644" s="149"/>
      <c r="AJ1644" s="149"/>
      <c r="AK1644" s="149"/>
      <c r="AL1644" s="149"/>
      <c r="AM1644" s="149"/>
      <c r="AN1644" s="149"/>
      <c r="AO1644" s="149"/>
      <c r="AP1644" s="149"/>
    </row>
    <row r="1645" ht="18.75" customHeight="1">
      <c r="A1645" s="149"/>
      <c r="B1645" s="149"/>
      <c r="C1645" s="304"/>
      <c r="D1645" s="149"/>
      <c r="E1645" s="149"/>
      <c r="F1645" s="149"/>
      <c r="G1645" s="149"/>
      <c r="H1645" s="149"/>
      <c r="I1645" s="149"/>
      <c r="J1645" s="149"/>
      <c r="K1645" s="149"/>
      <c r="L1645" s="149"/>
      <c r="M1645" s="149"/>
      <c r="N1645" s="149"/>
      <c r="O1645" s="149"/>
      <c r="P1645" s="149"/>
      <c r="Q1645" s="149"/>
      <c r="R1645" s="149"/>
      <c r="S1645" s="149"/>
      <c r="T1645" s="149"/>
      <c r="U1645" s="149"/>
      <c r="V1645" s="149"/>
      <c r="W1645" s="149"/>
      <c r="X1645" s="149"/>
      <c r="Y1645" s="149"/>
      <c r="Z1645" s="149"/>
      <c r="AA1645" s="149"/>
      <c r="AB1645" s="149"/>
      <c r="AC1645" s="149"/>
      <c r="AD1645" s="149"/>
      <c r="AE1645" s="149"/>
      <c r="AF1645" s="149"/>
      <c r="AG1645" s="149"/>
      <c r="AH1645" s="149"/>
      <c r="AI1645" s="149"/>
      <c r="AJ1645" s="149"/>
      <c r="AK1645" s="149"/>
      <c r="AL1645" s="149"/>
      <c r="AM1645" s="149"/>
      <c r="AN1645" s="149"/>
      <c r="AO1645" s="149"/>
      <c r="AP1645" s="149"/>
    </row>
    <row r="1646" ht="18.75" customHeight="1">
      <c r="A1646" s="149"/>
      <c r="B1646" s="149"/>
      <c r="C1646" s="304"/>
      <c r="D1646" s="149"/>
      <c r="E1646" s="149"/>
      <c r="F1646" s="149"/>
      <c r="G1646" s="149"/>
      <c r="H1646" s="149"/>
      <c r="I1646" s="149"/>
      <c r="J1646" s="149"/>
      <c r="K1646" s="149"/>
      <c r="L1646" s="149"/>
      <c r="M1646" s="149"/>
      <c r="N1646" s="149"/>
      <c r="O1646" s="149"/>
      <c r="P1646" s="149"/>
      <c r="Q1646" s="149"/>
      <c r="R1646" s="149"/>
      <c r="S1646" s="149"/>
      <c r="T1646" s="149"/>
      <c r="U1646" s="149"/>
      <c r="V1646" s="149"/>
      <c r="W1646" s="149"/>
      <c r="X1646" s="149"/>
      <c r="Y1646" s="149"/>
      <c r="Z1646" s="149"/>
      <c r="AA1646" s="149"/>
      <c r="AB1646" s="149"/>
      <c r="AC1646" s="149"/>
      <c r="AD1646" s="149"/>
      <c r="AE1646" s="149"/>
      <c r="AF1646" s="149"/>
      <c r="AG1646" s="149"/>
      <c r="AH1646" s="149"/>
      <c r="AI1646" s="149"/>
      <c r="AJ1646" s="149"/>
      <c r="AK1646" s="149"/>
      <c r="AL1646" s="149"/>
      <c r="AM1646" s="149"/>
      <c r="AN1646" s="149"/>
      <c r="AO1646" s="149"/>
      <c r="AP1646" s="149"/>
    </row>
    <row r="1647" ht="18.75" customHeight="1">
      <c r="A1647" s="149"/>
      <c r="B1647" s="149"/>
      <c r="C1647" s="304"/>
      <c r="D1647" s="149"/>
      <c r="E1647" s="149"/>
      <c r="F1647" s="149"/>
      <c r="G1647" s="149"/>
      <c r="H1647" s="149"/>
      <c r="I1647" s="149"/>
      <c r="J1647" s="149"/>
      <c r="K1647" s="149"/>
      <c r="L1647" s="149"/>
      <c r="M1647" s="149"/>
      <c r="N1647" s="149"/>
      <c r="O1647" s="149"/>
      <c r="P1647" s="149"/>
      <c r="Q1647" s="149"/>
      <c r="R1647" s="149"/>
      <c r="S1647" s="149"/>
      <c r="T1647" s="149"/>
      <c r="U1647" s="149"/>
      <c r="V1647" s="149"/>
      <c r="W1647" s="149"/>
      <c r="X1647" s="149"/>
      <c r="Y1647" s="149"/>
      <c r="Z1647" s="149"/>
      <c r="AA1647" s="149"/>
      <c r="AB1647" s="149"/>
      <c r="AC1647" s="149"/>
      <c r="AD1647" s="149"/>
      <c r="AE1647" s="149"/>
      <c r="AF1647" s="149"/>
      <c r="AG1647" s="149"/>
      <c r="AH1647" s="149"/>
      <c r="AI1647" s="149"/>
      <c r="AJ1647" s="149"/>
      <c r="AK1647" s="149"/>
      <c r="AL1647" s="149"/>
      <c r="AM1647" s="149"/>
      <c r="AN1647" s="149"/>
      <c r="AO1647" s="149"/>
      <c r="AP1647" s="149"/>
    </row>
    <row r="1648" ht="18.75" customHeight="1">
      <c r="A1648" s="149"/>
      <c r="B1648" s="149"/>
      <c r="C1648" s="304"/>
      <c r="D1648" s="149"/>
      <c r="E1648" s="149"/>
      <c r="F1648" s="149"/>
      <c r="G1648" s="149"/>
      <c r="H1648" s="149"/>
      <c r="I1648" s="149"/>
      <c r="J1648" s="149"/>
      <c r="K1648" s="149"/>
      <c r="L1648" s="149"/>
      <c r="M1648" s="149"/>
      <c r="N1648" s="149"/>
      <c r="O1648" s="149"/>
      <c r="P1648" s="149"/>
      <c r="Q1648" s="149"/>
      <c r="R1648" s="149"/>
      <c r="S1648" s="149"/>
      <c r="T1648" s="149"/>
      <c r="U1648" s="149"/>
      <c r="V1648" s="149"/>
      <c r="W1648" s="149"/>
      <c r="X1648" s="149"/>
      <c r="Y1648" s="149"/>
      <c r="Z1648" s="149"/>
      <c r="AA1648" s="149"/>
      <c r="AB1648" s="149"/>
      <c r="AC1648" s="149"/>
      <c r="AD1648" s="149"/>
      <c r="AE1648" s="149"/>
      <c r="AF1648" s="149"/>
      <c r="AG1648" s="149"/>
      <c r="AH1648" s="149"/>
      <c r="AI1648" s="149"/>
      <c r="AJ1648" s="149"/>
      <c r="AK1648" s="149"/>
      <c r="AL1648" s="149"/>
      <c r="AM1648" s="149"/>
      <c r="AN1648" s="149"/>
      <c r="AO1648" s="149"/>
      <c r="AP1648" s="149"/>
    </row>
    <row r="1649" ht="18.75" customHeight="1">
      <c r="A1649" s="149"/>
      <c r="B1649" s="149"/>
      <c r="C1649" s="304"/>
      <c r="D1649" s="149"/>
      <c r="E1649" s="149"/>
      <c r="F1649" s="149"/>
      <c r="G1649" s="149"/>
      <c r="H1649" s="149"/>
      <c r="I1649" s="149"/>
      <c r="J1649" s="149"/>
      <c r="K1649" s="149"/>
      <c r="L1649" s="149"/>
      <c r="M1649" s="149"/>
      <c r="N1649" s="149"/>
      <c r="O1649" s="149"/>
      <c r="P1649" s="149"/>
      <c r="Q1649" s="149"/>
      <c r="R1649" s="149"/>
      <c r="S1649" s="149"/>
      <c r="T1649" s="149"/>
      <c r="U1649" s="149"/>
      <c r="V1649" s="149"/>
      <c r="W1649" s="149"/>
      <c r="X1649" s="149"/>
      <c r="Y1649" s="149"/>
      <c r="Z1649" s="149"/>
      <c r="AA1649" s="149"/>
      <c r="AB1649" s="149"/>
      <c r="AC1649" s="149"/>
      <c r="AD1649" s="149"/>
      <c r="AE1649" s="149"/>
      <c r="AF1649" s="149"/>
      <c r="AG1649" s="149"/>
      <c r="AH1649" s="149"/>
      <c r="AI1649" s="149"/>
      <c r="AJ1649" s="149"/>
      <c r="AK1649" s="149"/>
      <c r="AL1649" s="149"/>
      <c r="AM1649" s="149"/>
      <c r="AN1649" s="149"/>
      <c r="AO1649" s="149"/>
      <c r="AP1649" s="149"/>
    </row>
    <row r="1650" ht="18.75" customHeight="1">
      <c r="A1650" s="149"/>
      <c r="B1650" s="149"/>
      <c r="C1650" s="304"/>
      <c r="D1650" s="149"/>
      <c r="E1650" s="149"/>
      <c r="F1650" s="149"/>
      <c r="G1650" s="149"/>
      <c r="H1650" s="149"/>
      <c r="I1650" s="149"/>
      <c r="J1650" s="149"/>
      <c r="K1650" s="149"/>
      <c r="L1650" s="149"/>
      <c r="M1650" s="149"/>
      <c r="N1650" s="149"/>
      <c r="O1650" s="149"/>
      <c r="P1650" s="149"/>
      <c r="Q1650" s="149"/>
      <c r="R1650" s="149"/>
      <c r="S1650" s="149"/>
      <c r="T1650" s="149"/>
      <c r="U1650" s="149"/>
      <c r="V1650" s="149"/>
      <c r="W1650" s="149"/>
      <c r="X1650" s="149"/>
      <c r="Y1650" s="149"/>
      <c r="Z1650" s="149"/>
      <c r="AA1650" s="149"/>
      <c r="AB1650" s="149"/>
      <c r="AC1650" s="149"/>
      <c r="AD1650" s="149"/>
      <c r="AE1650" s="149"/>
      <c r="AF1650" s="149"/>
      <c r="AG1650" s="149"/>
      <c r="AH1650" s="149"/>
      <c r="AI1650" s="149"/>
      <c r="AJ1650" s="149"/>
      <c r="AK1650" s="149"/>
      <c r="AL1650" s="149"/>
      <c r="AM1650" s="149"/>
      <c r="AN1650" s="149"/>
      <c r="AO1650" s="149"/>
      <c r="AP1650" s="149"/>
    </row>
    <row r="1651" ht="18.75" customHeight="1">
      <c r="A1651" s="149"/>
      <c r="B1651" s="149"/>
      <c r="C1651" s="304"/>
      <c r="D1651" s="149"/>
      <c r="E1651" s="149"/>
      <c r="F1651" s="149"/>
      <c r="G1651" s="149"/>
      <c r="H1651" s="149"/>
      <c r="I1651" s="149"/>
      <c r="J1651" s="149"/>
      <c r="K1651" s="149"/>
      <c r="L1651" s="149"/>
      <c r="M1651" s="149"/>
      <c r="N1651" s="149"/>
      <c r="O1651" s="149"/>
      <c r="P1651" s="149"/>
      <c r="Q1651" s="149"/>
      <c r="R1651" s="149"/>
      <c r="S1651" s="149"/>
      <c r="T1651" s="149"/>
      <c r="U1651" s="149"/>
      <c r="V1651" s="149"/>
      <c r="W1651" s="149"/>
      <c r="X1651" s="149"/>
      <c r="Y1651" s="149"/>
      <c r="Z1651" s="149"/>
      <c r="AA1651" s="149"/>
      <c r="AB1651" s="149"/>
      <c r="AC1651" s="149"/>
      <c r="AD1651" s="149"/>
      <c r="AE1651" s="149"/>
      <c r="AF1651" s="149"/>
      <c r="AG1651" s="149"/>
      <c r="AH1651" s="149"/>
      <c r="AI1651" s="149"/>
      <c r="AJ1651" s="149"/>
      <c r="AK1651" s="149"/>
      <c r="AL1651" s="149"/>
      <c r="AM1651" s="149"/>
      <c r="AN1651" s="149"/>
      <c r="AO1651" s="149"/>
      <c r="AP1651" s="149"/>
    </row>
    <row r="1652" ht="18.75" customHeight="1">
      <c r="A1652" s="149"/>
      <c r="B1652" s="149"/>
      <c r="C1652" s="304"/>
      <c r="D1652" s="149"/>
      <c r="E1652" s="149"/>
      <c r="F1652" s="149"/>
      <c r="G1652" s="149"/>
      <c r="H1652" s="149"/>
      <c r="I1652" s="149"/>
      <c r="J1652" s="149"/>
      <c r="K1652" s="149"/>
      <c r="L1652" s="149"/>
      <c r="M1652" s="149"/>
      <c r="N1652" s="149"/>
      <c r="O1652" s="149"/>
      <c r="P1652" s="149"/>
      <c r="Q1652" s="149"/>
      <c r="R1652" s="149"/>
      <c r="S1652" s="149"/>
      <c r="T1652" s="149"/>
      <c r="U1652" s="149"/>
      <c r="V1652" s="149"/>
      <c r="W1652" s="149"/>
      <c r="X1652" s="149"/>
      <c r="Y1652" s="149"/>
      <c r="Z1652" s="149"/>
      <c r="AA1652" s="149"/>
      <c r="AB1652" s="149"/>
      <c r="AC1652" s="149"/>
      <c r="AD1652" s="149"/>
      <c r="AE1652" s="149"/>
      <c r="AF1652" s="149"/>
      <c r="AG1652" s="149"/>
      <c r="AH1652" s="149"/>
      <c r="AI1652" s="149"/>
      <c r="AJ1652" s="149"/>
      <c r="AK1652" s="149"/>
      <c r="AL1652" s="149"/>
      <c r="AM1652" s="149"/>
      <c r="AN1652" s="149"/>
      <c r="AO1652" s="149"/>
      <c r="AP1652" s="149"/>
    </row>
    <row r="1653" ht="18.75" customHeight="1">
      <c r="A1653" s="149"/>
      <c r="B1653" s="149"/>
      <c r="C1653" s="304"/>
      <c r="D1653" s="149"/>
      <c r="E1653" s="149"/>
      <c r="F1653" s="149"/>
      <c r="G1653" s="149"/>
      <c r="H1653" s="149"/>
      <c r="I1653" s="149"/>
      <c r="J1653" s="149"/>
      <c r="K1653" s="149"/>
      <c r="L1653" s="149"/>
      <c r="M1653" s="149"/>
      <c r="N1653" s="149"/>
      <c r="O1653" s="149"/>
      <c r="P1653" s="149"/>
      <c r="Q1653" s="149"/>
      <c r="R1653" s="149"/>
      <c r="S1653" s="149"/>
      <c r="T1653" s="149"/>
      <c r="U1653" s="149"/>
      <c r="V1653" s="149"/>
      <c r="W1653" s="149"/>
      <c r="X1653" s="149"/>
      <c r="Y1653" s="149"/>
      <c r="Z1653" s="149"/>
      <c r="AA1653" s="149"/>
      <c r="AB1653" s="149"/>
      <c r="AC1653" s="149"/>
      <c r="AD1653" s="149"/>
      <c r="AE1653" s="149"/>
      <c r="AF1653" s="149"/>
      <c r="AG1653" s="149"/>
      <c r="AH1653" s="149"/>
      <c r="AI1653" s="149"/>
      <c r="AJ1653" s="149"/>
      <c r="AK1653" s="149"/>
      <c r="AL1653" s="149"/>
      <c r="AM1653" s="149"/>
      <c r="AN1653" s="149"/>
      <c r="AO1653" s="149"/>
      <c r="AP1653" s="149"/>
    </row>
    <row r="1654" ht="18.75" customHeight="1">
      <c r="A1654" s="149"/>
      <c r="B1654" s="149"/>
      <c r="C1654" s="304"/>
      <c r="D1654" s="149"/>
      <c r="E1654" s="149"/>
      <c r="F1654" s="149"/>
      <c r="G1654" s="149"/>
      <c r="H1654" s="149"/>
      <c r="I1654" s="149"/>
      <c r="J1654" s="149"/>
      <c r="K1654" s="149"/>
      <c r="L1654" s="149"/>
      <c r="M1654" s="149"/>
      <c r="N1654" s="149"/>
      <c r="O1654" s="149"/>
      <c r="P1654" s="149"/>
      <c r="Q1654" s="149"/>
      <c r="R1654" s="149"/>
      <c r="S1654" s="149"/>
      <c r="T1654" s="149"/>
      <c r="U1654" s="149"/>
      <c r="V1654" s="149"/>
      <c r="W1654" s="149"/>
      <c r="X1654" s="149"/>
      <c r="Y1654" s="149"/>
      <c r="Z1654" s="149"/>
      <c r="AA1654" s="149"/>
      <c r="AB1654" s="149"/>
      <c r="AC1654" s="149"/>
      <c r="AD1654" s="149"/>
      <c r="AE1654" s="149"/>
      <c r="AF1654" s="149"/>
      <c r="AG1654" s="149"/>
      <c r="AH1654" s="149"/>
      <c r="AI1654" s="149"/>
      <c r="AJ1654" s="149"/>
      <c r="AK1654" s="149"/>
      <c r="AL1654" s="149"/>
      <c r="AM1654" s="149"/>
      <c r="AN1654" s="149"/>
      <c r="AO1654" s="149"/>
      <c r="AP1654" s="149"/>
    </row>
    <row r="1655" ht="18.75" customHeight="1">
      <c r="A1655" s="149"/>
      <c r="B1655" s="149"/>
      <c r="C1655" s="304"/>
      <c r="D1655" s="149"/>
      <c r="E1655" s="149"/>
      <c r="F1655" s="149"/>
      <c r="G1655" s="149"/>
      <c r="H1655" s="149"/>
      <c r="I1655" s="149"/>
      <c r="J1655" s="149"/>
      <c r="K1655" s="149"/>
      <c r="L1655" s="149"/>
      <c r="M1655" s="149"/>
      <c r="N1655" s="149"/>
      <c r="O1655" s="149"/>
      <c r="P1655" s="149"/>
      <c r="Q1655" s="149"/>
      <c r="R1655" s="149"/>
      <c r="S1655" s="149"/>
      <c r="T1655" s="149"/>
      <c r="U1655" s="149"/>
      <c r="V1655" s="149"/>
      <c r="W1655" s="149"/>
      <c r="X1655" s="149"/>
      <c r="Y1655" s="149"/>
      <c r="Z1655" s="149"/>
      <c r="AA1655" s="149"/>
      <c r="AB1655" s="149"/>
      <c r="AC1655" s="149"/>
      <c r="AD1655" s="149"/>
      <c r="AE1655" s="149"/>
      <c r="AF1655" s="149"/>
      <c r="AG1655" s="149"/>
      <c r="AH1655" s="149"/>
      <c r="AI1655" s="149"/>
      <c r="AJ1655" s="149"/>
      <c r="AK1655" s="149"/>
      <c r="AL1655" s="149"/>
      <c r="AM1655" s="149"/>
      <c r="AN1655" s="149"/>
      <c r="AO1655" s="149"/>
      <c r="AP1655" s="149"/>
    </row>
    <row r="1656" ht="18.75" customHeight="1">
      <c r="A1656" s="149"/>
      <c r="B1656" s="149"/>
      <c r="C1656" s="304"/>
      <c r="D1656" s="149"/>
      <c r="E1656" s="149"/>
      <c r="F1656" s="149"/>
      <c r="G1656" s="149"/>
      <c r="H1656" s="149"/>
      <c r="I1656" s="149"/>
      <c r="J1656" s="149"/>
      <c r="K1656" s="149"/>
      <c r="L1656" s="149"/>
      <c r="M1656" s="149"/>
      <c r="N1656" s="149"/>
      <c r="O1656" s="149"/>
      <c r="P1656" s="149"/>
      <c r="Q1656" s="149"/>
      <c r="R1656" s="149"/>
      <c r="S1656" s="149"/>
      <c r="T1656" s="149"/>
      <c r="U1656" s="149"/>
      <c r="V1656" s="149"/>
      <c r="W1656" s="149"/>
      <c r="X1656" s="149"/>
      <c r="Y1656" s="149"/>
      <c r="Z1656" s="149"/>
      <c r="AA1656" s="149"/>
      <c r="AB1656" s="149"/>
      <c r="AC1656" s="149"/>
      <c r="AD1656" s="149"/>
      <c r="AE1656" s="149"/>
      <c r="AF1656" s="149"/>
      <c r="AG1656" s="149"/>
      <c r="AH1656" s="149"/>
      <c r="AI1656" s="149"/>
      <c r="AJ1656" s="149"/>
      <c r="AK1656" s="149"/>
      <c r="AL1656" s="149"/>
      <c r="AM1656" s="149"/>
      <c r="AN1656" s="149"/>
      <c r="AO1656" s="149"/>
      <c r="AP1656" s="149"/>
    </row>
    <row r="1657" ht="18.75" customHeight="1">
      <c r="A1657" s="149"/>
      <c r="B1657" s="149"/>
      <c r="C1657" s="304"/>
      <c r="D1657" s="149"/>
      <c r="E1657" s="149"/>
      <c r="F1657" s="149"/>
      <c r="G1657" s="149"/>
      <c r="H1657" s="149"/>
      <c r="I1657" s="149"/>
      <c r="J1657" s="149"/>
      <c r="K1657" s="149"/>
      <c r="L1657" s="149"/>
      <c r="M1657" s="149"/>
      <c r="N1657" s="149"/>
      <c r="O1657" s="149"/>
      <c r="P1657" s="149"/>
      <c r="Q1657" s="149"/>
      <c r="R1657" s="149"/>
      <c r="S1657" s="149"/>
      <c r="T1657" s="149"/>
      <c r="U1657" s="149"/>
      <c r="V1657" s="149"/>
      <c r="W1657" s="149"/>
      <c r="X1657" s="149"/>
      <c r="Y1657" s="149"/>
      <c r="Z1657" s="149"/>
      <c r="AA1657" s="149"/>
      <c r="AB1657" s="149"/>
      <c r="AC1657" s="149"/>
      <c r="AD1657" s="149"/>
      <c r="AE1657" s="149"/>
      <c r="AF1657" s="149"/>
      <c r="AG1657" s="149"/>
      <c r="AH1657" s="149"/>
      <c r="AI1657" s="149"/>
      <c r="AJ1657" s="149"/>
      <c r="AK1657" s="149"/>
      <c r="AL1657" s="149"/>
      <c r="AM1657" s="149"/>
      <c r="AN1657" s="149"/>
      <c r="AO1657" s="149"/>
      <c r="AP1657" s="149"/>
    </row>
    <row r="1658" ht="18.75" customHeight="1">
      <c r="A1658" s="149"/>
      <c r="B1658" s="149"/>
      <c r="C1658" s="304"/>
      <c r="D1658" s="149"/>
      <c r="E1658" s="149"/>
      <c r="F1658" s="149"/>
      <c r="G1658" s="149"/>
      <c r="H1658" s="149"/>
      <c r="I1658" s="149"/>
      <c r="J1658" s="149"/>
      <c r="K1658" s="149"/>
      <c r="L1658" s="149"/>
      <c r="M1658" s="149"/>
      <c r="N1658" s="149"/>
      <c r="O1658" s="149"/>
      <c r="P1658" s="149"/>
      <c r="Q1658" s="149"/>
      <c r="R1658" s="149"/>
      <c r="S1658" s="149"/>
      <c r="T1658" s="149"/>
      <c r="U1658" s="149"/>
      <c r="V1658" s="149"/>
      <c r="W1658" s="149"/>
      <c r="X1658" s="149"/>
      <c r="Y1658" s="149"/>
      <c r="Z1658" s="149"/>
      <c r="AA1658" s="149"/>
      <c r="AB1658" s="149"/>
      <c r="AC1658" s="149"/>
      <c r="AD1658" s="149"/>
      <c r="AE1658" s="149"/>
      <c r="AF1658" s="149"/>
      <c r="AG1658" s="149"/>
      <c r="AH1658" s="149"/>
      <c r="AI1658" s="149"/>
      <c r="AJ1658" s="149"/>
      <c r="AK1658" s="149"/>
      <c r="AL1658" s="149"/>
      <c r="AM1658" s="149"/>
      <c r="AN1658" s="149"/>
      <c r="AO1658" s="149"/>
      <c r="AP1658" s="149"/>
    </row>
    <row r="1659" ht="18.75" customHeight="1">
      <c r="A1659" s="149"/>
      <c r="B1659" s="149"/>
      <c r="C1659" s="304"/>
      <c r="D1659" s="149"/>
      <c r="E1659" s="149"/>
      <c r="F1659" s="149"/>
      <c r="G1659" s="149"/>
      <c r="H1659" s="149"/>
      <c r="I1659" s="149"/>
      <c r="J1659" s="149"/>
      <c r="K1659" s="149"/>
      <c r="L1659" s="149"/>
      <c r="M1659" s="149"/>
      <c r="N1659" s="149"/>
      <c r="O1659" s="149"/>
      <c r="P1659" s="149"/>
      <c r="Q1659" s="149"/>
      <c r="R1659" s="149"/>
      <c r="S1659" s="149"/>
      <c r="T1659" s="149"/>
      <c r="U1659" s="149"/>
      <c r="V1659" s="149"/>
      <c r="W1659" s="149"/>
      <c r="X1659" s="149"/>
      <c r="Y1659" s="149"/>
      <c r="Z1659" s="149"/>
      <c r="AA1659" s="149"/>
      <c r="AB1659" s="149"/>
      <c r="AC1659" s="149"/>
      <c r="AD1659" s="149"/>
      <c r="AE1659" s="149"/>
      <c r="AF1659" s="149"/>
      <c r="AG1659" s="149"/>
      <c r="AH1659" s="149"/>
      <c r="AI1659" s="149"/>
      <c r="AJ1659" s="149"/>
      <c r="AK1659" s="149"/>
      <c r="AL1659" s="149"/>
      <c r="AM1659" s="149"/>
      <c r="AN1659" s="149"/>
      <c r="AO1659" s="149"/>
      <c r="AP1659" s="149"/>
    </row>
    <row r="1660" ht="18.75" customHeight="1">
      <c r="A1660" s="149"/>
      <c r="B1660" s="149"/>
      <c r="C1660" s="304"/>
      <c r="D1660" s="149"/>
      <c r="E1660" s="149"/>
      <c r="F1660" s="149"/>
      <c r="G1660" s="149"/>
      <c r="H1660" s="149"/>
      <c r="I1660" s="149"/>
      <c r="J1660" s="149"/>
      <c r="K1660" s="149"/>
      <c r="L1660" s="149"/>
      <c r="M1660" s="149"/>
      <c r="N1660" s="149"/>
      <c r="O1660" s="149"/>
      <c r="P1660" s="149"/>
      <c r="Q1660" s="149"/>
      <c r="R1660" s="149"/>
      <c r="S1660" s="149"/>
      <c r="T1660" s="149"/>
      <c r="U1660" s="149"/>
      <c r="V1660" s="149"/>
      <c r="W1660" s="149"/>
      <c r="X1660" s="149"/>
      <c r="Y1660" s="149"/>
      <c r="Z1660" s="149"/>
      <c r="AA1660" s="149"/>
      <c r="AB1660" s="149"/>
      <c r="AC1660" s="149"/>
      <c r="AD1660" s="149"/>
      <c r="AE1660" s="149"/>
      <c r="AF1660" s="149"/>
      <c r="AG1660" s="149"/>
      <c r="AH1660" s="149"/>
      <c r="AI1660" s="149"/>
      <c r="AJ1660" s="149"/>
      <c r="AK1660" s="149"/>
      <c r="AL1660" s="149"/>
      <c r="AM1660" s="149"/>
      <c r="AN1660" s="149"/>
      <c r="AO1660" s="149"/>
      <c r="AP1660" s="149"/>
    </row>
    <row r="1661" ht="18.75" customHeight="1">
      <c r="A1661" s="149"/>
      <c r="B1661" s="149"/>
      <c r="C1661" s="304"/>
      <c r="D1661" s="149"/>
      <c r="E1661" s="149"/>
      <c r="F1661" s="149"/>
      <c r="G1661" s="149"/>
      <c r="H1661" s="149"/>
      <c r="I1661" s="149"/>
      <c r="J1661" s="149"/>
      <c r="K1661" s="149"/>
      <c r="L1661" s="149"/>
      <c r="M1661" s="149"/>
      <c r="N1661" s="149"/>
      <c r="O1661" s="149"/>
      <c r="P1661" s="149"/>
      <c r="Q1661" s="149"/>
      <c r="R1661" s="149"/>
      <c r="S1661" s="149"/>
      <c r="T1661" s="149"/>
      <c r="U1661" s="149"/>
      <c r="V1661" s="149"/>
      <c r="W1661" s="149"/>
      <c r="X1661" s="149"/>
      <c r="Y1661" s="149"/>
      <c r="Z1661" s="149"/>
      <c r="AA1661" s="149"/>
      <c r="AB1661" s="149"/>
      <c r="AC1661" s="149"/>
      <c r="AD1661" s="149"/>
      <c r="AE1661" s="149"/>
      <c r="AF1661" s="149"/>
      <c r="AG1661" s="149"/>
      <c r="AH1661" s="149"/>
      <c r="AI1661" s="149"/>
      <c r="AJ1661" s="149"/>
      <c r="AK1661" s="149"/>
      <c r="AL1661" s="149"/>
      <c r="AM1661" s="149"/>
      <c r="AN1661" s="149"/>
      <c r="AO1661" s="149"/>
      <c r="AP1661" s="149"/>
    </row>
    <row r="1662" ht="18.75" customHeight="1">
      <c r="A1662" s="149"/>
      <c r="B1662" s="149"/>
      <c r="C1662" s="304"/>
      <c r="D1662" s="149"/>
      <c r="E1662" s="149"/>
      <c r="F1662" s="149"/>
      <c r="G1662" s="149"/>
      <c r="H1662" s="149"/>
      <c r="I1662" s="149"/>
      <c r="J1662" s="149"/>
      <c r="K1662" s="149"/>
      <c r="L1662" s="149"/>
      <c r="M1662" s="149"/>
      <c r="N1662" s="149"/>
      <c r="O1662" s="149"/>
      <c r="P1662" s="149"/>
      <c r="Q1662" s="149"/>
      <c r="R1662" s="149"/>
      <c r="S1662" s="149"/>
      <c r="T1662" s="149"/>
      <c r="U1662" s="149"/>
      <c r="V1662" s="149"/>
      <c r="W1662" s="149"/>
      <c r="X1662" s="149"/>
      <c r="Y1662" s="149"/>
      <c r="Z1662" s="149"/>
      <c r="AA1662" s="149"/>
      <c r="AB1662" s="149"/>
      <c r="AC1662" s="149"/>
      <c r="AD1662" s="149"/>
      <c r="AE1662" s="149"/>
      <c r="AF1662" s="149"/>
      <c r="AG1662" s="149"/>
      <c r="AH1662" s="149"/>
      <c r="AI1662" s="149"/>
      <c r="AJ1662" s="149"/>
      <c r="AK1662" s="149"/>
      <c r="AL1662" s="149"/>
      <c r="AM1662" s="149"/>
      <c r="AN1662" s="149"/>
      <c r="AO1662" s="149"/>
      <c r="AP1662" s="149"/>
    </row>
    <row r="1663" ht="18.75" customHeight="1">
      <c r="A1663" s="149"/>
      <c r="B1663" s="149"/>
      <c r="C1663" s="304"/>
      <c r="D1663" s="149"/>
      <c r="E1663" s="149"/>
      <c r="F1663" s="149"/>
      <c r="G1663" s="149"/>
      <c r="H1663" s="149"/>
      <c r="I1663" s="149"/>
      <c r="J1663" s="149"/>
      <c r="K1663" s="149"/>
      <c r="L1663" s="149"/>
      <c r="M1663" s="149"/>
      <c r="N1663" s="149"/>
      <c r="O1663" s="149"/>
      <c r="P1663" s="149"/>
      <c r="Q1663" s="149"/>
      <c r="R1663" s="149"/>
      <c r="S1663" s="149"/>
      <c r="T1663" s="149"/>
      <c r="U1663" s="149"/>
      <c r="V1663" s="149"/>
      <c r="W1663" s="149"/>
      <c r="X1663" s="149"/>
      <c r="Y1663" s="149"/>
      <c r="Z1663" s="149"/>
      <c r="AA1663" s="149"/>
      <c r="AB1663" s="149"/>
      <c r="AC1663" s="149"/>
      <c r="AD1663" s="149"/>
      <c r="AE1663" s="149"/>
      <c r="AF1663" s="149"/>
      <c r="AG1663" s="149"/>
      <c r="AH1663" s="149"/>
      <c r="AI1663" s="149"/>
      <c r="AJ1663" s="149"/>
      <c r="AK1663" s="149"/>
      <c r="AL1663" s="149"/>
      <c r="AM1663" s="149"/>
      <c r="AN1663" s="149"/>
      <c r="AO1663" s="149"/>
      <c r="AP1663" s="149"/>
    </row>
    <row r="1664" ht="18.75" customHeight="1">
      <c r="A1664" s="149"/>
      <c r="B1664" s="149"/>
      <c r="C1664" s="304"/>
      <c r="D1664" s="149"/>
      <c r="E1664" s="149"/>
      <c r="F1664" s="149"/>
      <c r="G1664" s="149"/>
      <c r="H1664" s="149"/>
      <c r="I1664" s="149"/>
      <c r="J1664" s="149"/>
      <c r="K1664" s="149"/>
      <c r="L1664" s="149"/>
      <c r="M1664" s="149"/>
      <c r="N1664" s="149"/>
      <c r="O1664" s="149"/>
      <c r="P1664" s="149"/>
      <c r="Q1664" s="149"/>
      <c r="R1664" s="149"/>
      <c r="S1664" s="149"/>
      <c r="T1664" s="149"/>
      <c r="U1664" s="149"/>
      <c r="V1664" s="149"/>
      <c r="W1664" s="149"/>
      <c r="X1664" s="149"/>
      <c r="Y1664" s="149"/>
      <c r="Z1664" s="149"/>
      <c r="AA1664" s="149"/>
      <c r="AB1664" s="149"/>
      <c r="AC1664" s="149"/>
      <c r="AD1664" s="149"/>
      <c r="AE1664" s="149"/>
      <c r="AF1664" s="149"/>
      <c r="AG1664" s="149"/>
      <c r="AH1664" s="149"/>
      <c r="AI1664" s="149"/>
      <c r="AJ1664" s="149"/>
      <c r="AK1664" s="149"/>
      <c r="AL1664" s="149"/>
      <c r="AM1664" s="149"/>
      <c r="AN1664" s="149"/>
      <c r="AO1664" s="149"/>
      <c r="AP1664" s="149"/>
    </row>
    <row r="1665" ht="18.75" customHeight="1">
      <c r="A1665" s="149"/>
      <c r="B1665" s="149"/>
      <c r="C1665" s="304"/>
      <c r="D1665" s="149"/>
      <c r="E1665" s="149"/>
      <c r="F1665" s="149"/>
      <c r="G1665" s="149"/>
      <c r="H1665" s="149"/>
      <c r="I1665" s="149"/>
      <c r="J1665" s="149"/>
      <c r="K1665" s="149"/>
      <c r="L1665" s="149"/>
      <c r="M1665" s="149"/>
      <c r="N1665" s="149"/>
      <c r="O1665" s="149"/>
      <c r="P1665" s="149"/>
      <c r="Q1665" s="149"/>
      <c r="R1665" s="149"/>
      <c r="S1665" s="149"/>
      <c r="T1665" s="149"/>
      <c r="U1665" s="149"/>
      <c r="V1665" s="149"/>
      <c r="W1665" s="149"/>
      <c r="X1665" s="149"/>
      <c r="Y1665" s="149"/>
      <c r="Z1665" s="149"/>
      <c r="AA1665" s="149"/>
      <c r="AB1665" s="149"/>
      <c r="AC1665" s="149"/>
      <c r="AD1665" s="149"/>
      <c r="AE1665" s="149"/>
      <c r="AF1665" s="149"/>
      <c r="AG1665" s="149"/>
      <c r="AH1665" s="149"/>
      <c r="AI1665" s="149"/>
      <c r="AJ1665" s="149"/>
      <c r="AK1665" s="149"/>
      <c r="AL1665" s="149"/>
      <c r="AM1665" s="149"/>
      <c r="AN1665" s="149"/>
      <c r="AO1665" s="149"/>
      <c r="AP1665" s="149"/>
    </row>
    <row r="1666" ht="18.75" customHeight="1">
      <c r="A1666" s="149"/>
      <c r="B1666" s="149"/>
      <c r="C1666" s="304"/>
      <c r="D1666" s="149"/>
      <c r="E1666" s="149"/>
      <c r="F1666" s="149"/>
      <c r="G1666" s="149"/>
      <c r="H1666" s="149"/>
      <c r="I1666" s="149"/>
      <c r="J1666" s="149"/>
      <c r="K1666" s="149"/>
      <c r="L1666" s="149"/>
      <c r="M1666" s="149"/>
      <c r="N1666" s="149"/>
      <c r="O1666" s="149"/>
      <c r="P1666" s="149"/>
      <c r="Q1666" s="149"/>
      <c r="R1666" s="149"/>
      <c r="S1666" s="149"/>
      <c r="T1666" s="149"/>
      <c r="U1666" s="149"/>
      <c r="V1666" s="149"/>
      <c r="W1666" s="149"/>
      <c r="X1666" s="149"/>
      <c r="Y1666" s="149"/>
      <c r="Z1666" s="149"/>
      <c r="AA1666" s="149"/>
      <c r="AB1666" s="149"/>
      <c r="AC1666" s="149"/>
      <c r="AD1666" s="149"/>
      <c r="AE1666" s="149"/>
      <c r="AF1666" s="149"/>
      <c r="AG1666" s="149"/>
      <c r="AH1666" s="149"/>
      <c r="AI1666" s="149"/>
      <c r="AJ1666" s="149"/>
      <c r="AK1666" s="149"/>
      <c r="AL1666" s="149"/>
      <c r="AM1666" s="149"/>
      <c r="AN1666" s="149"/>
      <c r="AO1666" s="149"/>
      <c r="AP1666" s="149"/>
    </row>
    <row r="1667" ht="18.75" customHeight="1">
      <c r="A1667" s="149"/>
      <c r="B1667" s="149"/>
      <c r="C1667" s="304"/>
      <c r="D1667" s="149"/>
      <c r="E1667" s="149"/>
      <c r="F1667" s="149"/>
      <c r="G1667" s="149"/>
      <c r="H1667" s="149"/>
      <c r="I1667" s="149"/>
      <c r="J1667" s="149"/>
      <c r="K1667" s="149"/>
      <c r="L1667" s="149"/>
      <c r="M1667" s="149"/>
      <c r="N1667" s="149"/>
      <c r="O1667" s="149"/>
      <c r="P1667" s="149"/>
      <c r="Q1667" s="149"/>
      <c r="R1667" s="149"/>
      <c r="S1667" s="149"/>
      <c r="T1667" s="149"/>
      <c r="U1667" s="149"/>
      <c r="V1667" s="149"/>
      <c r="W1667" s="149"/>
      <c r="X1667" s="149"/>
      <c r="Y1667" s="149"/>
      <c r="Z1667" s="149"/>
      <c r="AA1667" s="149"/>
      <c r="AB1667" s="149"/>
      <c r="AC1667" s="149"/>
      <c r="AD1667" s="149"/>
      <c r="AE1667" s="149"/>
      <c r="AF1667" s="149"/>
      <c r="AG1667" s="149"/>
      <c r="AH1667" s="149"/>
      <c r="AI1667" s="149"/>
      <c r="AJ1667" s="149"/>
      <c r="AK1667" s="149"/>
      <c r="AL1667" s="149"/>
      <c r="AM1667" s="149"/>
      <c r="AN1667" s="149"/>
      <c r="AO1667" s="149"/>
      <c r="AP1667" s="149"/>
    </row>
    <row r="1668" ht="18.75" customHeight="1">
      <c r="A1668" s="149"/>
      <c r="B1668" s="149"/>
      <c r="C1668" s="304"/>
      <c r="D1668" s="149"/>
      <c r="E1668" s="149"/>
      <c r="F1668" s="149"/>
      <c r="G1668" s="149"/>
      <c r="H1668" s="149"/>
      <c r="I1668" s="149"/>
      <c r="J1668" s="149"/>
      <c r="K1668" s="149"/>
      <c r="L1668" s="149"/>
      <c r="M1668" s="149"/>
      <c r="N1668" s="149"/>
      <c r="O1668" s="149"/>
      <c r="P1668" s="149"/>
      <c r="Q1668" s="149"/>
      <c r="R1668" s="149"/>
      <c r="S1668" s="149"/>
      <c r="T1668" s="149"/>
      <c r="U1668" s="149"/>
      <c r="V1668" s="149"/>
      <c r="W1668" s="149"/>
      <c r="X1668" s="149"/>
      <c r="Y1668" s="149"/>
      <c r="Z1668" s="149"/>
      <c r="AA1668" s="149"/>
      <c r="AB1668" s="149"/>
      <c r="AC1668" s="149"/>
      <c r="AD1668" s="149"/>
      <c r="AE1668" s="149"/>
      <c r="AF1668" s="149"/>
      <c r="AG1668" s="149"/>
      <c r="AH1668" s="149"/>
      <c r="AI1668" s="149"/>
      <c r="AJ1668" s="149"/>
      <c r="AK1668" s="149"/>
      <c r="AL1668" s="149"/>
      <c r="AM1668" s="149"/>
      <c r="AN1668" s="149"/>
      <c r="AO1668" s="149"/>
      <c r="AP1668" s="149"/>
    </row>
    <row r="1669" ht="18.75" customHeight="1">
      <c r="A1669" s="149"/>
      <c r="B1669" s="149"/>
      <c r="C1669" s="304"/>
      <c r="D1669" s="149"/>
      <c r="E1669" s="149"/>
      <c r="F1669" s="149"/>
      <c r="G1669" s="149"/>
      <c r="H1669" s="149"/>
      <c r="I1669" s="149"/>
      <c r="J1669" s="149"/>
      <c r="K1669" s="149"/>
      <c r="L1669" s="149"/>
      <c r="M1669" s="149"/>
      <c r="N1669" s="149"/>
      <c r="O1669" s="149"/>
      <c r="P1669" s="149"/>
      <c r="Q1669" s="149"/>
      <c r="R1669" s="149"/>
      <c r="S1669" s="149"/>
      <c r="T1669" s="149"/>
      <c r="U1669" s="149"/>
      <c r="V1669" s="149"/>
      <c r="W1669" s="149"/>
      <c r="X1669" s="149"/>
      <c r="Y1669" s="149"/>
      <c r="Z1669" s="149"/>
      <c r="AA1669" s="149"/>
      <c r="AB1669" s="149"/>
      <c r="AC1669" s="149"/>
      <c r="AD1669" s="149"/>
      <c r="AE1669" s="149"/>
      <c r="AF1669" s="149"/>
      <c r="AG1669" s="149"/>
      <c r="AH1669" s="149"/>
      <c r="AI1669" s="149"/>
      <c r="AJ1669" s="149"/>
      <c r="AK1669" s="149"/>
      <c r="AL1669" s="149"/>
      <c r="AM1669" s="149"/>
      <c r="AN1669" s="149"/>
      <c r="AO1669" s="149"/>
      <c r="AP1669" s="149"/>
    </row>
    <row r="1670" ht="18.75" customHeight="1">
      <c r="A1670" s="149"/>
      <c r="B1670" s="149"/>
      <c r="C1670" s="304"/>
      <c r="D1670" s="149"/>
      <c r="E1670" s="149"/>
      <c r="F1670" s="149"/>
      <c r="G1670" s="149"/>
      <c r="H1670" s="149"/>
      <c r="I1670" s="149"/>
      <c r="J1670" s="149"/>
      <c r="K1670" s="149"/>
      <c r="L1670" s="149"/>
      <c r="M1670" s="149"/>
      <c r="N1670" s="149"/>
      <c r="O1670" s="149"/>
      <c r="P1670" s="149"/>
      <c r="Q1670" s="149"/>
      <c r="R1670" s="149"/>
      <c r="S1670" s="149"/>
      <c r="T1670" s="149"/>
      <c r="U1670" s="149"/>
      <c r="V1670" s="149"/>
      <c r="W1670" s="149"/>
      <c r="X1670" s="149"/>
      <c r="Y1670" s="149"/>
      <c r="Z1670" s="149"/>
      <c r="AA1670" s="149"/>
      <c r="AB1670" s="149"/>
      <c r="AC1670" s="149"/>
      <c r="AD1670" s="149"/>
      <c r="AE1670" s="149"/>
      <c r="AF1670" s="149"/>
      <c r="AG1670" s="149"/>
      <c r="AH1670" s="149"/>
      <c r="AI1670" s="149"/>
      <c r="AJ1670" s="149"/>
      <c r="AK1670" s="149"/>
      <c r="AL1670" s="149"/>
      <c r="AM1670" s="149"/>
      <c r="AN1670" s="149"/>
      <c r="AO1670" s="149"/>
      <c r="AP1670" s="149"/>
    </row>
    <row r="1671" ht="18.75" customHeight="1">
      <c r="A1671" s="149"/>
      <c r="B1671" s="149"/>
      <c r="C1671" s="304"/>
      <c r="D1671" s="149"/>
      <c r="E1671" s="149"/>
      <c r="F1671" s="149"/>
      <c r="G1671" s="149"/>
      <c r="H1671" s="149"/>
      <c r="I1671" s="149"/>
      <c r="J1671" s="149"/>
      <c r="K1671" s="149"/>
      <c r="L1671" s="149"/>
      <c r="M1671" s="149"/>
      <c r="N1671" s="149"/>
      <c r="O1671" s="149"/>
      <c r="P1671" s="149"/>
      <c r="Q1671" s="149"/>
      <c r="R1671" s="149"/>
      <c r="S1671" s="149"/>
      <c r="T1671" s="149"/>
      <c r="U1671" s="149"/>
      <c r="V1671" s="149"/>
      <c r="W1671" s="149"/>
      <c r="X1671" s="149"/>
      <c r="Y1671" s="149"/>
      <c r="Z1671" s="149"/>
      <c r="AA1671" s="149"/>
      <c r="AB1671" s="149"/>
      <c r="AC1671" s="149"/>
      <c r="AD1671" s="149"/>
      <c r="AE1671" s="149"/>
      <c r="AF1671" s="149"/>
      <c r="AG1671" s="149"/>
      <c r="AH1671" s="149"/>
      <c r="AI1671" s="149"/>
      <c r="AJ1671" s="149"/>
      <c r="AK1671" s="149"/>
      <c r="AL1671" s="149"/>
      <c r="AM1671" s="149"/>
      <c r="AN1671" s="149"/>
      <c r="AO1671" s="149"/>
      <c r="AP1671" s="149"/>
    </row>
    <row r="1672" ht="18.75" customHeight="1">
      <c r="A1672" s="149"/>
      <c r="B1672" s="149"/>
      <c r="C1672" s="304"/>
      <c r="D1672" s="149"/>
      <c r="E1672" s="149"/>
      <c r="F1672" s="149"/>
      <c r="G1672" s="149"/>
      <c r="H1672" s="149"/>
      <c r="I1672" s="149"/>
      <c r="J1672" s="149"/>
      <c r="K1672" s="149"/>
      <c r="L1672" s="149"/>
      <c r="M1672" s="149"/>
      <c r="N1672" s="149"/>
      <c r="O1672" s="149"/>
      <c r="P1672" s="149"/>
      <c r="Q1672" s="149"/>
      <c r="R1672" s="149"/>
      <c r="S1672" s="149"/>
      <c r="T1672" s="149"/>
      <c r="U1672" s="149"/>
      <c r="V1672" s="149"/>
      <c r="W1672" s="149"/>
      <c r="X1672" s="149"/>
      <c r="Y1672" s="149"/>
      <c r="Z1672" s="149"/>
      <c r="AA1672" s="149"/>
      <c r="AB1672" s="149"/>
      <c r="AC1672" s="149"/>
      <c r="AD1672" s="149"/>
      <c r="AE1672" s="149"/>
      <c r="AF1672" s="149"/>
      <c r="AG1672" s="149"/>
      <c r="AH1672" s="149"/>
      <c r="AI1672" s="149"/>
      <c r="AJ1672" s="149"/>
      <c r="AK1672" s="149"/>
      <c r="AL1672" s="149"/>
      <c r="AM1672" s="149"/>
      <c r="AN1672" s="149"/>
      <c r="AO1672" s="149"/>
      <c r="AP1672" s="149"/>
    </row>
    <row r="1673" ht="18.75" customHeight="1">
      <c r="A1673" s="149"/>
      <c r="B1673" s="149"/>
      <c r="C1673" s="304"/>
      <c r="D1673" s="149"/>
      <c r="E1673" s="149"/>
      <c r="F1673" s="149"/>
      <c r="G1673" s="149"/>
      <c r="H1673" s="149"/>
      <c r="I1673" s="149"/>
      <c r="J1673" s="149"/>
      <c r="K1673" s="149"/>
      <c r="L1673" s="149"/>
      <c r="M1673" s="149"/>
      <c r="N1673" s="149"/>
      <c r="O1673" s="149"/>
      <c r="P1673" s="149"/>
      <c r="Q1673" s="149"/>
      <c r="R1673" s="149"/>
      <c r="S1673" s="149"/>
      <c r="T1673" s="149"/>
      <c r="U1673" s="149"/>
      <c r="V1673" s="149"/>
      <c r="W1673" s="149"/>
      <c r="X1673" s="149"/>
      <c r="Y1673" s="149"/>
      <c r="Z1673" s="149"/>
      <c r="AA1673" s="149"/>
      <c r="AB1673" s="149"/>
      <c r="AC1673" s="149"/>
      <c r="AD1673" s="149"/>
      <c r="AE1673" s="149"/>
      <c r="AF1673" s="149"/>
      <c r="AG1673" s="149"/>
      <c r="AH1673" s="149"/>
      <c r="AI1673" s="149"/>
      <c r="AJ1673" s="149"/>
      <c r="AK1673" s="149"/>
      <c r="AL1673" s="149"/>
      <c r="AM1673" s="149"/>
      <c r="AN1673" s="149"/>
      <c r="AO1673" s="149"/>
      <c r="AP1673" s="149"/>
    </row>
    <row r="1674" ht="18.75" customHeight="1">
      <c r="A1674" s="149"/>
      <c r="B1674" s="149"/>
      <c r="C1674" s="304"/>
      <c r="D1674" s="149"/>
      <c r="E1674" s="149"/>
      <c r="F1674" s="149"/>
      <c r="G1674" s="149"/>
      <c r="H1674" s="149"/>
      <c r="I1674" s="149"/>
      <c r="J1674" s="149"/>
      <c r="K1674" s="149"/>
      <c r="L1674" s="149"/>
      <c r="M1674" s="149"/>
      <c r="N1674" s="149"/>
      <c r="O1674" s="149"/>
      <c r="P1674" s="149"/>
      <c r="Q1674" s="149"/>
      <c r="R1674" s="149"/>
      <c r="S1674" s="149"/>
      <c r="T1674" s="149"/>
      <c r="U1674" s="149"/>
      <c r="V1674" s="149"/>
      <c r="W1674" s="149"/>
      <c r="X1674" s="149"/>
      <c r="Y1674" s="149"/>
      <c r="Z1674" s="149"/>
      <c r="AA1674" s="149"/>
      <c r="AB1674" s="149"/>
      <c r="AC1674" s="149"/>
      <c r="AD1674" s="149"/>
      <c r="AE1674" s="149"/>
      <c r="AF1674" s="149"/>
      <c r="AG1674" s="149"/>
      <c r="AH1674" s="149"/>
      <c r="AI1674" s="149"/>
      <c r="AJ1674" s="149"/>
      <c r="AK1674" s="149"/>
      <c r="AL1674" s="149"/>
      <c r="AM1674" s="149"/>
      <c r="AN1674" s="149"/>
      <c r="AO1674" s="149"/>
      <c r="AP1674" s="149"/>
    </row>
    <row r="1675" ht="18.75" customHeight="1">
      <c r="A1675" s="149"/>
      <c r="B1675" s="149"/>
      <c r="C1675" s="304"/>
      <c r="D1675" s="149"/>
      <c r="E1675" s="149"/>
      <c r="F1675" s="149"/>
      <c r="G1675" s="149"/>
      <c r="H1675" s="149"/>
      <c r="I1675" s="149"/>
      <c r="J1675" s="149"/>
      <c r="K1675" s="149"/>
      <c r="L1675" s="149"/>
      <c r="M1675" s="149"/>
      <c r="N1675" s="149"/>
      <c r="O1675" s="149"/>
      <c r="P1675" s="149"/>
      <c r="Q1675" s="149"/>
      <c r="R1675" s="149"/>
      <c r="S1675" s="149"/>
      <c r="T1675" s="149"/>
      <c r="U1675" s="149"/>
      <c r="V1675" s="149"/>
      <c r="W1675" s="149"/>
      <c r="X1675" s="149"/>
      <c r="Y1675" s="149"/>
      <c r="Z1675" s="149"/>
      <c r="AA1675" s="149"/>
      <c r="AB1675" s="149"/>
      <c r="AC1675" s="149"/>
      <c r="AD1675" s="149"/>
      <c r="AE1675" s="149"/>
      <c r="AF1675" s="149"/>
      <c r="AG1675" s="149"/>
      <c r="AH1675" s="149"/>
      <c r="AI1675" s="149"/>
      <c r="AJ1675" s="149"/>
      <c r="AK1675" s="149"/>
      <c r="AL1675" s="149"/>
      <c r="AM1675" s="149"/>
      <c r="AN1675" s="149"/>
      <c r="AO1675" s="149"/>
      <c r="AP1675" s="149"/>
    </row>
    <row r="1676" ht="18.75" customHeight="1">
      <c r="A1676" s="149"/>
      <c r="B1676" s="149"/>
      <c r="C1676" s="304"/>
      <c r="D1676" s="149"/>
      <c r="E1676" s="149"/>
      <c r="F1676" s="149"/>
      <c r="G1676" s="149"/>
      <c r="H1676" s="149"/>
      <c r="I1676" s="149"/>
      <c r="J1676" s="149"/>
      <c r="K1676" s="149"/>
      <c r="L1676" s="149"/>
      <c r="M1676" s="149"/>
      <c r="N1676" s="149"/>
      <c r="O1676" s="149"/>
      <c r="P1676" s="149"/>
      <c r="Q1676" s="149"/>
      <c r="R1676" s="149"/>
      <c r="S1676" s="149"/>
      <c r="T1676" s="149"/>
      <c r="U1676" s="149"/>
      <c r="V1676" s="149"/>
      <c r="W1676" s="149"/>
      <c r="X1676" s="149"/>
      <c r="Y1676" s="149"/>
      <c r="Z1676" s="149"/>
      <c r="AA1676" s="149"/>
      <c r="AB1676" s="149"/>
      <c r="AC1676" s="149"/>
      <c r="AD1676" s="149"/>
      <c r="AE1676" s="149"/>
      <c r="AF1676" s="149"/>
      <c r="AG1676" s="149"/>
      <c r="AH1676" s="149"/>
      <c r="AI1676" s="149"/>
      <c r="AJ1676" s="149"/>
      <c r="AK1676" s="149"/>
      <c r="AL1676" s="149"/>
      <c r="AM1676" s="149"/>
      <c r="AN1676" s="149"/>
      <c r="AO1676" s="149"/>
      <c r="AP1676" s="149"/>
    </row>
    <row r="1677" ht="18.75" customHeight="1">
      <c r="A1677" s="149"/>
      <c r="B1677" s="149"/>
      <c r="C1677" s="304"/>
      <c r="D1677" s="149"/>
      <c r="E1677" s="149"/>
      <c r="F1677" s="149"/>
      <c r="G1677" s="149"/>
      <c r="H1677" s="149"/>
      <c r="I1677" s="149"/>
      <c r="J1677" s="149"/>
      <c r="K1677" s="149"/>
      <c r="L1677" s="149"/>
      <c r="M1677" s="149"/>
      <c r="N1677" s="149"/>
      <c r="O1677" s="149"/>
      <c r="P1677" s="149"/>
      <c r="Q1677" s="149"/>
      <c r="R1677" s="149"/>
      <c r="S1677" s="149"/>
      <c r="T1677" s="149"/>
      <c r="U1677" s="149"/>
      <c r="V1677" s="149"/>
      <c r="W1677" s="149"/>
      <c r="X1677" s="149"/>
      <c r="Y1677" s="149"/>
      <c r="Z1677" s="149"/>
      <c r="AA1677" s="149"/>
      <c r="AB1677" s="149"/>
      <c r="AC1677" s="149"/>
      <c r="AD1677" s="149"/>
      <c r="AE1677" s="149"/>
      <c r="AF1677" s="149"/>
      <c r="AG1677" s="149"/>
      <c r="AH1677" s="149"/>
      <c r="AI1677" s="149"/>
      <c r="AJ1677" s="149"/>
      <c r="AK1677" s="149"/>
      <c r="AL1677" s="149"/>
      <c r="AM1677" s="149"/>
      <c r="AN1677" s="149"/>
      <c r="AO1677" s="149"/>
      <c r="AP1677" s="149"/>
    </row>
    <row r="1678" ht="18.75" customHeight="1">
      <c r="A1678" s="149"/>
      <c r="B1678" s="149"/>
      <c r="C1678" s="304"/>
      <c r="D1678" s="149"/>
      <c r="E1678" s="149"/>
      <c r="F1678" s="149"/>
      <c r="G1678" s="149"/>
      <c r="H1678" s="149"/>
      <c r="I1678" s="149"/>
      <c r="J1678" s="149"/>
      <c r="K1678" s="149"/>
      <c r="L1678" s="149"/>
      <c r="M1678" s="149"/>
      <c r="N1678" s="149"/>
      <c r="O1678" s="149"/>
      <c r="P1678" s="149"/>
      <c r="Q1678" s="149"/>
      <c r="R1678" s="149"/>
      <c r="S1678" s="149"/>
      <c r="T1678" s="149"/>
      <c r="U1678" s="149"/>
      <c r="V1678" s="149"/>
      <c r="W1678" s="149"/>
      <c r="X1678" s="149"/>
      <c r="Y1678" s="149"/>
      <c r="Z1678" s="149"/>
      <c r="AA1678" s="149"/>
      <c r="AB1678" s="149"/>
      <c r="AC1678" s="149"/>
      <c r="AD1678" s="149"/>
      <c r="AE1678" s="149"/>
      <c r="AF1678" s="149"/>
      <c r="AG1678" s="149"/>
      <c r="AH1678" s="149"/>
      <c r="AI1678" s="149"/>
      <c r="AJ1678" s="149"/>
      <c r="AK1678" s="149"/>
      <c r="AL1678" s="149"/>
      <c r="AM1678" s="149"/>
      <c r="AN1678" s="149"/>
      <c r="AO1678" s="149"/>
      <c r="AP1678" s="149"/>
    </row>
    <row r="1679" ht="18.75" customHeight="1">
      <c r="A1679" s="149"/>
      <c r="B1679" s="149"/>
      <c r="C1679" s="304"/>
      <c r="D1679" s="149"/>
      <c r="E1679" s="149"/>
      <c r="F1679" s="149"/>
      <c r="G1679" s="149"/>
      <c r="H1679" s="149"/>
      <c r="I1679" s="149"/>
      <c r="J1679" s="149"/>
      <c r="K1679" s="149"/>
      <c r="L1679" s="149"/>
      <c r="M1679" s="149"/>
      <c r="N1679" s="149"/>
      <c r="O1679" s="149"/>
      <c r="P1679" s="149"/>
      <c r="Q1679" s="149"/>
      <c r="R1679" s="149"/>
      <c r="S1679" s="149"/>
      <c r="T1679" s="149"/>
      <c r="U1679" s="149"/>
      <c r="V1679" s="149"/>
      <c r="W1679" s="149"/>
      <c r="X1679" s="149"/>
      <c r="Y1679" s="149"/>
      <c r="Z1679" s="149"/>
      <c r="AA1679" s="149"/>
      <c r="AB1679" s="149"/>
      <c r="AC1679" s="149"/>
      <c r="AD1679" s="149"/>
      <c r="AE1679" s="149"/>
      <c r="AF1679" s="149"/>
      <c r="AG1679" s="149"/>
      <c r="AH1679" s="149"/>
      <c r="AI1679" s="149"/>
      <c r="AJ1679" s="149"/>
      <c r="AK1679" s="149"/>
      <c r="AL1679" s="149"/>
      <c r="AM1679" s="149"/>
      <c r="AN1679" s="149"/>
      <c r="AO1679" s="149"/>
      <c r="AP1679" s="149"/>
    </row>
    <row r="1680" ht="18.75" customHeight="1">
      <c r="A1680" s="149"/>
      <c r="B1680" s="149"/>
      <c r="C1680" s="304"/>
      <c r="D1680" s="149"/>
      <c r="E1680" s="149"/>
      <c r="F1680" s="149"/>
      <c r="G1680" s="149"/>
      <c r="H1680" s="149"/>
      <c r="I1680" s="149"/>
      <c r="J1680" s="149"/>
      <c r="K1680" s="149"/>
      <c r="L1680" s="149"/>
      <c r="M1680" s="149"/>
      <c r="N1680" s="149"/>
      <c r="O1680" s="149"/>
      <c r="P1680" s="149"/>
      <c r="Q1680" s="149"/>
      <c r="R1680" s="149"/>
      <c r="S1680" s="149"/>
      <c r="T1680" s="149"/>
      <c r="U1680" s="149"/>
      <c r="V1680" s="149"/>
      <c r="W1680" s="149"/>
      <c r="X1680" s="149"/>
      <c r="Y1680" s="149"/>
      <c r="Z1680" s="149"/>
      <c r="AA1680" s="149"/>
      <c r="AB1680" s="149"/>
      <c r="AC1680" s="149"/>
      <c r="AD1680" s="149"/>
      <c r="AE1680" s="149"/>
      <c r="AF1680" s="149"/>
      <c r="AG1680" s="149"/>
      <c r="AH1680" s="149"/>
      <c r="AI1680" s="149"/>
      <c r="AJ1680" s="149"/>
      <c r="AK1680" s="149"/>
      <c r="AL1680" s="149"/>
      <c r="AM1680" s="149"/>
      <c r="AN1680" s="149"/>
      <c r="AO1680" s="149"/>
      <c r="AP1680" s="149"/>
    </row>
    <row r="1681" ht="18.75" customHeight="1">
      <c r="A1681" s="149"/>
      <c r="B1681" s="149"/>
      <c r="C1681" s="304"/>
      <c r="D1681" s="149"/>
      <c r="E1681" s="149"/>
      <c r="F1681" s="149"/>
      <c r="G1681" s="149"/>
      <c r="H1681" s="149"/>
      <c r="I1681" s="149"/>
      <c r="J1681" s="149"/>
      <c r="K1681" s="149"/>
      <c r="L1681" s="149"/>
      <c r="M1681" s="149"/>
      <c r="N1681" s="149"/>
      <c r="O1681" s="149"/>
      <c r="P1681" s="149"/>
      <c r="Q1681" s="149"/>
      <c r="R1681" s="149"/>
      <c r="S1681" s="149"/>
      <c r="T1681" s="149"/>
      <c r="U1681" s="149"/>
      <c r="V1681" s="149"/>
      <c r="W1681" s="149"/>
      <c r="X1681" s="149"/>
      <c r="Y1681" s="149"/>
      <c r="Z1681" s="149"/>
      <c r="AA1681" s="149"/>
      <c r="AB1681" s="149"/>
      <c r="AC1681" s="149"/>
      <c r="AD1681" s="149"/>
      <c r="AE1681" s="149"/>
      <c r="AF1681" s="149"/>
      <c r="AG1681" s="149"/>
      <c r="AH1681" s="149"/>
      <c r="AI1681" s="149"/>
      <c r="AJ1681" s="149"/>
      <c r="AK1681" s="149"/>
      <c r="AL1681" s="149"/>
      <c r="AM1681" s="149"/>
      <c r="AN1681" s="149"/>
      <c r="AO1681" s="149"/>
      <c r="AP1681" s="149"/>
    </row>
    <row r="1682" ht="18.75" customHeight="1">
      <c r="A1682" s="149"/>
      <c r="B1682" s="149"/>
      <c r="C1682" s="304"/>
      <c r="D1682" s="149"/>
      <c r="E1682" s="149"/>
      <c r="F1682" s="149"/>
      <c r="G1682" s="149"/>
      <c r="H1682" s="149"/>
      <c r="I1682" s="149"/>
      <c r="J1682" s="149"/>
      <c r="K1682" s="149"/>
      <c r="L1682" s="149"/>
      <c r="M1682" s="149"/>
      <c r="N1682" s="149"/>
      <c r="O1682" s="149"/>
      <c r="P1682" s="149"/>
      <c r="Q1682" s="149"/>
      <c r="R1682" s="149"/>
      <c r="S1682" s="149"/>
      <c r="T1682" s="149"/>
      <c r="U1682" s="149"/>
      <c r="V1682" s="149"/>
      <c r="W1682" s="149"/>
      <c r="X1682" s="149"/>
      <c r="Y1682" s="149"/>
      <c r="Z1682" s="149"/>
      <c r="AA1682" s="149"/>
      <c r="AB1682" s="149"/>
      <c r="AC1682" s="149"/>
      <c r="AD1682" s="149"/>
      <c r="AE1682" s="149"/>
      <c r="AF1682" s="149"/>
      <c r="AG1682" s="149"/>
      <c r="AH1682" s="149"/>
      <c r="AI1682" s="149"/>
      <c r="AJ1682" s="149"/>
      <c r="AK1682" s="149"/>
      <c r="AL1682" s="149"/>
      <c r="AM1682" s="149"/>
      <c r="AN1682" s="149"/>
      <c r="AO1682" s="149"/>
      <c r="AP1682" s="149"/>
    </row>
    <row r="1683" ht="18.75" customHeight="1">
      <c r="A1683" s="149"/>
      <c r="B1683" s="149"/>
      <c r="C1683" s="304"/>
      <c r="D1683" s="149"/>
      <c r="E1683" s="149"/>
      <c r="F1683" s="149"/>
      <c r="G1683" s="149"/>
      <c r="H1683" s="149"/>
      <c r="I1683" s="149"/>
      <c r="J1683" s="149"/>
      <c r="K1683" s="149"/>
      <c r="L1683" s="149"/>
      <c r="M1683" s="149"/>
      <c r="N1683" s="149"/>
      <c r="O1683" s="149"/>
      <c r="P1683" s="149"/>
      <c r="Q1683" s="149"/>
      <c r="R1683" s="149"/>
      <c r="S1683" s="149"/>
      <c r="T1683" s="149"/>
      <c r="U1683" s="149"/>
      <c r="V1683" s="149"/>
      <c r="W1683" s="149"/>
      <c r="X1683" s="149"/>
      <c r="Y1683" s="149"/>
      <c r="Z1683" s="149"/>
      <c r="AA1683" s="149"/>
      <c r="AB1683" s="149"/>
      <c r="AC1683" s="149"/>
      <c r="AD1683" s="149"/>
      <c r="AE1683" s="149"/>
      <c r="AF1683" s="149"/>
      <c r="AG1683" s="149"/>
      <c r="AH1683" s="149"/>
      <c r="AI1683" s="149"/>
      <c r="AJ1683" s="149"/>
      <c r="AK1683" s="149"/>
      <c r="AL1683" s="149"/>
      <c r="AM1683" s="149"/>
      <c r="AN1683" s="149"/>
      <c r="AO1683" s="149"/>
      <c r="AP1683" s="149"/>
    </row>
    <row r="1684" ht="18.75" customHeight="1">
      <c r="A1684" s="149"/>
      <c r="B1684" s="149"/>
      <c r="C1684" s="304"/>
      <c r="D1684" s="149"/>
      <c r="E1684" s="149"/>
      <c r="F1684" s="149"/>
      <c r="G1684" s="149"/>
      <c r="H1684" s="149"/>
      <c r="I1684" s="149"/>
      <c r="J1684" s="149"/>
      <c r="K1684" s="149"/>
      <c r="L1684" s="149"/>
      <c r="M1684" s="149"/>
      <c r="N1684" s="149"/>
      <c r="O1684" s="149"/>
      <c r="P1684" s="149"/>
      <c r="Q1684" s="149"/>
      <c r="R1684" s="149"/>
      <c r="S1684" s="149"/>
      <c r="T1684" s="149"/>
      <c r="U1684" s="149"/>
      <c r="V1684" s="149"/>
      <c r="W1684" s="149"/>
      <c r="X1684" s="149"/>
      <c r="Y1684" s="149"/>
      <c r="Z1684" s="149"/>
      <c r="AA1684" s="149"/>
      <c r="AB1684" s="149"/>
      <c r="AC1684" s="149"/>
      <c r="AD1684" s="149"/>
      <c r="AE1684" s="149"/>
      <c r="AF1684" s="149"/>
      <c r="AG1684" s="149"/>
      <c r="AH1684" s="149"/>
      <c r="AI1684" s="149"/>
      <c r="AJ1684" s="149"/>
      <c r="AK1684" s="149"/>
      <c r="AL1684" s="149"/>
      <c r="AM1684" s="149"/>
      <c r="AN1684" s="149"/>
      <c r="AO1684" s="149"/>
      <c r="AP1684" s="149"/>
    </row>
    <row r="1685" ht="18.75" customHeight="1">
      <c r="A1685" s="149"/>
      <c r="B1685" s="149"/>
      <c r="C1685" s="304"/>
      <c r="D1685" s="149"/>
      <c r="E1685" s="149"/>
      <c r="F1685" s="149"/>
      <c r="G1685" s="149"/>
      <c r="H1685" s="149"/>
      <c r="I1685" s="149"/>
      <c r="J1685" s="149"/>
      <c r="K1685" s="149"/>
      <c r="L1685" s="149"/>
      <c r="M1685" s="149"/>
      <c r="N1685" s="149"/>
      <c r="O1685" s="149"/>
      <c r="P1685" s="149"/>
      <c r="Q1685" s="149"/>
      <c r="R1685" s="149"/>
      <c r="S1685" s="149"/>
      <c r="T1685" s="149"/>
      <c r="U1685" s="149"/>
      <c r="V1685" s="149"/>
      <c r="W1685" s="149"/>
      <c r="X1685" s="149"/>
      <c r="Y1685" s="149"/>
      <c r="Z1685" s="149"/>
      <c r="AA1685" s="149"/>
      <c r="AB1685" s="149"/>
      <c r="AC1685" s="149"/>
      <c r="AD1685" s="149"/>
      <c r="AE1685" s="149"/>
      <c r="AF1685" s="149"/>
      <c r="AG1685" s="149"/>
      <c r="AH1685" s="149"/>
      <c r="AI1685" s="149"/>
      <c r="AJ1685" s="149"/>
      <c r="AK1685" s="149"/>
      <c r="AL1685" s="149"/>
      <c r="AM1685" s="149"/>
      <c r="AN1685" s="149"/>
      <c r="AO1685" s="149"/>
      <c r="AP1685" s="149"/>
    </row>
    <row r="1686" ht="18.75" customHeight="1">
      <c r="A1686" s="149"/>
      <c r="B1686" s="149"/>
      <c r="C1686" s="304"/>
      <c r="D1686" s="149"/>
      <c r="E1686" s="149"/>
      <c r="F1686" s="149"/>
      <c r="G1686" s="149"/>
      <c r="H1686" s="149"/>
      <c r="I1686" s="149"/>
      <c r="J1686" s="149"/>
      <c r="K1686" s="149"/>
      <c r="L1686" s="149"/>
      <c r="M1686" s="149"/>
      <c r="N1686" s="149"/>
      <c r="O1686" s="149"/>
      <c r="P1686" s="149"/>
      <c r="Q1686" s="149"/>
      <c r="R1686" s="149"/>
      <c r="S1686" s="149"/>
      <c r="T1686" s="149"/>
      <c r="U1686" s="149"/>
      <c r="V1686" s="149"/>
      <c r="W1686" s="149"/>
      <c r="X1686" s="149"/>
      <c r="Y1686" s="149"/>
      <c r="Z1686" s="149"/>
      <c r="AA1686" s="149"/>
      <c r="AB1686" s="149"/>
      <c r="AC1686" s="149"/>
      <c r="AD1686" s="149"/>
      <c r="AE1686" s="149"/>
      <c r="AF1686" s="149"/>
      <c r="AG1686" s="149"/>
      <c r="AH1686" s="149"/>
      <c r="AI1686" s="149"/>
      <c r="AJ1686" s="149"/>
      <c r="AK1686" s="149"/>
      <c r="AL1686" s="149"/>
      <c r="AM1686" s="149"/>
      <c r="AN1686" s="149"/>
      <c r="AO1686" s="149"/>
      <c r="AP1686" s="149"/>
    </row>
    <row r="1687" ht="18.75" customHeight="1">
      <c r="A1687" s="149"/>
      <c r="B1687" s="149"/>
      <c r="C1687" s="304"/>
      <c r="D1687" s="149"/>
      <c r="E1687" s="149"/>
      <c r="F1687" s="149"/>
      <c r="G1687" s="149"/>
      <c r="H1687" s="149"/>
      <c r="I1687" s="149"/>
      <c r="J1687" s="149"/>
      <c r="K1687" s="149"/>
      <c r="L1687" s="149"/>
      <c r="M1687" s="149"/>
      <c r="N1687" s="149"/>
      <c r="O1687" s="149"/>
      <c r="P1687" s="149"/>
      <c r="Q1687" s="149"/>
      <c r="R1687" s="149"/>
      <c r="S1687" s="149"/>
      <c r="T1687" s="149"/>
      <c r="U1687" s="149"/>
      <c r="V1687" s="149"/>
      <c r="W1687" s="149"/>
      <c r="X1687" s="149"/>
      <c r="Y1687" s="149"/>
      <c r="Z1687" s="149"/>
      <c r="AA1687" s="149"/>
      <c r="AB1687" s="149"/>
      <c r="AC1687" s="149"/>
      <c r="AD1687" s="149"/>
      <c r="AE1687" s="149"/>
      <c r="AF1687" s="149"/>
      <c r="AG1687" s="149"/>
      <c r="AH1687" s="149"/>
      <c r="AI1687" s="149"/>
      <c r="AJ1687" s="149"/>
      <c r="AK1687" s="149"/>
      <c r="AL1687" s="149"/>
      <c r="AM1687" s="149"/>
      <c r="AN1687" s="149"/>
      <c r="AO1687" s="149"/>
      <c r="AP1687" s="149"/>
    </row>
    <row r="1688" ht="18.75" customHeight="1">
      <c r="A1688" s="149"/>
      <c r="B1688" s="149"/>
      <c r="C1688" s="304"/>
      <c r="D1688" s="149"/>
      <c r="E1688" s="149"/>
      <c r="F1688" s="149"/>
      <c r="G1688" s="149"/>
      <c r="H1688" s="149"/>
      <c r="I1688" s="149"/>
      <c r="J1688" s="149"/>
      <c r="K1688" s="149"/>
      <c r="L1688" s="149"/>
      <c r="M1688" s="149"/>
      <c r="N1688" s="149"/>
      <c r="O1688" s="149"/>
      <c r="P1688" s="149"/>
      <c r="Q1688" s="149"/>
      <c r="R1688" s="149"/>
      <c r="S1688" s="149"/>
      <c r="T1688" s="149"/>
      <c r="U1688" s="149"/>
      <c r="V1688" s="149"/>
      <c r="W1688" s="149"/>
      <c r="X1688" s="149"/>
      <c r="Y1688" s="149"/>
      <c r="Z1688" s="149"/>
      <c r="AA1688" s="149"/>
      <c r="AB1688" s="149"/>
      <c r="AC1688" s="149"/>
      <c r="AD1688" s="149"/>
      <c r="AE1688" s="149"/>
      <c r="AF1688" s="149"/>
      <c r="AG1688" s="149"/>
      <c r="AH1688" s="149"/>
      <c r="AI1688" s="149"/>
      <c r="AJ1688" s="149"/>
      <c r="AK1688" s="149"/>
      <c r="AL1688" s="149"/>
      <c r="AM1688" s="149"/>
      <c r="AN1688" s="149"/>
      <c r="AO1688" s="149"/>
      <c r="AP1688" s="149"/>
    </row>
    <row r="1689" ht="18.75" customHeight="1">
      <c r="A1689" s="149"/>
      <c r="B1689" s="149"/>
      <c r="C1689" s="304"/>
      <c r="D1689" s="149"/>
      <c r="E1689" s="149"/>
      <c r="F1689" s="149"/>
      <c r="G1689" s="149"/>
      <c r="H1689" s="149"/>
      <c r="I1689" s="149"/>
      <c r="J1689" s="149"/>
      <c r="K1689" s="149"/>
      <c r="L1689" s="149"/>
      <c r="M1689" s="149"/>
      <c r="N1689" s="149"/>
      <c r="O1689" s="149"/>
      <c r="P1689" s="149"/>
      <c r="Q1689" s="149"/>
      <c r="R1689" s="149"/>
      <c r="S1689" s="149"/>
      <c r="T1689" s="149"/>
      <c r="U1689" s="149"/>
      <c r="V1689" s="149"/>
      <c r="W1689" s="149"/>
      <c r="X1689" s="149"/>
      <c r="Y1689" s="149"/>
      <c r="Z1689" s="149"/>
      <c r="AA1689" s="149"/>
      <c r="AB1689" s="149"/>
      <c r="AC1689" s="149"/>
      <c r="AD1689" s="149"/>
      <c r="AE1689" s="149"/>
      <c r="AF1689" s="149"/>
      <c r="AG1689" s="149"/>
      <c r="AH1689" s="149"/>
      <c r="AI1689" s="149"/>
      <c r="AJ1689" s="149"/>
      <c r="AK1689" s="149"/>
      <c r="AL1689" s="149"/>
      <c r="AM1689" s="149"/>
      <c r="AN1689" s="149"/>
      <c r="AO1689" s="149"/>
      <c r="AP1689" s="149"/>
    </row>
    <row r="1690" ht="18.75" customHeight="1">
      <c r="A1690" s="149"/>
      <c r="B1690" s="149"/>
      <c r="C1690" s="304"/>
      <c r="D1690" s="149"/>
      <c r="E1690" s="149"/>
      <c r="F1690" s="149"/>
      <c r="G1690" s="149"/>
      <c r="H1690" s="149"/>
      <c r="I1690" s="149"/>
      <c r="J1690" s="149"/>
      <c r="K1690" s="149"/>
      <c r="L1690" s="149"/>
      <c r="M1690" s="149"/>
      <c r="N1690" s="149"/>
      <c r="O1690" s="149"/>
      <c r="P1690" s="149"/>
      <c r="Q1690" s="149"/>
      <c r="R1690" s="149"/>
      <c r="S1690" s="149"/>
      <c r="T1690" s="149"/>
      <c r="U1690" s="149"/>
      <c r="V1690" s="149"/>
      <c r="W1690" s="149"/>
      <c r="X1690" s="149"/>
      <c r="Y1690" s="149"/>
      <c r="Z1690" s="149"/>
      <c r="AA1690" s="149"/>
      <c r="AB1690" s="149"/>
      <c r="AC1690" s="149"/>
      <c r="AD1690" s="149"/>
      <c r="AE1690" s="149"/>
      <c r="AF1690" s="149"/>
      <c r="AG1690" s="149"/>
      <c r="AH1690" s="149"/>
      <c r="AI1690" s="149"/>
      <c r="AJ1690" s="149"/>
      <c r="AK1690" s="149"/>
      <c r="AL1690" s="149"/>
      <c r="AM1690" s="149"/>
      <c r="AN1690" s="149"/>
      <c r="AO1690" s="149"/>
      <c r="AP1690" s="149"/>
    </row>
    <row r="1691" ht="18.75" customHeight="1">
      <c r="A1691" s="149"/>
      <c r="B1691" s="149"/>
      <c r="C1691" s="304"/>
      <c r="D1691" s="149"/>
      <c r="E1691" s="149"/>
      <c r="F1691" s="149"/>
      <c r="G1691" s="149"/>
      <c r="H1691" s="149"/>
      <c r="I1691" s="149"/>
      <c r="J1691" s="149"/>
      <c r="K1691" s="149"/>
      <c r="L1691" s="149"/>
      <c r="M1691" s="149"/>
      <c r="N1691" s="149"/>
      <c r="O1691" s="149"/>
      <c r="P1691" s="149"/>
      <c r="Q1691" s="149"/>
      <c r="R1691" s="149"/>
      <c r="S1691" s="149"/>
      <c r="T1691" s="149"/>
      <c r="U1691" s="149"/>
      <c r="V1691" s="149"/>
      <c r="W1691" s="149"/>
      <c r="X1691" s="149"/>
      <c r="Y1691" s="149"/>
      <c r="Z1691" s="149"/>
      <c r="AA1691" s="149"/>
      <c r="AB1691" s="149"/>
      <c r="AC1691" s="149"/>
      <c r="AD1691" s="149"/>
      <c r="AE1691" s="149"/>
      <c r="AF1691" s="149"/>
      <c r="AG1691" s="149"/>
      <c r="AH1691" s="149"/>
      <c r="AI1691" s="149"/>
      <c r="AJ1691" s="149"/>
      <c r="AK1691" s="149"/>
      <c r="AL1691" s="149"/>
      <c r="AM1691" s="149"/>
      <c r="AN1691" s="149"/>
      <c r="AO1691" s="149"/>
      <c r="AP1691" s="149"/>
    </row>
    <row r="1692" ht="18.75" customHeight="1">
      <c r="A1692" s="149"/>
      <c r="B1692" s="149"/>
      <c r="C1692" s="304"/>
      <c r="D1692" s="149"/>
      <c r="E1692" s="149"/>
      <c r="F1692" s="149"/>
      <c r="G1692" s="149"/>
      <c r="H1692" s="149"/>
      <c r="I1692" s="149"/>
      <c r="J1692" s="149"/>
      <c r="K1692" s="149"/>
      <c r="L1692" s="149"/>
      <c r="M1692" s="149"/>
      <c r="N1692" s="149"/>
      <c r="O1692" s="149"/>
      <c r="P1692" s="149"/>
      <c r="Q1692" s="149"/>
      <c r="R1692" s="149"/>
      <c r="S1692" s="149"/>
      <c r="T1692" s="149"/>
      <c r="U1692" s="149"/>
      <c r="V1692" s="149"/>
      <c r="W1692" s="149"/>
      <c r="X1692" s="149"/>
      <c r="Y1692" s="149"/>
      <c r="Z1692" s="149"/>
      <c r="AA1692" s="149"/>
      <c r="AB1692" s="149"/>
      <c r="AC1692" s="149"/>
      <c r="AD1692" s="149"/>
      <c r="AE1692" s="149"/>
      <c r="AF1692" s="149"/>
      <c r="AG1692" s="149"/>
      <c r="AH1692" s="149"/>
      <c r="AI1692" s="149"/>
      <c r="AJ1692" s="149"/>
      <c r="AK1692" s="149"/>
      <c r="AL1692" s="149"/>
      <c r="AM1692" s="149"/>
      <c r="AN1692" s="149"/>
      <c r="AO1692" s="149"/>
      <c r="AP1692" s="149"/>
    </row>
    <row r="1693" ht="18.75" customHeight="1">
      <c r="A1693" s="149"/>
      <c r="B1693" s="149"/>
      <c r="C1693" s="304"/>
      <c r="D1693" s="149"/>
      <c r="E1693" s="149"/>
      <c r="F1693" s="149"/>
      <c r="G1693" s="149"/>
      <c r="H1693" s="149"/>
      <c r="I1693" s="149"/>
      <c r="J1693" s="149"/>
      <c r="K1693" s="149"/>
      <c r="L1693" s="149"/>
      <c r="M1693" s="149"/>
      <c r="N1693" s="149"/>
      <c r="O1693" s="149"/>
      <c r="P1693" s="149"/>
      <c r="Q1693" s="149"/>
      <c r="R1693" s="149"/>
      <c r="S1693" s="149"/>
      <c r="T1693" s="149"/>
      <c r="U1693" s="149"/>
      <c r="V1693" s="149"/>
      <c r="W1693" s="149"/>
      <c r="X1693" s="149"/>
      <c r="Y1693" s="149"/>
      <c r="Z1693" s="149"/>
      <c r="AA1693" s="149"/>
      <c r="AB1693" s="149"/>
      <c r="AC1693" s="149"/>
      <c r="AD1693" s="149"/>
      <c r="AE1693" s="149"/>
      <c r="AF1693" s="149"/>
      <c r="AG1693" s="149"/>
      <c r="AH1693" s="149"/>
      <c r="AI1693" s="149"/>
      <c r="AJ1693" s="149"/>
      <c r="AK1693" s="149"/>
      <c r="AL1693" s="149"/>
      <c r="AM1693" s="149"/>
      <c r="AN1693" s="149"/>
      <c r="AO1693" s="149"/>
      <c r="AP1693" s="149"/>
    </row>
    <row r="1694" ht="18.75" customHeight="1">
      <c r="A1694" s="149"/>
      <c r="B1694" s="149"/>
      <c r="C1694" s="304"/>
      <c r="D1694" s="149"/>
      <c r="E1694" s="149"/>
      <c r="F1694" s="149"/>
      <c r="G1694" s="149"/>
      <c r="H1694" s="149"/>
      <c r="I1694" s="149"/>
      <c r="J1694" s="149"/>
      <c r="K1694" s="149"/>
      <c r="L1694" s="149"/>
      <c r="M1694" s="149"/>
      <c r="N1694" s="149"/>
      <c r="O1694" s="149"/>
      <c r="P1694" s="149"/>
      <c r="Q1694" s="149"/>
      <c r="R1694" s="149"/>
      <c r="S1694" s="149"/>
      <c r="T1694" s="149"/>
      <c r="U1694" s="149"/>
      <c r="V1694" s="149"/>
      <c r="W1694" s="149"/>
      <c r="X1694" s="149"/>
      <c r="Y1694" s="149"/>
      <c r="Z1694" s="149"/>
      <c r="AA1694" s="149"/>
      <c r="AB1694" s="149"/>
      <c r="AC1694" s="149"/>
      <c r="AD1694" s="149"/>
      <c r="AE1694" s="149"/>
      <c r="AF1694" s="149"/>
      <c r="AG1694" s="149"/>
      <c r="AH1694" s="149"/>
      <c r="AI1694" s="149"/>
      <c r="AJ1694" s="149"/>
      <c r="AK1694" s="149"/>
      <c r="AL1694" s="149"/>
      <c r="AM1694" s="149"/>
      <c r="AN1694" s="149"/>
      <c r="AO1694" s="149"/>
      <c r="AP1694" s="149"/>
    </row>
    <row r="1695" ht="18.75" customHeight="1">
      <c r="A1695" s="149"/>
      <c r="B1695" s="149"/>
      <c r="C1695" s="304"/>
      <c r="D1695" s="149"/>
      <c r="E1695" s="149"/>
      <c r="F1695" s="149"/>
      <c r="G1695" s="149"/>
      <c r="H1695" s="149"/>
      <c r="I1695" s="149"/>
      <c r="J1695" s="149"/>
      <c r="K1695" s="149"/>
      <c r="L1695" s="149"/>
      <c r="M1695" s="149"/>
      <c r="N1695" s="149"/>
      <c r="O1695" s="149"/>
      <c r="P1695" s="149"/>
      <c r="Q1695" s="149"/>
      <c r="R1695" s="149"/>
      <c r="S1695" s="149"/>
      <c r="T1695" s="149"/>
      <c r="U1695" s="149"/>
      <c r="V1695" s="149"/>
      <c r="W1695" s="149"/>
      <c r="X1695" s="149"/>
      <c r="Y1695" s="149"/>
      <c r="Z1695" s="149"/>
      <c r="AA1695" s="149"/>
      <c r="AB1695" s="149"/>
      <c r="AC1695" s="149"/>
      <c r="AD1695" s="149"/>
      <c r="AE1695" s="149"/>
      <c r="AF1695" s="149"/>
      <c r="AG1695" s="149"/>
      <c r="AH1695" s="149"/>
      <c r="AI1695" s="149"/>
      <c r="AJ1695" s="149"/>
      <c r="AK1695" s="149"/>
      <c r="AL1695" s="149"/>
      <c r="AM1695" s="149"/>
      <c r="AN1695" s="149"/>
      <c r="AO1695" s="149"/>
      <c r="AP1695" s="149"/>
    </row>
    <row r="1696" ht="18.75" customHeight="1">
      <c r="A1696" s="149"/>
      <c r="B1696" s="149"/>
      <c r="C1696" s="304"/>
      <c r="D1696" s="149"/>
      <c r="E1696" s="149"/>
      <c r="F1696" s="149"/>
      <c r="G1696" s="149"/>
      <c r="H1696" s="149"/>
      <c r="I1696" s="149"/>
      <c r="J1696" s="149"/>
      <c r="K1696" s="149"/>
      <c r="L1696" s="149"/>
      <c r="M1696" s="149"/>
      <c r="N1696" s="149"/>
      <c r="O1696" s="149"/>
      <c r="P1696" s="149"/>
      <c r="Q1696" s="149"/>
      <c r="R1696" s="149"/>
      <c r="S1696" s="149"/>
      <c r="T1696" s="149"/>
      <c r="U1696" s="149"/>
      <c r="V1696" s="149"/>
      <c r="W1696" s="149"/>
      <c r="X1696" s="149"/>
      <c r="Y1696" s="149"/>
      <c r="Z1696" s="149"/>
      <c r="AA1696" s="149"/>
      <c r="AB1696" s="149"/>
      <c r="AC1696" s="149"/>
      <c r="AD1696" s="149"/>
      <c r="AE1696" s="149"/>
      <c r="AF1696" s="149"/>
      <c r="AG1696" s="149"/>
      <c r="AH1696" s="149"/>
      <c r="AI1696" s="149"/>
      <c r="AJ1696" s="149"/>
      <c r="AK1696" s="149"/>
      <c r="AL1696" s="149"/>
      <c r="AM1696" s="149"/>
      <c r="AN1696" s="149"/>
      <c r="AO1696" s="149"/>
      <c r="AP1696" s="149"/>
    </row>
    <row r="1697" ht="18.75" customHeight="1">
      <c r="A1697" s="149"/>
      <c r="B1697" s="149"/>
      <c r="C1697" s="304"/>
      <c r="D1697" s="149"/>
      <c r="E1697" s="149"/>
      <c r="F1697" s="149"/>
      <c r="G1697" s="149"/>
      <c r="H1697" s="149"/>
      <c r="I1697" s="149"/>
      <c r="J1697" s="149"/>
      <c r="K1697" s="149"/>
      <c r="L1697" s="149"/>
      <c r="M1697" s="149"/>
      <c r="N1697" s="149"/>
      <c r="O1697" s="149"/>
      <c r="P1697" s="149"/>
      <c r="Q1697" s="149"/>
      <c r="R1697" s="149"/>
      <c r="S1697" s="149"/>
      <c r="T1697" s="149"/>
      <c r="U1697" s="149"/>
      <c r="V1697" s="149"/>
      <c r="W1697" s="149"/>
      <c r="X1697" s="149"/>
      <c r="Y1697" s="149"/>
      <c r="Z1697" s="149"/>
      <c r="AA1697" s="149"/>
      <c r="AB1697" s="149"/>
      <c r="AC1697" s="149"/>
      <c r="AD1697" s="149"/>
      <c r="AE1697" s="149"/>
      <c r="AF1697" s="149"/>
      <c r="AG1697" s="149"/>
      <c r="AH1697" s="149"/>
      <c r="AI1697" s="149"/>
      <c r="AJ1697" s="149"/>
      <c r="AK1697" s="149"/>
      <c r="AL1697" s="149"/>
      <c r="AM1697" s="149"/>
      <c r="AN1697" s="149"/>
      <c r="AO1697" s="149"/>
      <c r="AP1697" s="149"/>
    </row>
    <row r="1698" ht="18.75" customHeight="1">
      <c r="A1698" s="149"/>
      <c r="B1698" s="149"/>
      <c r="C1698" s="304"/>
      <c r="D1698" s="149"/>
      <c r="E1698" s="149"/>
      <c r="F1698" s="149"/>
      <c r="G1698" s="149"/>
      <c r="H1698" s="149"/>
      <c r="I1698" s="149"/>
      <c r="J1698" s="149"/>
      <c r="K1698" s="149"/>
      <c r="L1698" s="149"/>
      <c r="M1698" s="149"/>
      <c r="N1698" s="149"/>
      <c r="O1698" s="149"/>
      <c r="P1698" s="149"/>
      <c r="Q1698" s="149"/>
      <c r="R1698" s="149"/>
      <c r="S1698" s="149"/>
      <c r="T1698" s="149"/>
      <c r="U1698" s="149"/>
      <c r="V1698" s="149"/>
      <c r="W1698" s="149"/>
      <c r="X1698" s="149"/>
      <c r="Y1698" s="149"/>
      <c r="Z1698" s="149"/>
      <c r="AA1698" s="149"/>
      <c r="AB1698" s="149"/>
      <c r="AC1698" s="149"/>
      <c r="AD1698" s="149"/>
      <c r="AE1698" s="149"/>
      <c r="AF1698" s="149"/>
      <c r="AG1698" s="149"/>
      <c r="AH1698" s="149"/>
      <c r="AI1698" s="149"/>
      <c r="AJ1698" s="149"/>
      <c r="AK1698" s="149"/>
      <c r="AL1698" s="149"/>
      <c r="AM1698" s="149"/>
      <c r="AN1698" s="149"/>
      <c r="AO1698" s="149"/>
      <c r="AP1698" s="149"/>
    </row>
    <row r="1699" ht="18.75" customHeight="1">
      <c r="A1699" s="149"/>
      <c r="B1699" s="149"/>
      <c r="C1699" s="304"/>
      <c r="D1699" s="149"/>
      <c r="E1699" s="149"/>
      <c r="F1699" s="149"/>
      <c r="G1699" s="149"/>
      <c r="H1699" s="149"/>
      <c r="I1699" s="149"/>
      <c r="J1699" s="149"/>
      <c r="K1699" s="149"/>
      <c r="L1699" s="149"/>
      <c r="M1699" s="149"/>
      <c r="N1699" s="149"/>
      <c r="O1699" s="149"/>
      <c r="P1699" s="149"/>
      <c r="Q1699" s="149"/>
      <c r="R1699" s="149"/>
      <c r="S1699" s="149"/>
      <c r="T1699" s="149"/>
      <c r="U1699" s="149"/>
      <c r="V1699" s="149"/>
      <c r="W1699" s="149"/>
      <c r="X1699" s="149"/>
      <c r="Y1699" s="149"/>
      <c r="Z1699" s="149"/>
      <c r="AA1699" s="149"/>
      <c r="AB1699" s="149"/>
      <c r="AC1699" s="149"/>
      <c r="AD1699" s="149"/>
      <c r="AE1699" s="149"/>
      <c r="AF1699" s="149"/>
      <c r="AG1699" s="149"/>
      <c r="AH1699" s="149"/>
      <c r="AI1699" s="149"/>
      <c r="AJ1699" s="149"/>
      <c r="AK1699" s="149"/>
      <c r="AL1699" s="149"/>
      <c r="AM1699" s="149"/>
      <c r="AN1699" s="149"/>
      <c r="AO1699" s="149"/>
      <c r="AP1699" s="149"/>
    </row>
    <row r="1700" ht="18.75" customHeight="1">
      <c r="A1700" s="149"/>
      <c r="B1700" s="149"/>
      <c r="C1700" s="304"/>
      <c r="D1700" s="149"/>
      <c r="E1700" s="149"/>
      <c r="F1700" s="149"/>
      <c r="G1700" s="149"/>
      <c r="H1700" s="149"/>
      <c r="I1700" s="149"/>
      <c r="J1700" s="149"/>
      <c r="K1700" s="149"/>
      <c r="L1700" s="149"/>
      <c r="M1700" s="149"/>
      <c r="N1700" s="149"/>
      <c r="O1700" s="149"/>
      <c r="P1700" s="149"/>
      <c r="Q1700" s="149"/>
      <c r="R1700" s="149"/>
      <c r="S1700" s="149"/>
      <c r="T1700" s="149"/>
      <c r="U1700" s="149"/>
      <c r="V1700" s="149"/>
      <c r="W1700" s="149"/>
      <c r="X1700" s="149"/>
      <c r="Y1700" s="149"/>
      <c r="Z1700" s="149"/>
      <c r="AA1700" s="149"/>
      <c r="AB1700" s="149"/>
      <c r="AC1700" s="149"/>
      <c r="AD1700" s="149"/>
      <c r="AE1700" s="149"/>
      <c r="AF1700" s="149"/>
      <c r="AG1700" s="149"/>
      <c r="AH1700" s="149"/>
      <c r="AI1700" s="149"/>
      <c r="AJ1700" s="149"/>
      <c r="AK1700" s="149"/>
      <c r="AL1700" s="149"/>
      <c r="AM1700" s="149"/>
      <c r="AN1700" s="149"/>
      <c r="AO1700" s="149"/>
      <c r="AP1700" s="149"/>
    </row>
    <row r="1701" ht="18.75" customHeight="1">
      <c r="A1701" s="149"/>
      <c r="B1701" s="149"/>
      <c r="C1701" s="304"/>
      <c r="D1701" s="149"/>
      <c r="E1701" s="149"/>
      <c r="F1701" s="149"/>
      <c r="G1701" s="149"/>
      <c r="H1701" s="149"/>
      <c r="I1701" s="149"/>
      <c r="J1701" s="149"/>
      <c r="K1701" s="149"/>
      <c r="L1701" s="149"/>
      <c r="M1701" s="149"/>
      <c r="N1701" s="149"/>
      <c r="O1701" s="149"/>
      <c r="P1701" s="149"/>
      <c r="Q1701" s="149"/>
      <c r="R1701" s="149"/>
      <c r="S1701" s="149"/>
      <c r="T1701" s="149"/>
      <c r="U1701" s="149"/>
      <c r="V1701" s="149"/>
      <c r="W1701" s="149"/>
      <c r="X1701" s="149"/>
      <c r="Y1701" s="149"/>
      <c r="Z1701" s="149"/>
      <c r="AA1701" s="149"/>
      <c r="AB1701" s="149"/>
      <c r="AC1701" s="149"/>
      <c r="AD1701" s="149"/>
      <c r="AE1701" s="149"/>
      <c r="AF1701" s="149"/>
      <c r="AG1701" s="149"/>
      <c r="AH1701" s="149"/>
      <c r="AI1701" s="149"/>
      <c r="AJ1701" s="149"/>
      <c r="AK1701" s="149"/>
      <c r="AL1701" s="149"/>
      <c r="AM1701" s="149"/>
      <c r="AN1701" s="149"/>
      <c r="AO1701" s="149"/>
      <c r="AP1701" s="149"/>
    </row>
    <row r="1702" ht="18.75" customHeight="1">
      <c r="A1702" s="149"/>
      <c r="B1702" s="149"/>
      <c r="C1702" s="304"/>
      <c r="D1702" s="149"/>
      <c r="E1702" s="149"/>
      <c r="F1702" s="149"/>
      <c r="G1702" s="149"/>
      <c r="H1702" s="149"/>
      <c r="I1702" s="149"/>
      <c r="J1702" s="149"/>
      <c r="K1702" s="149"/>
      <c r="L1702" s="149"/>
      <c r="M1702" s="149"/>
      <c r="N1702" s="149"/>
      <c r="O1702" s="149"/>
      <c r="P1702" s="149"/>
      <c r="Q1702" s="149"/>
      <c r="R1702" s="149"/>
      <c r="S1702" s="149"/>
      <c r="T1702" s="149"/>
      <c r="U1702" s="149"/>
      <c r="V1702" s="149"/>
      <c r="W1702" s="149"/>
      <c r="X1702" s="149"/>
      <c r="Y1702" s="149"/>
      <c r="Z1702" s="149"/>
      <c r="AA1702" s="149"/>
      <c r="AB1702" s="149"/>
      <c r="AC1702" s="149"/>
      <c r="AD1702" s="149"/>
      <c r="AE1702" s="149"/>
      <c r="AF1702" s="149"/>
      <c r="AG1702" s="149"/>
      <c r="AH1702" s="149"/>
      <c r="AI1702" s="149"/>
      <c r="AJ1702" s="149"/>
      <c r="AK1702" s="149"/>
      <c r="AL1702" s="149"/>
      <c r="AM1702" s="149"/>
      <c r="AN1702" s="149"/>
      <c r="AO1702" s="149"/>
      <c r="AP1702" s="149"/>
    </row>
    <row r="1703" ht="18.75" customHeight="1">
      <c r="A1703" s="149"/>
      <c r="B1703" s="149"/>
      <c r="C1703" s="304"/>
      <c r="D1703" s="149"/>
      <c r="E1703" s="149"/>
      <c r="F1703" s="149"/>
      <c r="G1703" s="149"/>
      <c r="H1703" s="149"/>
      <c r="I1703" s="149"/>
      <c r="J1703" s="149"/>
      <c r="K1703" s="149"/>
      <c r="L1703" s="149"/>
      <c r="M1703" s="149"/>
      <c r="N1703" s="149"/>
      <c r="O1703" s="149"/>
      <c r="P1703" s="149"/>
      <c r="Q1703" s="149"/>
      <c r="R1703" s="149"/>
      <c r="S1703" s="149"/>
      <c r="T1703" s="149"/>
      <c r="U1703" s="149"/>
      <c r="V1703" s="149"/>
      <c r="W1703" s="149"/>
      <c r="X1703" s="149"/>
      <c r="Y1703" s="149"/>
      <c r="Z1703" s="149"/>
      <c r="AA1703" s="149"/>
      <c r="AB1703" s="149"/>
      <c r="AC1703" s="149"/>
      <c r="AD1703" s="149"/>
      <c r="AE1703" s="149"/>
      <c r="AF1703" s="149"/>
      <c r="AG1703" s="149"/>
      <c r="AH1703" s="149"/>
      <c r="AI1703" s="149"/>
      <c r="AJ1703" s="149"/>
      <c r="AK1703" s="149"/>
      <c r="AL1703" s="149"/>
      <c r="AM1703" s="149"/>
      <c r="AN1703" s="149"/>
      <c r="AO1703" s="149"/>
      <c r="AP1703" s="149"/>
    </row>
    <row r="1704" ht="18.75" customHeight="1">
      <c r="A1704" s="149"/>
      <c r="B1704" s="149"/>
      <c r="C1704" s="304"/>
      <c r="D1704" s="149"/>
      <c r="E1704" s="149"/>
      <c r="F1704" s="149"/>
      <c r="G1704" s="149"/>
      <c r="H1704" s="149"/>
      <c r="I1704" s="149"/>
      <c r="J1704" s="149"/>
      <c r="K1704" s="149"/>
      <c r="L1704" s="149"/>
      <c r="M1704" s="149"/>
      <c r="N1704" s="149"/>
      <c r="O1704" s="149"/>
      <c r="P1704" s="149"/>
      <c r="Q1704" s="149"/>
      <c r="R1704" s="149"/>
      <c r="S1704" s="149"/>
      <c r="T1704" s="149"/>
      <c r="U1704" s="149"/>
      <c r="V1704" s="149"/>
      <c r="W1704" s="149"/>
      <c r="X1704" s="149"/>
      <c r="Y1704" s="149"/>
      <c r="Z1704" s="149"/>
      <c r="AA1704" s="149"/>
      <c r="AB1704" s="149"/>
      <c r="AC1704" s="149"/>
      <c r="AD1704" s="149"/>
      <c r="AE1704" s="149"/>
      <c r="AF1704" s="149"/>
      <c r="AG1704" s="149"/>
      <c r="AH1704" s="149"/>
      <c r="AI1704" s="149"/>
      <c r="AJ1704" s="149"/>
      <c r="AK1704" s="149"/>
      <c r="AL1704" s="149"/>
      <c r="AM1704" s="149"/>
      <c r="AN1704" s="149"/>
      <c r="AO1704" s="149"/>
      <c r="AP1704" s="149"/>
    </row>
    <row r="1705" ht="18.75" customHeight="1">
      <c r="A1705" s="149"/>
      <c r="B1705" s="149"/>
      <c r="C1705" s="304"/>
      <c r="D1705" s="149"/>
      <c r="E1705" s="149"/>
      <c r="F1705" s="149"/>
      <c r="G1705" s="149"/>
      <c r="H1705" s="149"/>
      <c r="I1705" s="149"/>
      <c r="J1705" s="149"/>
      <c r="K1705" s="149"/>
      <c r="L1705" s="149"/>
      <c r="M1705" s="149"/>
      <c r="N1705" s="149"/>
      <c r="O1705" s="149"/>
      <c r="P1705" s="149"/>
      <c r="Q1705" s="149"/>
      <c r="R1705" s="149"/>
      <c r="S1705" s="149"/>
      <c r="T1705" s="149"/>
      <c r="U1705" s="149"/>
      <c r="V1705" s="149"/>
      <c r="W1705" s="149"/>
      <c r="X1705" s="149"/>
      <c r="Y1705" s="149"/>
      <c r="Z1705" s="149"/>
      <c r="AA1705" s="149"/>
      <c r="AB1705" s="149"/>
      <c r="AC1705" s="149"/>
      <c r="AD1705" s="149"/>
      <c r="AE1705" s="149"/>
      <c r="AF1705" s="149"/>
      <c r="AG1705" s="149"/>
      <c r="AH1705" s="149"/>
      <c r="AI1705" s="149"/>
      <c r="AJ1705" s="149"/>
      <c r="AK1705" s="149"/>
      <c r="AL1705" s="149"/>
      <c r="AM1705" s="149"/>
      <c r="AN1705" s="149"/>
      <c r="AO1705" s="149"/>
      <c r="AP1705" s="149"/>
    </row>
    <row r="1706" ht="18.75" customHeight="1">
      <c r="A1706" s="149"/>
      <c r="B1706" s="149"/>
      <c r="C1706" s="304"/>
      <c r="D1706" s="149"/>
      <c r="E1706" s="149"/>
      <c r="F1706" s="149"/>
      <c r="G1706" s="149"/>
      <c r="H1706" s="149"/>
      <c r="I1706" s="149"/>
      <c r="J1706" s="149"/>
      <c r="K1706" s="149"/>
      <c r="L1706" s="149"/>
      <c r="M1706" s="149"/>
      <c r="N1706" s="149"/>
      <c r="O1706" s="149"/>
      <c r="P1706" s="149"/>
      <c r="Q1706" s="149"/>
      <c r="R1706" s="149"/>
      <c r="S1706" s="149"/>
      <c r="T1706" s="149"/>
      <c r="U1706" s="149"/>
      <c r="V1706" s="149"/>
      <c r="W1706" s="149"/>
      <c r="X1706" s="149"/>
      <c r="Y1706" s="149"/>
      <c r="Z1706" s="149"/>
      <c r="AA1706" s="149"/>
      <c r="AB1706" s="149"/>
      <c r="AC1706" s="149"/>
      <c r="AD1706" s="149"/>
      <c r="AE1706" s="149"/>
      <c r="AF1706" s="149"/>
      <c r="AG1706" s="149"/>
      <c r="AH1706" s="149"/>
      <c r="AI1706" s="149"/>
      <c r="AJ1706" s="149"/>
      <c r="AK1706" s="149"/>
      <c r="AL1706" s="149"/>
      <c r="AM1706" s="149"/>
      <c r="AN1706" s="149"/>
      <c r="AO1706" s="149"/>
      <c r="AP1706" s="149"/>
    </row>
    <row r="1707" ht="18.75" customHeight="1">
      <c r="A1707" s="149"/>
      <c r="B1707" s="149"/>
      <c r="C1707" s="304"/>
      <c r="D1707" s="149"/>
      <c r="E1707" s="149"/>
      <c r="F1707" s="149"/>
      <c r="G1707" s="149"/>
      <c r="H1707" s="149"/>
      <c r="I1707" s="149"/>
      <c r="J1707" s="149"/>
      <c r="K1707" s="149"/>
      <c r="L1707" s="149"/>
      <c r="M1707" s="149"/>
      <c r="N1707" s="149"/>
      <c r="O1707" s="149"/>
      <c r="P1707" s="149"/>
      <c r="Q1707" s="149"/>
      <c r="R1707" s="149"/>
      <c r="S1707" s="149"/>
      <c r="T1707" s="149"/>
      <c r="U1707" s="149"/>
      <c r="V1707" s="149"/>
      <c r="W1707" s="149"/>
      <c r="X1707" s="149"/>
      <c r="Y1707" s="149"/>
      <c r="Z1707" s="149"/>
      <c r="AA1707" s="149"/>
      <c r="AB1707" s="149"/>
      <c r="AC1707" s="149"/>
      <c r="AD1707" s="149"/>
      <c r="AE1707" s="149"/>
      <c r="AF1707" s="149"/>
      <c r="AG1707" s="149"/>
      <c r="AH1707" s="149"/>
      <c r="AI1707" s="149"/>
      <c r="AJ1707" s="149"/>
      <c r="AK1707" s="149"/>
      <c r="AL1707" s="149"/>
      <c r="AM1707" s="149"/>
      <c r="AN1707" s="149"/>
      <c r="AO1707" s="149"/>
      <c r="AP1707" s="149"/>
    </row>
    <row r="1708" ht="18.75" customHeight="1">
      <c r="A1708" s="149"/>
      <c r="B1708" s="149"/>
      <c r="C1708" s="304"/>
      <c r="D1708" s="149"/>
      <c r="E1708" s="149"/>
      <c r="F1708" s="149"/>
      <c r="G1708" s="149"/>
      <c r="H1708" s="149"/>
      <c r="I1708" s="149"/>
      <c r="J1708" s="149"/>
      <c r="K1708" s="149"/>
      <c r="L1708" s="149"/>
      <c r="M1708" s="149"/>
      <c r="N1708" s="149"/>
      <c r="O1708" s="149"/>
      <c r="P1708" s="149"/>
      <c r="Q1708" s="149"/>
      <c r="R1708" s="149"/>
      <c r="S1708" s="149"/>
      <c r="T1708" s="149"/>
      <c r="U1708" s="149"/>
      <c r="V1708" s="149"/>
      <c r="W1708" s="149"/>
      <c r="X1708" s="149"/>
      <c r="Y1708" s="149"/>
      <c r="Z1708" s="149"/>
      <c r="AA1708" s="149"/>
      <c r="AB1708" s="149"/>
      <c r="AC1708" s="149"/>
      <c r="AD1708" s="149"/>
      <c r="AE1708" s="149"/>
      <c r="AF1708" s="149"/>
      <c r="AG1708" s="149"/>
      <c r="AH1708" s="149"/>
      <c r="AI1708" s="149"/>
      <c r="AJ1708" s="149"/>
      <c r="AK1708" s="149"/>
      <c r="AL1708" s="149"/>
      <c r="AM1708" s="149"/>
      <c r="AN1708" s="149"/>
      <c r="AO1708" s="149"/>
      <c r="AP1708" s="149"/>
    </row>
    <row r="1709" ht="18.75" customHeight="1">
      <c r="A1709" s="149"/>
      <c r="B1709" s="149"/>
      <c r="C1709" s="304"/>
      <c r="D1709" s="149"/>
      <c r="E1709" s="149"/>
      <c r="F1709" s="149"/>
      <c r="G1709" s="149"/>
      <c r="H1709" s="149"/>
      <c r="I1709" s="149"/>
      <c r="J1709" s="149"/>
      <c r="K1709" s="149"/>
      <c r="L1709" s="149"/>
      <c r="M1709" s="149"/>
      <c r="N1709" s="149"/>
      <c r="O1709" s="149"/>
      <c r="P1709" s="149"/>
      <c r="Q1709" s="149"/>
      <c r="R1709" s="149"/>
      <c r="S1709" s="149"/>
      <c r="T1709" s="149"/>
      <c r="U1709" s="149"/>
      <c r="V1709" s="149"/>
      <c r="W1709" s="149"/>
      <c r="X1709" s="149"/>
      <c r="Y1709" s="149"/>
      <c r="Z1709" s="149"/>
      <c r="AA1709" s="149"/>
      <c r="AB1709" s="149"/>
      <c r="AC1709" s="149"/>
      <c r="AD1709" s="149"/>
      <c r="AE1709" s="149"/>
      <c r="AF1709" s="149"/>
      <c r="AG1709" s="149"/>
      <c r="AH1709" s="149"/>
      <c r="AI1709" s="149"/>
      <c r="AJ1709" s="149"/>
      <c r="AK1709" s="149"/>
      <c r="AL1709" s="149"/>
      <c r="AM1709" s="149"/>
      <c r="AN1709" s="149"/>
      <c r="AO1709" s="149"/>
      <c r="AP1709" s="149"/>
    </row>
    <row r="1710" ht="18.75" customHeight="1">
      <c r="A1710" s="149"/>
      <c r="B1710" s="149"/>
      <c r="C1710" s="304"/>
      <c r="D1710" s="149"/>
      <c r="E1710" s="149"/>
      <c r="F1710" s="149"/>
      <c r="G1710" s="149"/>
      <c r="H1710" s="149"/>
      <c r="I1710" s="149"/>
      <c r="J1710" s="149"/>
      <c r="K1710" s="149"/>
      <c r="L1710" s="149"/>
      <c r="M1710" s="149"/>
      <c r="N1710" s="149"/>
      <c r="O1710" s="149"/>
      <c r="P1710" s="149"/>
      <c r="Q1710" s="149"/>
      <c r="R1710" s="149"/>
      <c r="S1710" s="149"/>
      <c r="T1710" s="149"/>
      <c r="U1710" s="149"/>
      <c r="V1710" s="149"/>
      <c r="W1710" s="149"/>
      <c r="X1710" s="149"/>
      <c r="Y1710" s="149"/>
      <c r="Z1710" s="149"/>
      <c r="AA1710" s="149"/>
      <c r="AB1710" s="149"/>
      <c r="AC1710" s="149"/>
      <c r="AD1710" s="149"/>
      <c r="AE1710" s="149"/>
      <c r="AF1710" s="149"/>
      <c r="AG1710" s="149"/>
      <c r="AH1710" s="149"/>
      <c r="AI1710" s="149"/>
      <c r="AJ1710" s="149"/>
      <c r="AK1710" s="149"/>
      <c r="AL1710" s="149"/>
      <c r="AM1710" s="149"/>
      <c r="AN1710" s="149"/>
      <c r="AO1710" s="149"/>
      <c r="AP1710" s="149"/>
    </row>
    <row r="1711" ht="18.75" customHeight="1">
      <c r="A1711" s="149"/>
      <c r="B1711" s="149"/>
      <c r="C1711" s="304"/>
      <c r="D1711" s="149"/>
      <c r="E1711" s="149"/>
      <c r="F1711" s="149"/>
      <c r="G1711" s="149"/>
      <c r="H1711" s="149"/>
      <c r="I1711" s="149"/>
      <c r="J1711" s="149"/>
      <c r="K1711" s="149"/>
      <c r="L1711" s="149"/>
      <c r="M1711" s="149"/>
      <c r="N1711" s="149"/>
      <c r="O1711" s="149"/>
      <c r="P1711" s="149"/>
      <c r="Q1711" s="149"/>
      <c r="R1711" s="149"/>
      <c r="S1711" s="149"/>
      <c r="T1711" s="149"/>
      <c r="U1711" s="149"/>
      <c r="V1711" s="149"/>
      <c r="W1711" s="149"/>
      <c r="X1711" s="149"/>
      <c r="Y1711" s="149"/>
      <c r="Z1711" s="149"/>
      <c r="AA1711" s="149"/>
      <c r="AB1711" s="149"/>
      <c r="AC1711" s="149"/>
      <c r="AD1711" s="149"/>
      <c r="AE1711" s="149"/>
      <c r="AF1711" s="149"/>
      <c r="AG1711" s="149"/>
      <c r="AH1711" s="149"/>
      <c r="AI1711" s="149"/>
      <c r="AJ1711" s="149"/>
      <c r="AK1711" s="149"/>
      <c r="AL1711" s="149"/>
      <c r="AM1711" s="149"/>
      <c r="AN1711" s="149"/>
      <c r="AO1711" s="149"/>
      <c r="AP1711" s="149"/>
    </row>
    <row r="1712" ht="18.75" customHeight="1">
      <c r="A1712" s="149"/>
      <c r="B1712" s="149"/>
      <c r="C1712" s="304"/>
      <c r="D1712" s="149"/>
      <c r="E1712" s="149"/>
      <c r="F1712" s="149"/>
      <c r="G1712" s="149"/>
      <c r="H1712" s="149"/>
      <c r="I1712" s="149"/>
      <c r="J1712" s="149"/>
      <c r="K1712" s="149"/>
      <c r="L1712" s="149"/>
      <c r="M1712" s="149"/>
      <c r="N1712" s="149"/>
      <c r="O1712" s="149"/>
      <c r="P1712" s="149"/>
      <c r="Q1712" s="149"/>
      <c r="R1712" s="149"/>
      <c r="S1712" s="149"/>
      <c r="T1712" s="149"/>
      <c r="U1712" s="149"/>
      <c r="V1712" s="149"/>
      <c r="W1712" s="149"/>
      <c r="X1712" s="149"/>
      <c r="Y1712" s="149"/>
      <c r="Z1712" s="149"/>
      <c r="AA1712" s="149"/>
      <c r="AB1712" s="149"/>
      <c r="AC1712" s="149"/>
      <c r="AD1712" s="149"/>
      <c r="AE1712" s="149"/>
      <c r="AF1712" s="149"/>
      <c r="AG1712" s="149"/>
      <c r="AH1712" s="149"/>
      <c r="AI1712" s="149"/>
      <c r="AJ1712" s="149"/>
      <c r="AK1712" s="149"/>
      <c r="AL1712" s="149"/>
      <c r="AM1712" s="149"/>
      <c r="AN1712" s="149"/>
      <c r="AO1712" s="149"/>
      <c r="AP1712" s="149"/>
    </row>
    <row r="1713" ht="18.75" customHeight="1">
      <c r="A1713" s="149"/>
      <c r="B1713" s="149"/>
      <c r="C1713" s="304"/>
      <c r="D1713" s="149"/>
      <c r="E1713" s="149"/>
      <c r="F1713" s="149"/>
      <c r="G1713" s="149"/>
      <c r="H1713" s="149"/>
      <c r="I1713" s="149"/>
      <c r="J1713" s="149"/>
      <c r="K1713" s="149"/>
      <c r="L1713" s="149"/>
      <c r="M1713" s="149"/>
      <c r="N1713" s="149"/>
      <c r="O1713" s="149"/>
      <c r="P1713" s="149"/>
      <c r="Q1713" s="149"/>
      <c r="R1713" s="149"/>
      <c r="S1713" s="149"/>
      <c r="T1713" s="149"/>
      <c r="U1713" s="149"/>
      <c r="V1713" s="149"/>
      <c r="W1713" s="149"/>
      <c r="X1713" s="149"/>
      <c r="Y1713" s="149"/>
      <c r="Z1713" s="149"/>
      <c r="AA1713" s="149"/>
      <c r="AB1713" s="149"/>
      <c r="AC1713" s="149"/>
      <c r="AD1713" s="149"/>
      <c r="AE1713" s="149"/>
      <c r="AF1713" s="149"/>
      <c r="AG1713" s="149"/>
      <c r="AH1713" s="149"/>
      <c r="AI1713" s="149"/>
      <c r="AJ1713" s="149"/>
      <c r="AK1713" s="149"/>
      <c r="AL1713" s="149"/>
      <c r="AM1713" s="149"/>
      <c r="AN1713" s="149"/>
      <c r="AO1713" s="149"/>
      <c r="AP1713" s="149"/>
    </row>
    <row r="1714" ht="18.75" customHeight="1">
      <c r="A1714" s="149"/>
      <c r="B1714" s="149"/>
      <c r="C1714" s="304"/>
      <c r="D1714" s="149"/>
      <c r="E1714" s="149"/>
      <c r="F1714" s="149"/>
      <c r="G1714" s="149"/>
      <c r="H1714" s="149"/>
      <c r="I1714" s="149"/>
      <c r="J1714" s="149"/>
      <c r="K1714" s="149"/>
      <c r="L1714" s="149"/>
      <c r="M1714" s="149"/>
      <c r="N1714" s="149"/>
      <c r="O1714" s="149"/>
      <c r="P1714" s="149"/>
      <c r="Q1714" s="149"/>
      <c r="R1714" s="149"/>
      <c r="S1714" s="149"/>
      <c r="T1714" s="149"/>
      <c r="U1714" s="149"/>
      <c r="V1714" s="149"/>
      <c r="W1714" s="149"/>
      <c r="X1714" s="149"/>
      <c r="Y1714" s="149"/>
      <c r="Z1714" s="149"/>
      <c r="AA1714" s="149"/>
      <c r="AB1714" s="149"/>
      <c r="AC1714" s="149"/>
      <c r="AD1714" s="149"/>
      <c r="AE1714" s="149"/>
      <c r="AF1714" s="149"/>
      <c r="AG1714" s="149"/>
      <c r="AH1714" s="149"/>
      <c r="AI1714" s="149"/>
      <c r="AJ1714" s="149"/>
      <c r="AK1714" s="149"/>
      <c r="AL1714" s="149"/>
      <c r="AM1714" s="149"/>
      <c r="AN1714" s="149"/>
      <c r="AO1714" s="149"/>
      <c r="AP1714" s="149"/>
    </row>
    <row r="1715" ht="18.75" customHeight="1">
      <c r="A1715" s="149"/>
      <c r="B1715" s="149"/>
      <c r="C1715" s="304"/>
      <c r="D1715" s="149"/>
      <c r="E1715" s="149"/>
      <c r="F1715" s="149"/>
      <c r="G1715" s="149"/>
      <c r="H1715" s="149"/>
      <c r="I1715" s="149"/>
      <c r="J1715" s="149"/>
      <c r="K1715" s="149"/>
      <c r="L1715" s="149"/>
      <c r="M1715" s="149"/>
      <c r="N1715" s="149"/>
      <c r="O1715" s="149"/>
      <c r="P1715" s="149"/>
      <c r="Q1715" s="149"/>
      <c r="R1715" s="149"/>
      <c r="S1715" s="149"/>
      <c r="T1715" s="149"/>
      <c r="U1715" s="149"/>
      <c r="V1715" s="149"/>
      <c r="W1715" s="149"/>
      <c r="X1715" s="149"/>
      <c r="Y1715" s="149"/>
      <c r="Z1715" s="149"/>
      <c r="AA1715" s="149"/>
      <c r="AB1715" s="149"/>
      <c r="AC1715" s="149"/>
      <c r="AD1715" s="149"/>
      <c r="AE1715" s="149"/>
      <c r="AF1715" s="149"/>
      <c r="AG1715" s="149"/>
      <c r="AH1715" s="149"/>
      <c r="AI1715" s="149"/>
      <c r="AJ1715" s="149"/>
      <c r="AK1715" s="149"/>
      <c r="AL1715" s="149"/>
      <c r="AM1715" s="149"/>
      <c r="AN1715" s="149"/>
      <c r="AO1715" s="149"/>
      <c r="AP1715" s="149"/>
    </row>
    <row r="1716" ht="18.75" customHeight="1">
      <c r="A1716" s="149"/>
      <c r="B1716" s="149"/>
      <c r="C1716" s="304"/>
      <c r="D1716" s="149"/>
      <c r="E1716" s="149"/>
      <c r="F1716" s="149"/>
      <c r="G1716" s="149"/>
      <c r="H1716" s="149"/>
      <c r="I1716" s="149"/>
      <c r="J1716" s="149"/>
      <c r="K1716" s="149"/>
      <c r="L1716" s="149"/>
      <c r="M1716" s="149"/>
      <c r="N1716" s="149"/>
      <c r="O1716" s="149"/>
      <c r="P1716" s="149"/>
      <c r="Q1716" s="149"/>
      <c r="R1716" s="149"/>
      <c r="S1716" s="149"/>
      <c r="T1716" s="149"/>
      <c r="U1716" s="149"/>
      <c r="V1716" s="149"/>
      <c r="W1716" s="149"/>
      <c r="X1716" s="149"/>
      <c r="Y1716" s="149"/>
      <c r="Z1716" s="149"/>
      <c r="AA1716" s="149"/>
      <c r="AB1716" s="149"/>
      <c r="AC1716" s="149"/>
      <c r="AD1716" s="149"/>
      <c r="AE1716" s="149"/>
      <c r="AF1716" s="149"/>
      <c r="AG1716" s="149"/>
      <c r="AH1716" s="149"/>
      <c r="AI1716" s="149"/>
      <c r="AJ1716" s="149"/>
      <c r="AK1716" s="149"/>
      <c r="AL1716" s="149"/>
      <c r="AM1716" s="149"/>
      <c r="AN1716" s="149"/>
      <c r="AO1716" s="149"/>
      <c r="AP1716" s="149"/>
    </row>
    <row r="1717" ht="18.75" customHeight="1">
      <c r="A1717" s="149"/>
      <c r="B1717" s="149"/>
      <c r="C1717" s="304"/>
      <c r="D1717" s="149"/>
      <c r="E1717" s="149"/>
      <c r="F1717" s="149"/>
      <c r="G1717" s="149"/>
      <c r="H1717" s="149"/>
      <c r="I1717" s="149"/>
      <c r="J1717" s="149"/>
      <c r="K1717" s="149"/>
      <c r="L1717" s="149"/>
      <c r="M1717" s="149"/>
      <c r="N1717" s="149"/>
      <c r="O1717" s="149"/>
      <c r="P1717" s="149"/>
      <c r="Q1717" s="149"/>
      <c r="R1717" s="149"/>
      <c r="S1717" s="149"/>
      <c r="T1717" s="149"/>
      <c r="U1717" s="149"/>
      <c r="V1717" s="149"/>
      <c r="W1717" s="149"/>
      <c r="X1717" s="149"/>
      <c r="Y1717" s="149"/>
      <c r="Z1717" s="149"/>
      <c r="AA1717" s="149"/>
      <c r="AB1717" s="149"/>
      <c r="AC1717" s="149"/>
      <c r="AD1717" s="149"/>
      <c r="AE1717" s="149"/>
      <c r="AF1717" s="149"/>
      <c r="AG1717" s="149"/>
      <c r="AH1717" s="149"/>
      <c r="AI1717" s="149"/>
      <c r="AJ1717" s="149"/>
      <c r="AK1717" s="149"/>
      <c r="AL1717" s="149"/>
      <c r="AM1717" s="149"/>
      <c r="AN1717" s="149"/>
      <c r="AO1717" s="149"/>
      <c r="AP1717" s="149"/>
    </row>
    <row r="1718" ht="18.75" customHeight="1">
      <c r="A1718" s="149"/>
      <c r="B1718" s="149"/>
      <c r="C1718" s="304"/>
      <c r="D1718" s="149"/>
      <c r="E1718" s="149"/>
      <c r="F1718" s="149"/>
      <c r="G1718" s="149"/>
      <c r="H1718" s="149"/>
      <c r="I1718" s="149"/>
      <c r="J1718" s="149"/>
      <c r="K1718" s="149"/>
      <c r="L1718" s="149"/>
      <c r="M1718" s="149"/>
      <c r="N1718" s="149"/>
      <c r="O1718" s="149"/>
      <c r="P1718" s="149"/>
      <c r="Q1718" s="149"/>
      <c r="R1718" s="149"/>
      <c r="S1718" s="149"/>
      <c r="T1718" s="149"/>
      <c r="U1718" s="149"/>
      <c r="V1718" s="149"/>
      <c r="W1718" s="149"/>
      <c r="X1718" s="149"/>
      <c r="Y1718" s="149"/>
      <c r="Z1718" s="149"/>
      <c r="AA1718" s="149"/>
      <c r="AB1718" s="149"/>
      <c r="AC1718" s="149"/>
      <c r="AD1718" s="149"/>
      <c r="AE1718" s="149"/>
      <c r="AF1718" s="149"/>
      <c r="AG1718" s="149"/>
      <c r="AH1718" s="149"/>
      <c r="AI1718" s="149"/>
      <c r="AJ1718" s="149"/>
      <c r="AK1718" s="149"/>
      <c r="AL1718" s="149"/>
      <c r="AM1718" s="149"/>
      <c r="AN1718" s="149"/>
      <c r="AO1718" s="149"/>
      <c r="AP1718" s="149"/>
    </row>
    <row r="1719" ht="18.75" customHeight="1">
      <c r="A1719" s="149"/>
      <c r="B1719" s="149"/>
      <c r="C1719" s="304"/>
      <c r="D1719" s="149"/>
      <c r="E1719" s="149"/>
      <c r="F1719" s="149"/>
      <c r="G1719" s="149"/>
      <c r="H1719" s="149"/>
      <c r="I1719" s="149"/>
      <c r="J1719" s="149"/>
      <c r="K1719" s="149"/>
      <c r="L1719" s="149"/>
      <c r="M1719" s="149"/>
      <c r="N1719" s="149"/>
      <c r="O1719" s="149"/>
      <c r="P1719" s="149"/>
      <c r="Q1719" s="149"/>
      <c r="R1719" s="149"/>
      <c r="S1719" s="149"/>
      <c r="T1719" s="149"/>
      <c r="U1719" s="149"/>
      <c r="V1719" s="149"/>
      <c r="W1719" s="149"/>
      <c r="X1719" s="149"/>
      <c r="Y1719" s="149"/>
      <c r="Z1719" s="149"/>
      <c r="AA1719" s="149"/>
      <c r="AB1719" s="149"/>
      <c r="AC1719" s="149"/>
      <c r="AD1719" s="149"/>
      <c r="AE1719" s="149"/>
      <c r="AF1719" s="149"/>
      <c r="AG1719" s="149"/>
      <c r="AH1719" s="149"/>
      <c r="AI1719" s="149"/>
      <c r="AJ1719" s="149"/>
      <c r="AK1719" s="149"/>
      <c r="AL1719" s="149"/>
      <c r="AM1719" s="149"/>
      <c r="AN1719" s="149"/>
      <c r="AO1719" s="149"/>
      <c r="AP1719" s="149"/>
    </row>
    <row r="1720" ht="18.75" customHeight="1">
      <c r="A1720" s="149"/>
      <c r="B1720" s="149"/>
      <c r="C1720" s="304"/>
      <c r="D1720" s="149"/>
      <c r="E1720" s="149"/>
      <c r="F1720" s="149"/>
      <c r="G1720" s="149"/>
      <c r="H1720" s="149"/>
      <c r="I1720" s="149"/>
      <c r="J1720" s="149"/>
      <c r="K1720" s="149"/>
      <c r="L1720" s="149"/>
      <c r="M1720" s="149"/>
      <c r="N1720" s="149"/>
      <c r="O1720" s="149"/>
      <c r="P1720" s="149"/>
      <c r="Q1720" s="149"/>
      <c r="R1720" s="149"/>
      <c r="S1720" s="149"/>
      <c r="T1720" s="149"/>
      <c r="U1720" s="149"/>
      <c r="V1720" s="149"/>
      <c r="W1720" s="149"/>
      <c r="X1720" s="149"/>
      <c r="Y1720" s="149"/>
      <c r="Z1720" s="149"/>
      <c r="AA1720" s="149"/>
      <c r="AB1720" s="149"/>
      <c r="AC1720" s="149"/>
      <c r="AD1720" s="149"/>
      <c r="AE1720" s="149"/>
      <c r="AF1720" s="149"/>
      <c r="AG1720" s="149"/>
      <c r="AH1720" s="149"/>
      <c r="AI1720" s="149"/>
      <c r="AJ1720" s="149"/>
      <c r="AK1720" s="149"/>
      <c r="AL1720" s="149"/>
      <c r="AM1720" s="149"/>
      <c r="AN1720" s="149"/>
      <c r="AO1720" s="149"/>
      <c r="AP1720" s="149"/>
    </row>
    <row r="1721" ht="18.75" customHeight="1">
      <c r="A1721" s="149"/>
      <c r="B1721" s="149"/>
      <c r="C1721" s="304"/>
      <c r="D1721" s="149"/>
      <c r="E1721" s="149"/>
      <c r="F1721" s="149"/>
      <c r="G1721" s="149"/>
      <c r="H1721" s="149"/>
      <c r="I1721" s="149"/>
      <c r="J1721" s="149"/>
      <c r="K1721" s="149"/>
      <c r="L1721" s="149"/>
      <c r="M1721" s="149"/>
      <c r="N1721" s="149"/>
      <c r="O1721" s="149"/>
      <c r="P1721" s="149"/>
      <c r="Q1721" s="149"/>
      <c r="R1721" s="149"/>
      <c r="S1721" s="149"/>
      <c r="T1721" s="149"/>
      <c r="U1721" s="149"/>
      <c r="V1721" s="149"/>
      <c r="W1721" s="149"/>
      <c r="X1721" s="149"/>
      <c r="Y1721" s="149"/>
      <c r="Z1721" s="149"/>
      <c r="AA1721" s="149"/>
      <c r="AB1721" s="149"/>
      <c r="AC1721" s="149"/>
      <c r="AD1721" s="149"/>
      <c r="AE1721" s="149"/>
      <c r="AF1721" s="149"/>
      <c r="AG1721" s="149"/>
      <c r="AH1721" s="149"/>
      <c r="AI1721" s="149"/>
      <c r="AJ1721" s="149"/>
      <c r="AK1721" s="149"/>
      <c r="AL1721" s="149"/>
      <c r="AM1721" s="149"/>
      <c r="AN1721" s="149"/>
      <c r="AO1721" s="149"/>
      <c r="AP1721" s="149"/>
    </row>
    <row r="1722" ht="18.75" customHeight="1">
      <c r="A1722" s="149"/>
      <c r="B1722" s="149"/>
      <c r="C1722" s="304"/>
      <c r="D1722" s="149"/>
      <c r="E1722" s="149"/>
      <c r="F1722" s="149"/>
      <c r="G1722" s="149"/>
      <c r="H1722" s="149"/>
      <c r="I1722" s="149"/>
      <c r="J1722" s="149"/>
      <c r="K1722" s="149"/>
      <c r="L1722" s="149"/>
      <c r="M1722" s="149"/>
      <c r="N1722" s="149"/>
      <c r="O1722" s="149"/>
      <c r="P1722" s="149"/>
      <c r="Q1722" s="149"/>
      <c r="R1722" s="149"/>
      <c r="S1722" s="149"/>
      <c r="T1722" s="149"/>
      <c r="U1722" s="149"/>
      <c r="V1722" s="149"/>
      <c r="W1722" s="149"/>
      <c r="X1722" s="149"/>
      <c r="Y1722" s="149"/>
      <c r="Z1722" s="149"/>
      <c r="AA1722" s="149"/>
      <c r="AB1722" s="149"/>
      <c r="AC1722" s="149"/>
      <c r="AD1722" s="149"/>
      <c r="AE1722" s="149"/>
      <c r="AF1722" s="149"/>
      <c r="AG1722" s="149"/>
      <c r="AH1722" s="149"/>
      <c r="AI1722" s="149"/>
      <c r="AJ1722" s="149"/>
      <c r="AK1722" s="149"/>
      <c r="AL1722" s="149"/>
      <c r="AM1722" s="149"/>
      <c r="AN1722" s="149"/>
      <c r="AO1722" s="149"/>
      <c r="AP1722" s="149"/>
    </row>
    <row r="1723" ht="18.75" customHeight="1">
      <c r="A1723" s="149"/>
      <c r="B1723" s="149"/>
      <c r="C1723" s="304"/>
      <c r="D1723" s="149"/>
      <c r="E1723" s="149"/>
      <c r="F1723" s="149"/>
      <c r="G1723" s="149"/>
      <c r="H1723" s="149"/>
      <c r="I1723" s="149"/>
      <c r="J1723" s="149"/>
      <c r="K1723" s="149"/>
      <c r="L1723" s="149"/>
      <c r="M1723" s="149"/>
      <c r="N1723" s="149"/>
      <c r="O1723" s="149"/>
      <c r="P1723" s="149"/>
      <c r="Q1723" s="149"/>
      <c r="R1723" s="149"/>
      <c r="S1723" s="149"/>
      <c r="T1723" s="149"/>
      <c r="U1723" s="149"/>
      <c r="V1723" s="149"/>
      <c r="W1723" s="149"/>
      <c r="X1723" s="149"/>
      <c r="Y1723" s="149"/>
      <c r="Z1723" s="149"/>
      <c r="AA1723" s="149"/>
      <c r="AB1723" s="149"/>
      <c r="AC1723" s="149"/>
      <c r="AD1723" s="149"/>
      <c r="AE1723" s="149"/>
      <c r="AF1723" s="149"/>
      <c r="AG1723" s="149"/>
      <c r="AH1723" s="149"/>
      <c r="AI1723" s="149"/>
      <c r="AJ1723" s="149"/>
      <c r="AK1723" s="149"/>
      <c r="AL1723" s="149"/>
      <c r="AM1723" s="149"/>
      <c r="AN1723" s="149"/>
      <c r="AO1723" s="149"/>
      <c r="AP1723" s="149"/>
    </row>
    <row r="1724" ht="18.75" customHeight="1">
      <c r="A1724" s="149"/>
      <c r="B1724" s="149"/>
      <c r="C1724" s="304"/>
      <c r="D1724" s="149"/>
      <c r="E1724" s="149"/>
      <c r="F1724" s="149"/>
      <c r="G1724" s="149"/>
      <c r="H1724" s="149"/>
      <c r="I1724" s="149"/>
      <c r="J1724" s="149"/>
      <c r="K1724" s="149"/>
      <c r="L1724" s="149"/>
      <c r="M1724" s="149"/>
      <c r="N1724" s="149"/>
      <c r="O1724" s="149"/>
      <c r="P1724" s="149"/>
      <c r="Q1724" s="149"/>
      <c r="R1724" s="149"/>
      <c r="S1724" s="149"/>
      <c r="T1724" s="149"/>
      <c r="U1724" s="149"/>
      <c r="V1724" s="149"/>
      <c r="W1724" s="149"/>
      <c r="X1724" s="149"/>
      <c r="Y1724" s="149"/>
      <c r="Z1724" s="149"/>
      <c r="AA1724" s="149"/>
      <c r="AB1724" s="149"/>
      <c r="AC1724" s="149"/>
      <c r="AD1724" s="149"/>
      <c r="AE1724" s="149"/>
      <c r="AF1724" s="149"/>
      <c r="AG1724" s="149"/>
      <c r="AH1724" s="149"/>
      <c r="AI1724" s="149"/>
      <c r="AJ1724" s="149"/>
      <c r="AK1724" s="149"/>
      <c r="AL1724" s="149"/>
      <c r="AM1724" s="149"/>
      <c r="AN1724" s="149"/>
      <c r="AO1724" s="149"/>
      <c r="AP1724" s="149"/>
    </row>
    <row r="1725" ht="18.75" customHeight="1">
      <c r="A1725" s="149"/>
      <c r="B1725" s="149"/>
      <c r="C1725" s="304"/>
      <c r="D1725" s="149"/>
      <c r="E1725" s="149"/>
      <c r="F1725" s="149"/>
      <c r="G1725" s="149"/>
      <c r="H1725" s="149"/>
      <c r="I1725" s="149"/>
      <c r="J1725" s="149"/>
      <c r="K1725" s="149"/>
      <c r="L1725" s="149"/>
      <c r="M1725" s="149"/>
      <c r="N1725" s="149"/>
      <c r="O1725" s="149"/>
      <c r="P1725" s="149"/>
      <c r="Q1725" s="149"/>
      <c r="R1725" s="149"/>
      <c r="S1725" s="149"/>
      <c r="T1725" s="149"/>
      <c r="U1725" s="149"/>
      <c r="V1725" s="149"/>
      <c r="W1725" s="149"/>
      <c r="X1725" s="149"/>
      <c r="Y1725" s="149"/>
      <c r="Z1725" s="149"/>
      <c r="AA1725" s="149"/>
      <c r="AB1725" s="149"/>
      <c r="AC1725" s="149"/>
      <c r="AD1725" s="149"/>
      <c r="AE1725" s="149"/>
      <c r="AF1725" s="149"/>
      <c r="AG1725" s="149"/>
      <c r="AH1725" s="149"/>
      <c r="AI1725" s="149"/>
      <c r="AJ1725" s="149"/>
      <c r="AK1725" s="149"/>
      <c r="AL1725" s="149"/>
      <c r="AM1725" s="149"/>
      <c r="AN1725" s="149"/>
      <c r="AO1725" s="149"/>
      <c r="AP1725" s="149"/>
    </row>
    <row r="1726" ht="18.75" customHeight="1">
      <c r="A1726" s="149"/>
      <c r="B1726" s="149"/>
      <c r="C1726" s="304"/>
      <c r="D1726" s="149"/>
      <c r="E1726" s="149"/>
      <c r="F1726" s="149"/>
      <c r="G1726" s="149"/>
      <c r="H1726" s="149"/>
      <c r="I1726" s="149"/>
      <c r="J1726" s="149"/>
      <c r="K1726" s="149"/>
      <c r="L1726" s="149"/>
      <c r="M1726" s="149"/>
      <c r="N1726" s="149"/>
      <c r="O1726" s="149"/>
      <c r="P1726" s="149"/>
      <c r="Q1726" s="149"/>
      <c r="R1726" s="149"/>
      <c r="S1726" s="149"/>
      <c r="T1726" s="149"/>
      <c r="U1726" s="149"/>
      <c r="V1726" s="149"/>
      <c r="W1726" s="149"/>
      <c r="X1726" s="149"/>
      <c r="Y1726" s="149"/>
      <c r="Z1726" s="149"/>
      <c r="AA1726" s="149"/>
      <c r="AB1726" s="149"/>
      <c r="AC1726" s="149"/>
      <c r="AD1726" s="149"/>
      <c r="AE1726" s="149"/>
      <c r="AF1726" s="149"/>
      <c r="AG1726" s="149"/>
      <c r="AH1726" s="149"/>
      <c r="AI1726" s="149"/>
      <c r="AJ1726" s="149"/>
      <c r="AK1726" s="149"/>
      <c r="AL1726" s="149"/>
      <c r="AM1726" s="149"/>
      <c r="AN1726" s="149"/>
      <c r="AO1726" s="149"/>
      <c r="AP1726" s="149"/>
    </row>
    <row r="1727" ht="18.75" customHeight="1">
      <c r="A1727" s="149"/>
      <c r="B1727" s="149"/>
      <c r="C1727" s="304"/>
      <c r="D1727" s="149"/>
      <c r="E1727" s="149"/>
      <c r="F1727" s="149"/>
      <c r="G1727" s="149"/>
      <c r="H1727" s="149"/>
      <c r="I1727" s="149"/>
      <c r="J1727" s="149"/>
      <c r="K1727" s="149"/>
      <c r="L1727" s="149"/>
      <c r="M1727" s="149"/>
      <c r="N1727" s="149"/>
      <c r="O1727" s="149"/>
      <c r="P1727" s="149"/>
      <c r="Q1727" s="149"/>
      <c r="R1727" s="149"/>
      <c r="S1727" s="149"/>
      <c r="T1727" s="149"/>
      <c r="U1727" s="149"/>
      <c r="V1727" s="149"/>
      <c r="W1727" s="149"/>
      <c r="X1727" s="149"/>
      <c r="Y1727" s="149"/>
      <c r="Z1727" s="149"/>
      <c r="AA1727" s="149"/>
      <c r="AB1727" s="149"/>
      <c r="AC1727" s="149"/>
      <c r="AD1727" s="149"/>
      <c r="AE1727" s="149"/>
      <c r="AF1727" s="149"/>
      <c r="AG1727" s="149"/>
      <c r="AH1727" s="149"/>
      <c r="AI1727" s="149"/>
      <c r="AJ1727" s="149"/>
      <c r="AK1727" s="149"/>
      <c r="AL1727" s="149"/>
      <c r="AM1727" s="149"/>
      <c r="AN1727" s="149"/>
      <c r="AO1727" s="149"/>
      <c r="AP1727" s="149"/>
    </row>
    <row r="1728" ht="18.75" customHeight="1">
      <c r="A1728" s="149"/>
      <c r="B1728" s="149"/>
      <c r="C1728" s="304"/>
      <c r="D1728" s="149"/>
      <c r="E1728" s="149"/>
      <c r="F1728" s="149"/>
      <c r="G1728" s="149"/>
      <c r="H1728" s="149"/>
      <c r="I1728" s="149"/>
      <c r="J1728" s="149"/>
      <c r="K1728" s="149"/>
      <c r="L1728" s="149"/>
      <c r="M1728" s="149"/>
      <c r="N1728" s="149"/>
      <c r="O1728" s="149"/>
      <c r="P1728" s="149"/>
      <c r="Q1728" s="149"/>
      <c r="R1728" s="149"/>
      <c r="S1728" s="149"/>
      <c r="T1728" s="149"/>
      <c r="U1728" s="149"/>
      <c r="V1728" s="149"/>
      <c r="W1728" s="149"/>
      <c r="X1728" s="149"/>
      <c r="Y1728" s="149"/>
      <c r="Z1728" s="149"/>
      <c r="AA1728" s="149"/>
      <c r="AB1728" s="149"/>
      <c r="AC1728" s="149"/>
      <c r="AD1728" s="149"/>
      <c r="AE1728" s="149"/>
      <c r="AF1728" s="149"/>
      <c r="AG1728" s="149"/>
      <c r="AH1728" s="149"/>
      <c r="AI1728" s="149"/>
      <c r="AJ1728" s="149"/>
      <c r="AK1728" s="149"/>
      <c r="AL1728" s="149"/>
      <c r="AM1728" s="149"/>
      <c r="AN1728" s="149"/>
      <c r="AO1728" s="149"/>
      <c r="AP1728" s="149"/>
    </row>
    <row r="1729" ht="18.75" customHeight="1">
      <c r="A1729" s="149"/>
      <c r="B1729" s="149"/>
      <c r="C1729" s="304"/>
      <c r="D1729" s="149"/>
      <c r="E1729" s="149"/>
      <c r="F1729" s="149"/>
      <c r="G1729" s="149"/>
      <c r="H1729" s="149"/>
      <c r="I1729" s="149"/>
      <c r="J1729" s="149"/>
      <c r="K1729" s="149"/>
      <c r="L1729" s="149"/>
      <c r="M1729" s="149"/>
      <c r="N1729" s="149"/>
      <c r="O1729" s="149"/>
      <c r="P1729" s="149"/>
      <c r="Q1729" s="149"/>
      <c r="R1729" s="149"/>
      <c r="S1729" s="149"/>
      <c r="T1729" s="149"/>
      <c r="U1729" s="149"/>
      <c r="V1729" s="149"/>
      <c r="W1729" s="149"/>
      <c r="X1729" s="149"/>
      <c r="Y1729" s="149"/>
      <c r="Z1729" s="149"/>
      <c r="AA1729" s="149"/>
      <c r="AB1729" s="149"/>
      <c r="AC1729" s="149"/>
      <c r="AD1729" s="149"/>
      <c r="AE1729" s="149"/>
      <c r="AF1729" s="149"/>
      <c r="AG1729" s="149"/>
      <c r="AH1729" s="149"/>
      <c r="AI1729" s="149"/>
      <c r="AJ1729" s="149"/>
      <c r="AK1729" s="149"/>
      <c r="AL1729" s="149"/>
      <c r="AM1729" s="149"/>
      <c r="AN1729" s="149"/>
      <c r="AO1729" s="149"/>
      <c r="AP1729" s="149"/>
    </row>
    <row r="1730" ht="18.75" customHeight="1">
      <c r="A1730" s="149"/>
      <c r="B1730" s="149"/>
      <c r="C1730" s="304"/>
      <c r="D1730" s="149"/>
      <c r="E1730" s="149"/>
      <c r="F1730" s="149"/>
      <c r="G1730" s="149"/>
      <c r="H1730" s="149"/>
      <c r="I1730" s="149"/>
      <c r="J1730" s="149"/>
      <c r="K1730" s="149"/>
      <c r="L1730" s="149"/>
      <c r="M1730" s="149"/>
      <c r="N1730" s="149"/>
      <c r="O1730" s="149"/>
      <c r="P1730" s="149"/>
      <c r="Q1730" s="149"/>
      <c r="R1730" s="149"/>
      <c r="S1730" s="149"/>
      <c r="T1730" s="149"/>
      <c r="U1730" s="149"/>
      <c r="V1730" s="149"/>
      <c r="W1730" s="149"/>
      <c r="X1730" s="149"/>
      <c r="Y1730" s="149"/>
      <c r="Z1730" s="149"/>
      <c r="AA1730" s="149"/>
      <c r="AB1730" s="149"/>
      <c r="AC1730" s="149"/>
      <c r="AD1730" s="149"/>
      <c r="AE1730" s="149"/>
      <c r="AF1730" s="149"/>
      <c r="AG1730" s="149"/>
      <c r="AH1730" s="149"/>
      <c r="AI1730" s="149"/>
      <c r="AJ1730" s="149"/>
      <c r="AK1730" s="149"/>
      <c r="AL1730" s="149"/>
      <c r="AM1730" s="149"/>
      <c r="AN1730" s="149"/>
      <c r="AO1730" s="149"/>
      <c r="AP1730" s="149"/>
    </row>
    <row r="1731" ht="18.75" customHeight="1">
      <c r="A1731" s="149"/>
      <c r="B1731" s="149"/>
      <c r="C1731" s="304"/>
      <c r="D1731" s="149"/>
      <c r="E1731" s="149"/>
      <c r="F1731" s="149"/>
      <c r="G1731" s="149"/>
      <c r="H1731" s="149"/>
      <c r="I1731" s="149"/>
      <c r="J1731" s="149"/>
      <c r="K1731" s="149"/>
      <c r="L1731" s="149"/>
      <c r="M1731" s="149"/>
      <c r="N1731" s="149"/>
      <c r="O1731" s="149"/>
      <c r="P1731" s="149"/>
      <c r="Q1731" s="149"/>
      <c r="R1731" s="149"/>
      <c r="S1731" s="149"/>
      <c r="T1731" s="149"/>
      <c r="U1731" s="149"/>
      <c r="V1731" s="149"/>
      <c r="W1731" s="149"/>
      <c r="X1731" s="149"/>
      <c r="Y1731" s="149"/>
      <c r="Z1731" s="149"/>
      <c r="AA1731" s="149"/>
      <c r="AB1731" s="149"/>
      <c r="AC1731" s="149"/>
      <c r="AD1731" s="149"/>
      <c r="AE1731" s="149"/>
      <c r="AF1731" s="149"/>
      <c r="AG1731" s="149"/>
      <c r="AH1731" s="149"/>
      <c r="AI1731" s="149"/>
      <c r="AJ1731" s="149"/>
      <c r="AK1731" s="149"/>
      <c r="AL1731" s="149"/>
      <c r="AM1731" s="149"/>
      <c r="AN1731" s="149"/>
      <c r="AO1731" s="149"/>
      <c r="AP1731" s="149"/>
    </row>
    <row r="1732" ht="18.75" customHeight="1">
      <c r="A1732" s="149"/>
      <c r="B1732" s="149"/>
      <c r="C1732" s="304"/>
      <c r="D1732" s="149"/>
      <c r="E1732" s="149"/>
      <c r="F1732" s="149"/>
      <c r="G1732" s="149"/>
      <c r="H1732" s="149"/>
      <c r="I1732" s="149"/>
      <c r="J1732" s="149"/>
      <c r="K1732" s="149"/>
      <c r="L1732" s="149"/>
      <c r="M1732" s="149"/>
      <c r="N1732" s="149"/>
      <c r="O1732" s="149"/>
      <c r="P1732" s="149"/>
      <c r="Q1732" s="149"/>
      <c r="R1732" s="149"/>
      <c r="S1732" s="149"/>
      <c r="T1732" s="149"/>
      <c r="U1732" s="149"/>
      <c r="V1732" s="149"/>
      <c r="W1732" s="149"/>
      <c r="X1732" s="149"/>
      <c r="Y1732" s="149"/>
      <c r="Z1732" s="149"/>
      <c r="AA1732" s="149"/>
      <c r="AB1732" s="149"/>
      <c r="AC1732" s="149"/>
      <c r="AD1732" s="149"/>
      <c r="AE1732" s="149"/>
      <c r="AF1732" s="149"/>
      <c r="AG1732" s="149"/>
      <c r="AH1732" s="149"/>
      <c r="AI1732" s="149"/>
      <c r="AJ1732" s="149"/>
      <c r="AK1732" s="149"/>
      <c r="AL1732" s="149"/>
      <c r="AM1732" s="149"/>
      <c r="AN1732" s="149"/>
      <c r="AO1732" s="149"/>
      <c r="AP1732" s="149"/>
    </row>
    <row r="1733" ht="18.75" customHeight="1">
      <c r="A1733" s="149"/>
      <c r="B1733" s="149"/>
      <c r="C1733" s="304"/>
      <c r="D1733" s="149"/>
      <c r="E1733" s="149"/>
      <c r="F1733" s="149"/>
      <c r="G1733" s="149"/>
      <c r="H1733" s="149"/>
      <c r="I1733" s="149"/>
      <c r="J1733" s="149"/>
      <c r="K1733" s="149"/>
      <c r="L1733" s="149"/>
      <c r="M1733" s="149"/>
      <c r="N1733" s="149"/>
      <c r="O1733" s="149"/>
      <c r="P1733" s="149"/>
      <c r="Q1733" s="149"/>
      <c r="R1733" s="149"/>
      <c r="S1733" s="149"/>
      <c r="T1733" s="149"/>
      <c r="U1733" s="149"/>
      <c r="V1733" s="149"/>
      <c r="W1733" s="149"/>
      <c r="X1733" s="149"/>
      <c r="Y1733" s="149"/>
      <c r="Z1733" s="149"/>
      <c r="AA1733" s="149"/>
      <c r="AB1733" s="149"/>
      <c r="AC1733" s="149"/>
      <c r="AD1733" s="149"/>
      <c r="AE1733" s="149"/>
      <c r="AF1733" s="149"/>
      <c r="AG1733" s="149"/>
      <c r="AH1733" s="149"/>
      <c r="AI1733" s="149"/>
      <c r="AJ1733" s="149"/>
      <c r="AK1733" s="149"/>
      <c r="AL1733" s="149"/>
      <c r="AM1733" s="149"/>
      <c r="AN1733" s="149"/>
      <c r="AO1733" s="149"/>
      <c r="AP1733" s="149"/>
    </row>
    <row r="1734" ht="18.75" customHeight="1">
      <c r="A1734" s="149"/>
      <c r="B1734" s="149"/>
      <c r="C1734" s="304"/>
      <c r="D1734" s="149"/>
      <c r="E1734" s="149"/>
      <c r="F1734" s="149"/>
      <c r="G1734" s="149"/>
      <c r="H1734" s="149"/>
      <c r="I1734" s="149"/>
      <c r="J1734" s="149"/>
      <c r="K1734" s="149"/>
      <c r="L1734" s="149"/>
      <c r="M1734" s="149"/>
      <c r="N1734" s="149"/>
      <c r="O1734" s="149"/>
      <c r="P1734" s="149"/>
      <c r="Q1734" s="149"/>
      <c r="R1734" s="149"/>
      <c r="S1734" s="149"/>
      <c r="T1734" s="149"/>
      <c r="U1734" s="149"/>
      <c r="V1734" s="149"/>
      <c r="W1734" s="149"/>
      <c r="X1734" s="149"/>
      <c r="Y1734" s="149"/>
      <c r="Z1734" s="149"/>
      <c r="AA1734" s="149"/>
      <c r="AB1734" s="149"/>
      <c r="AC1734" s="149"/>
      <c r="AD1734" s="149"/>
      <c r="AE1734" s="149"/>
      <c r="AF1734" s="149"/>
      <c r="AG1734" s="149"/>
      <c r="AH1734" s="149"/>
      <c r="AI1734" s="149"/>
      <c r="AJ1734" s="149"/>
      <c r="AK1734" s="149"/>
      <c r="AL1734" s="149"/>
      <c r="AM1734" s="149"/>
      <c r="AN1734" s="149"/>
      <c r="AO1734" s="149"/>
      <c r="AP1734" s="149"/>
    </row>
    <row r="1735" ht="18.75" customHeight="1">
      <c r="A1735" s="149"/>
      <c r="B1735" s="149"/>
      <c r="C1735" s="304"/>
      <c r="D1735" s="149"/>
      <c r="E1735" s="149"/>
      <c r="F1735" s="149"/>
      <c r="G1735" s="149"/>
      <c r="H1735" s="149"/>
      <c r="I1735" s="149"/>
      <c r="J1735" s="149"/>
      <c r="K1735" s="149"/>
      <c r="L1735" s="149"/>
      <c r="M1735" s="149"/>
      <c r="N1735" s="149"/>
      <c r="O1735" s="149"/>
      <c r="P1735" s="149"/>
      <c r="Q1735" s="149"/>
      <c r="R1735" s="149"/>
      <c r="S1735" s="149"/>
      <c r="T1735" s="149"/>
      <c r="U1735" s="149"/>
      <c r="V1735" s="149"/>
      <c r="W1735" s="149"/>
      <c r="X1735" s="149"/>
      <c r="Y1735" s="149"/>
      <c r="Z1735" s="149"/>
      <c r="AA1735" s="149"/>
      <c r="AB1735" s="149"/>
      <c r="AC1735" s="149"/>
      <c r="AD1735" s="149"/>
      <c r="AE1735" s="149"/>
      <c r="AF1735" s="149"/>
      <c r="AG1735" s="149"/>
      <c r="AH1735" s="149"/>
      <c r="AI1735" s="149"/>
      <c r="AJ1735" s="149"/>
      <c r="AK1735" s="149"/>
      <c r="AL1735" s="149"/>
      <c r="AM1735" s="149"/>
      <c r="AN1735" s="149"/>
      <c r="AO1735" s="149"/>
      <c r="AP1735" s="149"/>
    </row>
    <row r="1736" ht="18.75" customHeight="1">
      <c r="A1736" s="149"/>
      <c r="B1736" s="149"/>
      <c r="C1736" s="304"/>
      <c r="D1736" s="149"/>
      <c r="E1736" s="149"/>
      <c r="F1736" s="149"/>
      <c r="G1736" s="149"/>
      <c r="H1736" s="149"/>
      <c r="I1736" s="149"/>
      <c r="J1736" s="149"/>
      <c r="K1736" s="149"/>
      <c r="L1736" s="149"/>
      <c r="M1736" s="149"/>
      <c r="N1736" s="149"/>
      <c r="O1736" s="149"/>
      <c r="P1736" s="149"/>
      <c r="Q1736" s="149"/>
      <c r="R1736" s="149"/>
      <c r="S1736" s="149"/>
      <c r="T1736" s="149"/>
      <c r="U1736" s="149"/>
      <c r="V1736" s="149"/>
      <c r="W1736" s="149"/>
      <c r="X1736" s="149"/>
      <c r="Y1736" s="149"/>
      <c r="Z1736" s="149"/>
      <c r="AA1736" s="149"/>
      <c r="AB1736" s="149"/>
      <c r="AC1736" s="149"/>
      <c r="AD1736" s="149"/>
      <c r="AE1736" s="149"/>
      <c r="AF1736" s="149"/>
      <c r="AG1736" s="149"/>
      <c r="AH1736" s="149"/>
      <c r="AI1736" s="149"/>
      <c r="AJ1736" s="149"/>
      <c r="AK1736" s="149"/>
      <c r="AL1736" s="149"/>
      <c r="AM1736" s="149"/>
      <c r="AN1736" s="149"/>
      <c r="AO1736" s="149"/>
      <c r="AP1736" s="149"/>
    </row>
    <row r="1737" ht="18.75" customHeight="1">
      <c r="A1737" s="149"/>
      <c r="B1737" s="149"/>
      <c r="C1737" s="304"/>
      <c r="D1737" s="149"/>
      <c r="E1737" s="149"/>
      <c r="F1737" s="149"/>
      <c r="G1737" s="149"/>
      <c r="H1737" s="149"/>
      <c r="I1737" s="149"/>
      <c r="J1737" s="149"/>
      <c r="K1737" s="149"/>
      <c r="L1737" s="149"/>
      <c r="M1737" s="149"/>
      <c r="N1737" s="149"/>
      <c r="O1737" s="149"/>
      <c r="P1737" s="149"/>
      <c r="Q1737" s="149"/>
      <c r="R1737" s="149"/>
      <c r="S1737" s="149"/>
      <c r="T1737" s="149"/>
      <c r="U1737" s="149"/>
      <c r="V1737" s="149"/>
      <c r="W1737" s="149"/>
      <c r="X1737" s="149"/>
      <c r="Y1737" s="149"/>
      <c r="Z1737" s="149"/>
      <c r="AA1737" s="149"/>
      <c r="AB1737" s="149"/>
      <c r="AC1737" s="149"/>
      <c r="AD1737" s="149"/>
      <c r="AE1737" s="149"/>
      <c r="AF1737" s="149"/>
      <c r="AG1737" s="149"/>
      <c r="AH1737" s="149"/>
      <c r="AI1737" s="149"/>
      <c r="AJ1737" s="149"/>
      <c r="AK1737" s="149"/>
      <c r="AL1737" s="149"/>
      <c r="AM1737" s="149"/>
      <c r="AN1737" s="149"/>
      <c r="AO1737" s="149"/>
      <c r="AP1737" s="149"/>
    </row>
    <row r="1738" ht="18.75" customHeight="1">
      <c r="A1738" s="149"/>
      <c r="B1738" s="149"/>
      <c r="C1738" s="304"/>
      <c r="D1738" s="149"/>
      <c r="E1738" s="149"/>
      <c r="F1738" s="149"/>
      <c r="G1738" s="149"/>
      <c r="H1738" s="149"/>
      <c r="I1738" s="149"/>
      <c r="J1738" s="149"/>
      <c r="K1738" s="149"/>
      <c r="L1738" s="149"/>
      <c r="M1738" s="149"/>
      <c r="N1738" s="149"/>
      <c r="O1738" s="149"/>
      <c r="P1738" s="149"/>
      <c r="Q1738" s="149"/>
      <c r="R1738" s="149"/>
      <c r="S1738" s="149"/>
      <c r="T1738" s="149"/>
      <c r="U1738" s="149"/>
      <c r="V1738" s="149"/>
      <c r="W1738" s="149"/>
      <c r="X1738" s="149"/>
      <c r="Y1738" s="149"/>
      <c r="Z1738" s="149"/>
      <c r="AA1738" s="149"/>
      <c r="AB1738" s="149"/>
      <c r="AC1738" s="149"/>
      <c r="AD1738" s="149"/>
      <c r="AE1738" s="149"/>
      <c r="AF1738" s="149"/>
      <c r="AG1738" s="149"/>
      <c r="AH1738" s="149"/>
      <c r="AI1738" s="149"/>
      <c r="AJ1738" s="149"/>
      <c r="AK1738" s="149"/>
      <c r="AL1738" s="149"/>
      <c r="AM1738" s="149"/>
      <c r="AN1738" s="149"/>
      <c r="AO1738" s="149"/>
      <c r="AP1738" s="149"/>
    </row>
    <row r="1739" ht="18.75" customHeight="1">
      <c r="A1739" s="149"/>
      <c r="B1739" s="149"/>
      <c r="C1739" s="304"/>
      <c r="D1739" s="149"/>
      <c r="E1739" s="149"/>
      <c r="F1739" s="149"/>
      <c r="G1739" s="149"/>
      <c r="H1739" s="149"/>
      <c r="I1739" s="149"/>
      <c r="J1739" s="149"/>
      <c r="K1739" s="149"/>
      <c r="L1739" s="149"/>
      <c r="M1739" s="149"/>
      <c r="N1739" s="149"/>
      <c r="O1739" s="149"/>
      <c r="P1739" s="149"/>
      <c r="Q1739" s="149"/>
      <c r="R1739" s="149"/>
      <c r="S1739" s="149"/>
      <c r="T1739" s="149"/>
      <c r="U1739" s="149"/>
      <c r="V1739" s="149"/>
      <c r="W1739" s="149"/>
      <c r="X1739" s="149"/>
      <c r="Y1739" s="149"/>
      <c r="Z1739" s="149"/>
      <c r="AA1739" s="149"/>
      <c r="AB1739" s="149"/>
      <c r="AC1739" s="149"/>
      <c r="AD1739" s="149"/>
      <c r="AE1739" s="149"/>
      <c r="AF1739" s="149"/>
      <c r="AG1739" s="149"/>
      <c r="AH1739" s="149"/>
      <c r="AI1739" s="149"/>
      <c r="AJ1739" s="149"/>
      <c r="AK1739" s="149"/>
      <c r="AL1739" s="149"/>
      <c r="AM1739" s="149"/>
      <c r="AN1739" s="149"/>
      <c r="AO1739" s="149"/>
      <c r="AP1739" s="149"/>
    </row>
    <row r="1740" ht="18.75" customHeight="1">
      <c r="A1740" s="149"/>
      <c r="B1740" s="149"/>
      <c r="C1740" s="304"/>
      <c r="D1740" s="149"/>
      <c r="E1740" s="149"/>
      <c r="F1740" s="149"/>
      <c r="G1740" s="149"/>
      <c r="H1740" s="149"/>
      <c r="I1740" s="149"/>
      <c r="J1740" s="149"/>
      <c r="K1740" s="149"/>
      <c r="L1740" s="149"/>
      <c r="M1740" s="149"/>
      <c r="N1740" s="149"/>
      <c r="O1740" s="149"/>
      <c r="P1740" s="149"/>
      <c r="Q1740" s="149"/>
      <c r="R1740" s="149"/>
      <c r="S1740" s="149"/>
      <c r="T1740" s="149"/>
      <c r="U1740" s="149"/>
      <c r="V1740" s="149"/>
      <c r="W1740" s="149"/>
      <c r="X1740" s="149"/>
      <c r="Y1740" s="149"/>
      <c r="Z1740" s="149"/>
      <c r="AA1740" s="149"/>
      <c r="AB1740" s="149"/>
      <c r="AC1740" s="149"/>
      <c r="AD1740" s="149"/>
      <c r="AE1740" s="149"/>
      <c r="AF1740" s="149"/>
      <c r="AG1740" s="149"/>
      <c r="AH1740" s="149"/>
      <c r="AI1740" s="149"/>
      <c r="AJ1740" s="149"/>
      <c r="AK1740" s="149"/>
      <c r="AL1740" s="149"/>
      <c r="AM1740" s="149"/>
      <c r="AN1740" s="149"/>
      <c r="AO1740" s="149"/>
      <c r="AP1740" s="149"/>
    </row>
    <row r="1741" ht="18.75" customHeight="1">
      <c r="A1741" s="149"/>
      <c r="B1741" s="149"/>
      <c r="C1741" s="304"/>
      <c r="D1741" s="149"/>
      <c r="E1741" s="149"/>
      <c r="F1741" s="149"/>
      <c r="G1741" s="149"/>
      <c r="H1741" s="149"/>
      <c r="I1741" s="149"/>
      <c r="J1741" s="149"/>
      <c r="K1741" s="149"/>
      <c r="L1741" s="149"/>
      <c r="M1741" s="149"/>
      <c r="N1741" s="149"/>
      <c r="O1741" s="149"/>
      <c r="P1741" s="149"/>
      <c r="Q1741" s="149"/>
      <c r="R1741" s="149"/>
      <c r="S1741" s="149"/>
      <c r="T1741" s="149"/>
      <c r="U1741" s="149"/>
      <c r="V1741" s="149"/>
      <c r="W1741" s="149"/>
      <c r="X1741" s="149"/>
      <c r="Y1741" s="149"/>
      <c r="Z1741" s="149"/>
      <c r="AA1741" s="149"/>
      <c r="AB1741" s="149"/>
      <c r="AC1741" s="149"/>
      <c r="AD1741" s="149"/>
      <c r="AE1741" s="149"/>
      <c r="AF1741" s="149"/>
      <c r="AG1741" s="149"/>
      <c r="AH1741" s="149"/>
      <c r="AI1741" s="149"/>
      <c r="AJ1741" s="149"/>
      <c r="AK1741" s="149"/>
      <c r="AL1741" s="149"/>
      <c r="AM1741" s="149"/>
      <c r="AN1741" s="149"/>
      <c r="AO1741" s="149"/>
      <c r="AP1741" s="149"/>
    </row>
    <row r="1742" ht="18.75" customHeight="1">
      <c r="A1742" s="149"/>
      <c r="B1742" s="149"/>
      <c r="C1742" s="304"/>
      <c r="D1742" s="149"/>
      <c r="E1742" s="149"/>
      <c r="F1742" s="149"/>
      <c r="G1742" s="149"/>
      <c r="H1742" s="149"/>
      <c r="I1742" s="149"/>
      <c r="J1742" s="149"/>
      <c r="K1742" s="149"/>
      <c r="L1742" s="149"/>
      <c r="M1742" s="149"/>
      <c r="N1742" s="149"/>
      <c r="O1742" s="149"/>
      <c r="P1742" s="149"/>
      <c r="Q1742" s="149"/>
      <c r="R1742" s="149"/>
      <c r="S1742" s="149"/>
      <c r="T1742" s="149"/>
      <c r="U1742" s="149"/>
      <c r="V1742" s="149"/>
      <c r="W1742" s="149"/>
      <c r="X1742" s="149"/>
      <c r="Y1742" s="149"/>
      <c r="Z1742" s="149"/>
      <c r="AA1742" s="149"/>
      <c r="AB1742" s="149"/>
      <c r="AC1742" s="149"/>
      <c r="AD1742" s="149"/>
      <c r="AE1742" s="149"/>
      <c r="AF1742" s="149"/>
      <c r="AG1742" s="149"/>
      <c r="AH1742" s="149"/>
      <c r="AI1742" s="149"/>
      <c r="AJ1742" s="149"/>
      <c r="AK1742" s="149"/>
      <c r="AL1742" s="149"/>
      <c r="AM1742" s="149"/>
      <c r="AN1742" s="149"/>
      <c r="AO1742" s="149"/>
      <c r="AP1742" s="149"/>
    </row>
    <row r="1743" ht="18.75" customHeight="1">
      <c r="A1743" s="149"/>
      <c r="B1743" s="149"/>
      <c r="C1743" s="304"/>
      <c r="D1743" s="149"/>
      <c r="E1743" s="149"/>
      <c r="F1743" s="149"/>
      <c r="G1743" s="149"/>
      <c r="H1743" s="149"/>
      <c r="I1743" s="149"/>
      <c r="J1743" s="149"/>
      <c r="K1743" s="149"/>
      <c r="L1743" s="149"/>
      <c r="M1743" s="149"/>
      <c r="N1743" s="149"/>
      <c r="O1743" s="149"/>
      <c r="P1743" s="149"/>
      <c r="Q1743" s="149"/>
      <c r="R1743" s="149"/>
      <c r="S1743" s="149"/>
      <c r="T1743" s="149"/>
      <c r="U1743" s="149"/>
      <c r="V1743" s="149"/>
      <c r="W1743" s="149"/>
      <c r="X1743" s="149"/>
      <c r="Y1743" s="149"/>
      <c r="Z1743" s="149"/>
      <c r="AA1743" s="149"/>
      <c r="AB1743" s="149"/>
      <c r="AC1743" s="149"/>
      <c r="AD1743" s="149"/>
      <c r="AE1743" s="149"/>
      <c r="AF1743" s="149"/>
      <c r="AG1743" s="149"/>
      <c r="AH1743" s="149"/>
      <c r="AI1743" s="149"/>
      <c r="AJ1743" s="149"/>
      <c r="AK1743" s="149"/>
      <c r="AL1743" s="149"/>
      <c r="AM1743" s="149"/>
      <c r="AN1743" s="149"/>
      <c r="AO1743" s="149"/>
      <c r="AP1743" s="149"/>
    </row>
    <row r="1744" ht="18.75" customHeight="1">
      <c r="A1744" s="149"/>
      <c r="B1744" s="149"/>
      <c r="C1744" s="304"/>
      <c r="D1744" s="149"/>
      <c r="E1744" s="149"/>
      <c r="F1744" s="149"/>
      <c r="G1744" s="149"/>
      <c r="H1744" s="149"/>
      <c r="I1744" s="149"/>
      <c r="J1744" s="149"/>
      <c r="K1744" s="149"/>
      <c r="L1744" s="149"/>
      <c r="M1744" s="149"/>
      <c r="N1744" s="149"/>
      <c r="O1744" s="149"/>
      <c r="P1744" s="149"/>
      <c r="Q1744" s="149"/>
      <c r="R1744" s="149"/>
      <c r="S1744" s="149"/>
      <c r="T1744" s="149"/>
      <c r="U1744" s="149"/>
      <c r="V1744" s="149"/>
      <c r="W1744" s="149"/>
      <c r="X1744" s="149"/>
      <c r="Y1744" s="149"/>
      <c r="Z1744" s="149"/>
      <c r="AA1744" s="149"/>
      <c r="AB1744" s="149"/>
      <c r="AC1744" s="149"/>
      <c r="AD1744" s="149"/>
      <c r="AE1744" s="149"/>
      <c r="AF1744" s="149"/>
      <c r="AG1744" s="149"/>
      <c r="AH1744" s="149"/>
      <c r="AI1744" s="149"/>
      <c r="AJ1744" s="149"/>
      <c r="AK1744" s="149"/>
      <c r="AL1744" s="149"/>
      <c r="AM1744" s="149"/>
      <c r="AN1744" s="149"/>
      <c r="AO1744" s="149"/>
      <c r="AP1744" s="149"/>
    </row>
    <row r="1745" ht="18.75" customHeight="1">
      <c r="A1745" s="149"/>
      <c r="B1745" s="149"/>
      <c r="C1745" s="304"/>
      <c r="D1745" s="149"/>
      <c r="E1745" s="149"/>
      <c r="F1745" s="149"/>
      <c r="G1745" s="149"/>
      <c r="H1745" s="149"/>
      <c r="I1745" s="149"/>
      <c r="J1745" s="149"/>
      <c r="K1745" s="149"/>
      <c r="L1745" s="149"/>
      <c r="M1745" s="149"/>
      <c r="N1745" s="149"/>
      <c r="O1745" s="149"/>
      <c r="P1745" s="149"/>
      <c r="Q1745" s="149"/>
      <c r="R1745" s="149"/>
      <c r="S1745" s="149"/>
      <c r="T1745" s="149"/>
      <c r="U1745" s="149"/>
      <c r="V1745" s="149"/>
      <c r="W1745" s="149"/>
      <c r="X1745" s="149"/>
      <c r="Y1745" s="149"/>
      <c r="Z1745" s="149"/>
      <c r="AA1745" s="149"/>
      <c r="AB1745" s="149"/>
      <c r="AC1745" s="149"/>
      <c r="AD1745" s="149"/>
      <c r="AE1745" s="149"/>
      <c r="AF1745" s="149"/>
      <c r="AG1745" s="149"/>
      <c r="AH1745" s="149"/>
      <c r="AI1745" s="149"/>
      <c r="AJ1745" s="149"/>
      <c r="AK1745" s="149"/>
      <c r="AL1745" s="149"/>
      <c r="AM1745" s="149"/>
      <c r="AN1745" s="149"/>
      <c r="AO1745" s="149"/>
      <c r="AP1745" s="149"/>
    </row>
    <row r="1746" ht="18.75" customHeight="1">
      <c r="A1746" s="149"/>
      <c r="B1746" s="149"/>
      <c r="C1746" s="304"/>
      <c r="D1746" s="149"/>
      <c r="E1746" s="149"/>
      <c r="F1746" s="149"/>
      <c r="G1746" s="149"/>
      <c r="H1746" s="149"/>
      <c r="I1746" s="149"/>
      <c r="J1746" s="149"/>
      <c r="K1746" s="149"/>
      <c r="L1746" s="149"/>
      <c r="M1746" s="149"/>
      <c r="N1746" s="149"/>
      <c r="O1746" s="149"/>
      <c r="P1746" s="149"/>
      <c r="Q1746" s="149"/>
      <c r="R1746" s="149"/>
      <c r="S1746" s="149"/>
      <c r="T1746" s="149"/>
      <c r="U1746" s="149"/>
      <c r="V1746" s="149"/>
      <c r="W1746" s="149"/>
      <c r="X1746" s="149"/>
      <c r="Y1746" s="149"/>
      <c r="Z1746" s="149"/>
      <c r="AA1746" s="149"/>
      <c r="AB1746" s="149"/>
      <c r="AC1746" s="149"/>
      <c r="AD1746" s="149"/>
      <c r="AE1746" s="149"/>
      <c r="AF1746" s="149"/>
      <c r="AG1746" s="149"/>
      <c r="AH1746" s="149"/>
      <c r="AI1746" s="149"/>
      <c r="AJ1746" s="149"/>
      <c r="AK1746" s="149"/>
      <c r="AL1746" s="149"/>
      <c r="AM1746" s="149"/>
      <c r="AN1746" s="149"/>
      <c r="AO1746" s="149"/>
      <c r="AP1746" s="149"/>
    </row>
    <row r="1747" ht="18.75" customHeight="1">
      <c r="A1747" s="149"/>
      <c r="B1747" s="149"/>
      <c r="C1747" s="304"/>
      <c r="D1747" s="149"/>
      <c r="E1747" s="149"/>
      <c r="F1747" s="149"/>
      <c r="G1747" s="149"/>
      <c r="H1747" s="149"/>
      <c r="I1747" s="149"/>
      <c r="J1747" s="149"/>
      <c r="K1747" s="149"/>
      <c r="L1747" s="149"/>
      <c r="M1747" s="149"/>
      <c r="N1747" s="149"/>
      <c r="O1747" s="149"/>
      <c r="P1747" s="149"/>
      <c r="Q1747" s="149"/>
      <c r="R1747" s="149"/>
      <c r="S1747" s="149"/>
      <c r="T1747" s="149"/>
      <c r="U1747" s="149"/>
      <c r="V1747" s="149"/>
      <c r="W1747" s="149"/>
      <c r="X1747" s="149"/>
      <c r="Y1747" s="149"/>
      <c r="Z1747" s="149"/>
      <c r="AA1747" s="149"/>
      <c r="AB1747" s="149"/>
      <c r="AC1747" s="149"/>
      <c r="AD1747" s="149"/>
      <c r="AE1747" s="149"/>
      <c r="AF1747" s="149"/>
      <c r="AG1747" s="149"/>
      <c r="AH1747" s="149"/>
      <c r="AI1747" s="149"/>
      <c r="AJ1747" s="149"/>
      <c r="AK1747" s="149"/>
      <c r="AL1747" s="149"/>
      <c r="AM1747" s="149"/>
      <c r="AN1747" s="149"/>
      <c r="AO1747" s="149"/>
      <c r="AP1747" s="149"/>
    </row>
    <row r="1748" ht="18.75" customHeight="1">
      <c r="A1748" s="149"/>
      <c r="B1748" s="149"/>
      <c r="C1748" s="304"/>
      <c r="D1748" s="149"/>
      <c r="E1748" s="149"/>
      <c r="F1748" s="149"/>
      <c r="G1748" s="149"/>
      <c r="H1748" s="149"/>
      <c r="I1748" s="149"/>
      <c r="J1748" s="149"/>
      <c r="K1748" s="149"/>
      <c r="L1748" s="149"/>
      <c r="M1748" s="149"/>
      <c r="N1748" s="149"/>
      <c r="O1748" s="149"/>
      <c r="P1748" s="149"/>
      <c r="Q1748" s="149"/>
      <c r="R1748" s="149"/>
      <c r="S1748" s="149"/>
      <c r="T1748" s="149"/>
      <c r="U1748" s="149"/>
      <c r="V1748" s="149"/>
      <c r="W1748" s="149"/>
      <c r="X1748" s="149"/>
      <c r="Y1748" s="149"/>
      <c r="Z1748" s="149"/>
      <c r="AA1748" s="149"/>
      <c r="AB1748" s="149"/>
      <c r="AC1748" s="149"/>
      <c r="AD1748" s="149"/>
      <c r="AE1748" s="149"/>
      <c r="AF1748" s="149"/>
      <c r="AG1748" s="149"/>
      <c r="AH1748" s="149"/>
      <c r="AI1748" s="149"/>
      <c r="AJ1748" s="149"/>
      <c r="AK1748" s="149"/>
      <c r="AL1748" s="149"/>
      <c r="AM1748" s="149"/>
      <c r="AN1748" s="149"/>
      <c r="AO1748" s="149"/>
      <c r="AP1748" s="149"/>
    </row>
    <row r="1749" ht="18.75" customHeight="1">
      <c r="A1749" s="149"/>
      <c r="B1749" s="149"/>
      <c r="C1749" s="304"/>
      <c r="D1749" s="149"/>
      <c r="E1749" s="149"/>
      <c r="F1749" s="149"/>
      <c r="G1749" s="149"/>
      <c r="H1749" s="149"/>
      <c r="I1749" s="149"/>
      <c r="J1749" s="149"/>
      <c r="K1749" s="149"/>
      <c r="L1749" s="149"/>
      <c r="M1749" s="149"/>
      <c r="N1749" s="149"/>
      <c r="O1749" s="149"/>
      <c r="P1749" s="149"/>
      <c r="Q1749" s="149"/>
      <c r="R1749" s="149"/>
      <c r="S1749" s="149"/>
      <c r="T1749" s="149"/>
      <c r="U1749" s="149"/>
      <c r="V1749" s="149"/>
      <c r="W1749" s="149"/>
      <c r="X1749" s="149"/>
      <c r="Y1749" s="149"/>
      <c r="Z1749" s="149"/>
      <c r="AA1749" s="149"/>
      <c r="AB1749" s="149"/>
      <c r="AC1749" s="149"/>
      <c r="AD1749" s="149"/>
      <c r="AE1749" s="149"/>
      <c r="AF1749" s="149"/>
      <c r="AG1749" s="149"/>
      <c r="AH1749" s="149"/>
      <c r="AI1749" s="149"/>
      <c r="AJ1749" s="149"/>
      <c r="AK1749" s="149"/>
      <c r="AL1749" s="149"/>
      <c r="AM1749" s="149"/>
      <c r="AN1749" s="149"/>
      <c r="AO1749" s="149"/>
      <c r="AP1749" s="149"/>
    </row>
    <row r="1750" ht="18.75" customHeight="1">
      <c r="A1750" s="149"/>
      <c r="B1750" s="149"/>
      <c r="C1750" s="304"/>
      <c r="D1750" s="149"/>
      <c r="E1750" s="149"/>
      <c r="F1750" s="149"/>
      <c r="G1750" s="149"/>
      <c r="H1750" s="149"/>
      <c r="I1750" s="149"/>
      <c r="J1750" s="149"/>
      <c r="K1750" s="149"/>
      <c r="L1750" s="149"/>
      <c r="M1750" s="149"/>
      <c r="N1750" s="149"/>
      <c r="O1750" s="149"/>
      <c r="P1750" s="149"/>
      <c r="Q1750" s="149"/>
      <c r="R1750" s="149"/>
      <c r="S1750" s="149"/>
      <c r="T1750" s="149"/>
      <c r="U1750" s="149"/>
      <c r="V1750" s="149"/>
      <c r="W1750" s="149"/>
      <c r="X1750" s="149"/>
      <c r="Y1750" s="149"/>
      <c r="Z1750" s="149"/>
      <c r="AA1750" s="149"/>
      <c r="AB1750" s="149"/>
      <c r="AC1750" s="149"/>
      <c r="AD1750" s="149"/>
      <c r="AE1750" s="149"/>
      <c r="AF1750" s="149"/>
      <c r="AG1750" s="149"/>
      <c r="AH1750" s="149"/>
      <c r="AI1750" s="149"/>
      <c r="AJ1750" s="149"/>
      <c r="AK1750" s="149"/>
      <c r="AL1750" s="149"/>
      <c r="AM1750" s="149"/>
      <c r="AN1750" s="149"/>
      <c r="AO1750" s="149"/>
      <c r="AP1750" s="149"/>
    </row>
    <row r="1751" ht="18.75" customHeight="1">
      <c r="A1751" s="149"/>
      <c r="B1751" s="149"/>
      <c r="C1751" s="304"/>
      <c r="D1751" s="149"/>
      <c r="E1751" s="149"/>
      <c r="F1751" s="149"/>
      <c r="G1751" s="149"/>
      <c r="H1751" s="149"/>
      <c r="I1751" s="149"/>
      <c r="J1751" s="149"/>
      <c r="K1751" s="149"/>
      <c r="L1751" s="149"/>
      <c r="M1751" s="149"/>
      <c r="N1751" s="149"/>
      <c r="O1751" s="149"/>
      <c r="P1751" s="149"/>
      <c r="Q1751" s="149"/>
      <c r="R1751" s="149"/>
      <c r="S1751" s="149"/>
      <c r="T1751" s="149"/>
      <c r="U1751" s="149"/>
      <c r="V1751" s="149"/>
      <c r="W1751" s="149"/>
      <c r="X1751" s="149"/>
      <c r="Y1751" s="149"/>
      <c r="Z1751" s="149"/>
      <c r="AA1751" s="149"/>
      <c r="AB1751" s="149"/>
      <c r="AC1751" s="149"/>
      <c r="AD1751" s="149"/>
      <c r="AE1751" s="149"/>
      <c r="AF1751" s="149"/>
      <c r="AG1751" s="149"/>
      <c r="AH1751" s="149"/>
      <c r="AI1751" s="149"/>
      <c r="AJ1751" s="149"/>
      <c r="AK1751" s="149"/>
      <c r="AL1751" s="149"/>
      <c r="AM1751" s="149"/>
      <c r="AN1751" s="149"/>
      <c r="AO1751" s="149"/>
      <c r="AP1751" s="149"/>
    </row>
    <row r="1752" ht="18.75" customHeight="1">
      <c r="A1752" s="149"/>
      <c r="B1752" s="149"/>
      <c r="C1752" s="304"/>
      <c r="D1752" s="149"/>
      <c r="E1752" s="149"/>
      <c r="F1752" s="149"/>
      <c r="G1752" s="149"/>
      <c r="H1752" s="149"/>
      <c r="I1752" s="149"/>
      <c r="J1752" s="149"/>
      <c r="K1752" s="149"/>
      <c r="L1752" s="149"/>
      <c r="M1752" s="149"/>
      <c r="N1752" s="149"/>
      <c r="O1752" s="149"/>
      <c r="P1752" s="149"/>
      <c r="Q1752" s="149"/>
      <c r="R1752" s="149"/>
      <c r="S1752" s="149"/>
      <c r="T1752" s="149"/>
      <c r="U1752" s="149"/>
      <c r="V1752" s="149"/>
      <c r="W1752" s="149"/>
      <c r="X1752" s="149"/>
      <c r="Y1752" s="149"/>
      <c r="Z1752" s="149"/>
      <c r="AA1752" s="149"/>
      <c r="AB1752" s="149"/>
      <c r="AC1752" s="149"/>
      <c r="AD1752" s="149"/>
      <c r="AE1752" s="149"/>
      <c r="AF1752" s="149"/>
      <c r="AG1752" s="149"/>
      <c r="AH1752" s="149"/>
      <c r="AI1752" s="149"/>
      <c r="AJ1752" s="149"/>
      <c r="AK1752" s="149"/>
      <c r="AL1752" s="149"/>
      <c r="AM1752" s="149"/>
      <c r="AN1752" s="149"/>
      <c r="AO1752" s="149"/>
      <c r="AP1752" s="149"/>
    </row>
    <row r="1753" ht="18.75" customHeight="1">
      <c r="A1753" s="149"/>
      <c r="B1753" s="149"/>
      <c r="C1753" s="304"/>
      <c r="D1753" s="149"/>
      <c r="E1753" s="149"/>
      <c r="F1753" s="149"/>
      <c r="G1753" s="149"/>
      <c r="H1753" s="149"/>
      <c r="I1753" s="149"/>
      <c r="J1753" s="149"/>
      <c r="K1753" s="149"/>
      <c r="L1753" s="149"/>
      <c r="M1753" s="149"/>
      <c r="N1753" s="149"/>
      <c r="O1753" s="149"/>
      <c r="P1753" s="149"/>
      <c r="Q1753" s="149"/>
      <c r="R1753" s="149"/>
      <c r="S1753" s="149"/>
      <c r="T1753" s="149"/>
      <c r="U1753" s="149"/>
      <c r="V1753" s="149"/>
      <c r="W1753" s="149"/>
      <c r="X1753" s="149"/>
      <c r="Y1753" s="149"/>
      <c r="Z1753" s="149"/>
      <c r="AA1753" s="149"/>
      <c r="AB1753" s="149"/>
      <c r="AC1753" s="149"/>
      <c r="AD1753" s="149"/>
      <c r="AE1753" s="149"/>
      <c r="AF1753" s="149"/>
      <c r="AG1753" s="149"/>
      <c r="AH1753" s="149"/>
      <c r="AI1753" s="149"/>
      <c r="AJ1753" s="149"/>
      <c r="AK1753" s="149"/>
      <c r="AL1753" s="149"/>
      <c r="AM1753" s="149"/>
      <c r="AN1753" s="149"/>
      <c r="AO1753" s="149"/>
      <c r="AP1753" s="149"/>
    </row>
    <row r="1754" ht="18.75" customHeight="1">
      <c r="A1754" s="149"/>
      <c r="B1754" s="149"/>
      <c r="C1754" s="304"/>
      <c r="D1754" s="149"/>
      <c r="E1754" s="149"/>
      <c r="F1754" s="149"/>
      <c r="G1754" s="149"/>
      <c r="H1754" s="149"/>
      <c r="I1754" s="149"/>
      <c r="J1754" s="149"/>
      <c r="K1754" s="149"/>
      <c r="L1754" s="149"/>
      <c r="M1754" s="149"/>
      <c r="N1754" s="149"/>
      <c r="O1754" s="149"/>
      <c r="P1754" s="149"/>
      <c r="Q1754" s="149"/>
      <c r="R1754" s="149"/>
      <c r="S1754" s="149"/>
      <c r="T1754" s="149"/>
      <c r="U1754" s="149"/>
      <c r="V1754" s="149"/>
      <c r="W1754" s="149"/>
      <c r="X1754" s="149"/>
      <c r="Y1754" s="149"/>
      <c r="Z1754" s="149"/>
      <c r="AA1754" s="149"/>
      <c r="AB1754" s="149"/>
      <c r="AC1754" s="149"/>
      <c r="AD1754" s="149"/>
      <c r="AE1754" s="149"/>
      <c r="AF1754" s="149"/>
      <c r="AG1754" s="149"/>
      <c r="AH1754" s="149"/>
      <c r="AI1754" s="149"/>
      <c r="AJ1754" s="149"/>
      <c r="AK1754" s="149"/>
      <c r="AL1754" s="149"/>
      <c r="AM1754" s="149"/>
      <c r="AN1754" s="149"/>
      <c r="AO1754" s="149"/>
      <c r="AP1754" s="149"/>
    </row>
    <row r="1755" ht="18.75" customHeight="1">
      <c r="A1755" s="149"/>
      <c r="B1755" s="149"/>
      <c r="C1755" s="304"/>
      <c r="D1755" s="149"/>
      <c r="E1755" s="149"/>
      <c r="F1755" s="149"/>
      <c r="G1755" s="149"/>
      <c r="H1755" s="149"/>
      <c r="I1755" s="149"/>
      <c r="J1755" s="149"/>
      <c r="K1755" s="149"/>
      <c r="L1755" s="149"/>
      <c r="M1755" s="149"/>
      <c r="N1755" s="149"/>
      <c r="O1755" s="149"/>
      <c r="P1755" s="149"/>
      <c r="Q1755" s="149"/>
      <c r="R1755" s="149"/>
      <c r="S1755" s="149"/>
      <c r="T1755" s="149"/>
      <c r="U1755" s="149"/>
      <c r="V1755" s="149"/>
      <c r="W1755" s="149"/>
      <c r="X1755" s="149"/>
      <c r="Y1755" s="149"/>
      <c r="Z1755" s="149"/>
      <c r="AA1755" s="149"/>
      <c r="AB1755" s="149"/>
      <c r="AC1755" s="149"/>
      <c r="AD1755" s="149"/>
      <c r="AE1755" s="149"/>
      <c r="AF1755" s="149"/>
      <c r="AG1755" s="149"/>
      <c r="AH1755" s="149"/>
      <c r="AI1755" s="149"/>
      <c r="AJ1755" s="149"/>
      <c r="AK1755" s="149"/>
      <c r="AL1755" s="149"/>
      <c r="AM1755" s="149"/>
      <c r="AN1755" s="149"/>
      <c r="AO1755" s="149"/>
      <c r="AP1755" s="149"/>
    </row>
    <row r="1756" ht="18.75" customHeight="1">
      <c r="A1756" s="149"/>
      <c r="B1756" s="149"/>
      <c r="C1756" s="304"/>
      <c r="D1756" s="149"/>
      <c r="E1756" s="149"/>
      <c r="F1756" s="149"/>
      <c r="G1756" s="149"/>
      <c r="H1756" s="149"/>
      <c r="I1756" s="149"/>
      <c r="J1756" s="149"/>
      <c r="K1756" s="149"/>
      <c r="L1756" s="149"/>
      <c r="M1756" s="149"/>
      <c r="N1756" s="149"/>
      <c r="O1756" s="149"/>
      <c r="P1756" s="149"/>
      <c r="Q1756" s="149"/>
      <c r="R1756" s="149"/>
      <c r="S1756" s="149"/>
      <c r="T1756" s="149"/>
      <c r="U1756" s="149"/>
      <c r="V1756" s="149"/>
      <c r="W1756" s="149"/>
      <c r="X1756" s="149"/>
      <c r="Y1756" s="149"/>
      <c r="Z1756" s="149"/>
      <c r="AA1756" s="149"/>
      <c r="AB1756" s="149"/>
      <c r="AC1756" s="149"/>
      <c r="AD1756" s="149"/>
      <c r="AE1756" s="149"/>
      <c r="AF1756" s="149"/>
      <c r="AG1756" s="149"/>
      <c r="AH1756" s="149"/>
      <c r="AI1756" s="149"/>
      <c r="AJ1756" s="149"/>
      <c r="AK1756" s="149"/>
      <c r="AL1756" s="149"/>
      <c r="AM1756" s="149"/>
      <c r="AN1756" s="149"/>
      <c r="AO1756" s="149"/>
      <c r="AP1756" s="149"/>
    </row>
    <row r="1757" ht="18.75" customHeight="1">
      <c r="A1757" s="149"/>
      <c r="B1757" s="149"/>
      <c r="C1757" s="304"/>
      <c r="D1757" s="149"/>
      <c r="E1757" s="149"/>
      <c r="F1757" s="149"/>
      <c r="G1757" s="149"/>
      <c r="H1757" s="149"/>
      <c r="I1757" s="149"/>
      <c r="J1757" s="149"/>
      <c r="K1757" s="149"/>
      <c r="L1757" s="149"/>
      <c r="M1757" s="149"/>
      <c r="N1757" s="149"/>
      <c r="O1757" s="149"/>
      <c r="P1757" s="149"/>
      <c r="Q1757" s="149"/>
      <c r="R1757" s="149"/>
      <c r="S1757" s="149"/>
      <c r="T1757" s="149"/>
      <c r="U1757" s="149"/>
      <c r="V1757" s="149"/>
      <c r="W1757" s="149"/>
      <c r="X1757" s="149"/>
      <c r="Y1757" s="149"/>
      <c r="Z1757" s="149"/>
      <c r="AA1757" s="149"/>
      <c r="AB1757" s="149"/>
      <c r="AC1757" s="149"/>
      <c r="AD1757" s="149"/>
      <c r="AE1757" s="149"/>
      <c r="AF1757" s="149"/>
      <c r="AG1757" s="149"/>
      <c r="AH1757" s="149"/>
      <c r="AI1757" s="149"/>
      <c r="AJ1757" s="149"/>
      <c r="AK1757" s="149"/>
      <c r="AL1757" s="149"/>
      <c r="AM1757" s="149"/>
      <c r="AN1757" s="149"/>
      <c r="AO1757" s="149"/>
      <c r="AP1757" s="149"/>
    </row>
    <row r="1758" ht="18.75" customHeight="1">
      <c r="A1758" s="149"/>
      <c r="B1758" s="149"/>
      <c r="C1758" s="304"/>
      <c r="D1758" s="149"/>
      <c r="E1758" s="149"/>
      <c r="F1758" s="149"/>
      <c r="G1758" s="149"/>
      <c r="H1758" s="149"/>
      <c r="I1758" s="149"/>
      <c r="J1758" s="149"/>
      <c r="K1758" s="149"/>
      <c r="L1758" s="149"/>
      <c r="M1758" s="149"/>
      <c r="N1758" s="149"/>
      <c r="O1758" s="149"/>
      <c r="P1758" s="149"/>
      <c r="Q1758" s="149"/>
      <c r="R1758" s="149"/>
      <c r="S1758" s="149"/>
      <c r="T1758" s="149"/>
      <c r="U1758" s="149"/>
      <c r="V1758" s="149"/>
      <c r="W1758" s="149"/>
      <c r="X1758" s="149"/>
      <c r="Y1758" s="149"/>
      <c r="Z1758" s="149"/>
      <c r="AA1758" s="149"/>
      <c r="AB1758" s="149"/>
      <c r="AC1758" s="149"/>
      <c r="AD1758" s="149"/>
      <c r="AE1758" s="149"/>
      <c r="AF1758" s="149"/>
      <c r="AG1758" s="149"/>
      <c r="AH1758" s="149"/>
      <c r="AI1758" s="149"/>
      <c r="AJ1758" s="149"/>
      <c r="AK1758" s="149"/>
      <c r="AL1758" s="149"/>
      <c r="AM1758" s="149"/>
      <c r="AN1758" s="149"/>
      <c r="AO1758" s="149"/>
      <c r="AP1758" s="149"/>
    </row>
    <row r="1759" ht="18.75" customHeight="1">
      <c r="A1759" s="149"/>
      <c r="B1759" s="149"/>
      <c r="C1759" s="304"/>
      <c r="D1759" s="149"/>
      <c r="E1759" s="149"/>
      <c r="F1759" s="149"/>
      <c r="G1759" s="149"/>
      <c r="H1759" s="149"/>
      <c r="I1759" s="149"/>
      <c r="J1759" s="149"/>
      <c r="K1759" s="149"/>
      <c r="L1759" s="149"/>
      <c r="M1759" s="149"/>
      <c r="N1759" s="149"/>
      <c r="O1759" s="149"/>
      <c r="P1759" s="149"/>
      <c r="Q1759" s="149"/>
      <c r="R1759" s="149"/>
      <c r="S1759" s="149"/>
      <c r="T1759" s="149"/>
      <c r="U1759" s="149"/>
      <c r="V1759" s="149"/>
      <c r="W1759" s="149"/>
      <c r="X1759" s="149"/>
      <c r="Y1759" s="149"/>
      <c r="Z1759" s="149"/>
      <c r="AA1759" s="149"/>
      <c r="AB1759" s="149"/>
      <c r="AC1759" s="149"/>
      <c r="AD1759" s="149"/>
      <c r="AE1759" s="149"/>
      <c r="AF1759" s="149"/>
      <c r="AG1759" s="149"/>
      <c r="AH1759" s="149"/>
      <c r="AI1759" s="149"/>
      <c r="AJ1759" s="149"/>
      <c r="AK1759" s="149"/>
      <c r="AL1759" s="149"/>
      <c r="AM1759" s="149"/>
      <c r="AN1759" s="149"/>
      <c r="AO1759" s="149"/>
      <c r="AP1759" s="149"/>
    </row>
    <row r="1760" ht="18.75" customHeight="1">
      <c r="A1760" s="149"/>
      <c r="B1760" s="149"/>
      <c r="C1760" s="304"/>
      <c r="D1760" s="149"/>
      <c r="E1760" s="149"/>
      <c r="F1760" s="149"/>
      <c r="G1760" s="149"/>
      <c r="H1760" s="149"/>
      <c r="I1760" s="149"/>
      <c r="J1760" s="149"/>
      <c r="K1760" s="149"/>
      <c r="L1760" s="149"/>
      <c r="M1760" s="149"/>
      <c r="N1760" s="149"/>
      <c r="O1760" s="149"/>
      <c r="P1760" s="149"/>
      <c r="Q1760" s="149"/>
      <c r="R1760" s="149"/>
      <c r="S1760" s="149"/>
      <c r="T1760" s="149"/>
      <c r="U1760" s="149"/>
      <c r="V1760" s="149"/>
      <c r="W1760" s="149"/>
      <c r="X1760" s="149"/>
      <c r="Y1760" s="149"/>
      <c r="Z1760" s="149"/>
      <c r="AA1760" s="149"/>
      <c r="AB1760" s="149"/>
      <c r="AC1760" s="149"/>
      <c r="AD1760" s="149"/>
      <c r="AE1760" s="149"/>
      <c r="AF1760" s="149"/>
      <c r="AG1760" s="149"/>
      <c r="AH1760" s="149"/>
      <c r="AI1760" s="149"/>
      <c r="AJ1760" s="149"/>
      <c r="AK1760" s="149"/>
      <c r="AL1760" s="149"/>
      <c r="AM1760" s="149"/>
      <c r="AN1760" s="149"/>
      <c r="AO1760" s="149"/>
      <c r="AP1760" s="149"/>
    </row>
    <row r="1761" ht="18.75" customHeight="1">
      <c r="A1761" s="149"/>
      <c r="B1761" s="149"/>
      <c r="C1761" s="304"/>
      <c r="D1761" s="149"/>
      <c r="E1761" s="149"/>
      <c r="F1761" s="149"/>
      <c r="G1761" s="149"/>
      <c r="H1761" s="149"/>
      <c r="I1761" s="149"/>
      <c r="J1761" s="149"/>
      <c r="K1761" s="149"/>
      <c r="L1761" s="149"/>
      <c r="M1761" s="149"/>
      <c r="N1761" s="149"/>
      <c r="O1761" s="149"/>
      <c r="P1761" s="149"/>
      <c r="Q1761" s="149"/>
      <c r="R1761" s="149"/>
      <c r="S1761" s="149"/>
      <c r="T1761" s="149"/>
      <c r="U1761" s="149"/>
      <c r="V1761" s="149"/>
      <c r="W1761" s="149"/>
      <c r="X1761" s="149"/>
      <c r="Y1761" s="149"/>
      <c r="Z1761" s="149"/>
      <c r="AA1761" s="149"/>
      <c r="AB1761" s="149"/>
      <c r="AC1761" s="149"/>
      <c r="AD1761" s="149"/>
      <c r="AE1761" s="149"/>
      <c r="AF1761" s="149"/>
      <c r="AG1761" s="149"/>
      <c r="AH1761" s="149"/>
      <c r="AI1761" s="149"/>
      <c r="AJ1761" s="149"/>
      <c r="AK1761" s="149"/>
      <c r="AL1761" s="149"/>
      <c r="AM1761" s="149"/>
      <c r="AN1761" s="149"/>
      <c r="AO1761" s="149"/>
      <c r="AP1761" s="149"/>
    </row>
    <row r="1762" ht="18.75" customHeight="1">
      <c r="A1762" s="149"/>
      <c r="B1762" s="149"/>
      <c r="C1762" s="304"/>
      <c r="D1762" s="149"/>
      <c r="E1762" s="149"/>
      <c r="F1762" s="149"/>
      <c r="G1762" s="149"/>
      <c r="H1762" s="149"/>
      <c r="I1762" s="149"/>
      <c r="J1762" s="149"/>
      <c r="K1762" s="149"/>
      <c r="L1762" s="149"/>
      <c r="M1762" s="149"/>
      <c r="N1762" s="149"/>
      <c r="O1762" s="149"/>
      <c r="P1762" s="149"/>
      <c r="Q1762" s="149"/>
      <c r="R1762" s="149"/>
      <c r="S1762" s="149"/>
      <c r="T1762" s="149"/>
      <c r="U1762" s="149"/>
      <c r="V1762" s="149"/>
      <c r="W1762" s="149"/>
      <c r="X1762" s="149"/>
      <c r="Y1762" s="149"/>
      <c r="Z1762" s="149"/>
      <c r="AA1762" s="149"/>
      <c r="AB1762" s="149"/>
      <c r="AC1762" s="149"/>
      <c r="AD1762" s="149"/>
      <c r="AE1762" s="149"/>
      <c r="AF1762" s="149"/>
      <c r="AG1762" s="149"/>
      <c r="AH1762" s="149"/>
      <c r="AI1762" s="149"/>
      <c r="AJ1762" s="149"/>
      <c r="AK1762" s="149"/>
      <c r="AL1762" s="149"/>
      <c r="AM1762" s="149"/>
      <c r="AN1762" s="149"/>
      <c r="AO1762" s="149"/>
      <c r="AP1762" s="149"/>
    </row>
    <row r="1763" ht="18.75" customHeight="1">
      <c r="A1763" s="149"/>
      <c r="B1763" s="149"/>
      <c r="C1763" s="304"/>
      <c r="D1763" s="149"/>
      <c r="E1763" s="149"/>
      <c r="F1763" s="149"/>
      <c r="G1763" s="149"/>
      <c r="H1763" s="149"/>
      <c r="I1763" s="149"/>
      <c r="J1763" s="149"/>
      <c r="K1763" s="149"/>
      <c r="L1763" s="149"/>
      <c r="M1763" s="149"/>
      <c r="N1763" s="149"/>
      <c r="O1763" s="149"/>
      <c r="P1763" s="149"/>
      <c r="Q1763" s="149"/>
      <c r="R1763" s="149"/>
      <c r="S1763" s="149"/>
      <c r="T1763" s="149"/>
      <c r="U1763" s="149"/>
      <c r="V1763" s="149"/>
      <c r="W1763" s="149"/>
      <c r="X1763" s="149"/>
      <c r="Y1763" s="149"/>
      <c r="Z1763" s="149"/>
      <c r="AA1763" s="149"/>
      <c r="AB1763" s="149"/>
      <c r="AC1763" s="149"/>
      <c r="AD1763" s="149"/>
      <c r="AE1763" s="149"/>
      <c r="AF1763" s="149"/>
      <c r="AG1763" s="149"/>
      <c r="AH1763" s="149"/>
      <c r="AI1763" s="149"/>
      <c r="AJ1763" s="149"/>
      <c r="AK1763" s="149"/>
      <c r="AL1763" s="149"/>
      <c r="AM1763" s="149"/>
      <c r="AN1763" s="149"/>
      <c r="AO1763" s="149"/>
      <c r="AP1763" s="149"/>
    </row>
    <row r="1764" ht="18.75" customHeight="1">
      <c r="A1764" s="149"/>
      <c r="B1764" s="149"/>
      <c r="C1764" s="304"/>
      <c r="D1764" s="149"/>
      <c r="E1764" s="149"/>
      <c r="F1764" s="149"/>
      <c r="G1764" s="149"/>
      <c r="H1764" s="149"/>
      <c r="I1764" s="149"/>
      <c r="J1764" s="149"/>
      <c r="K1764" s="149"/>
      <c r="L1764" s="149"/>
      <c r="M1764" s="149"/>
      <c r="N1764" s="149"/>
      <c r="O1764" s="149"/>
      <c r="P1764" s="149"/>
      <c r="Q1764" s="149"/>
      <c r="R1764" s="149"/>
      <c r="S1764" s="149"/>
      <c r="T1764" s="149"/>
      <c r="U1764" s="149"/>
      <c r="V1764" s="149"/>
      <c r="W1764" s="149"/>
      <c r="X1764" s="149"/>
      <c r="Y1764" s="149"/>
      <c r="Z1764" s="149"/>
      <c r="AA1764" s="149"/>
      <c r="AB1764" s="149"/>
      <c r="AC1764" s="149"/>
      <c r="AD1764" s="149"/>
      <c r="AE1764" s="149"/>
      <c r="AF1764" s="149"/>
      <c r="AG1764" s="149"/>
      <c r="AH1764" s="149"/>
      <c r="AI1764" s="149"/>
      <c r="AJ1764" s="149"/>
      <c r="AK1764" s="149"/>
      <c r="AL1764" s="149"/>
      <c r="AM1764" s="149"/>
      <c r="AN1764" s="149"/>
      <c r="AO1764" s="149"/>
      <c r="AP1764" s="149"/>
    </row>
    <row r="1765" ht="18.75" customHeight="1">
      <c r="A1765" s="149"/>
      <c r="B1765" s="149"/>
      <c r="C1765" s="304"/>
      <c r="D1765" s="149"/>
      <c r="E1765" s="149"/>
      <c r="F1765" s="149"/>
      <c r="G1765" s="149"/>
      <c r="H1765" s="149"/>
      <c r="I1765" s="149"/>
      <c r="J1765" s="149"/>
      <c r="K1765" s="149"/>
      <c r="L1765" s="149"/>
      <c r="M1765" s="149"/>
      <c r="N1765" s="149"/>
      <c r="O1765" s="149"/>
      <c r="P1765" s="149"/>
      <c r="Q1765" s="149"/>
      <c r="R1765" s="149"/>
      <c r="S1765" s="149"/>
      <c r="T1765" s="149"/>
      <c r="U1765" s="149"/>
      <c r="V1765" s="149"/>
      <c r="W1765" s="149"/>
      <c r="X1765" s="149"/>
      <c r="Y1765" s="149"/>
      <c r="Z1765" s="149"/>
      <c r="AA1765" s="149"/>
      <c r="AB1765" s="149"/>
      <c r="AC1765" s="149"/>
      <c r="AD1765" s="149"/>
      <c r="AE1765" s="149"/>
      <c r="AF1765" s="149"/>
      <c r="AG1765" s="149"/>
      <c r="AH1765" s="149"/>
      <c r="AI1765" s="149"/>
      <c r="AJ1765" s="149"/>
      <c r="AK1765" s="149"/>
      <c r="AL1765" s="149"/>
      <c r="AM1765" s="149"/>
      <c r="AN1765" s="149"/>
      <c r="AO1765" s="149"/>
      <c r="AP1765" s="149"/>
    </row>
    <row r="1766" ht="18.75" customHeight="1">
      <c r="A1766" s="149"/>
      <c r="B1766" s="149"/>
      <c r="C1766" s="304"/>
      <c r="D1766" s="149"/>
      <c r="E1766" s="149"/>
      <c r="F1766" s="149"/>
      <c r="G1766" s="149"/>
      <c r="H1766" s="149"/>
      <c r="I1766" s="149"/>
      <c r="J1766" s="149"/>
      <c r="K1766" s="149"/>
      <c r="L1766" s="149"/>
      <c r="M1766" s="149"/>
      <c r="N1766" s="149"/>
      <c r="O1766" s="149"/>
      <c r="P1766" s="149"/>
      <c r="Q1766" s="149"/>
      <c r="R1766" s="149"/>
      <c r="S1766" s="149"/>
      <c r="T1766" s="149"/>
      <c r="U1766" s="149"/>
      <c r="V1766" s="149"/>
      <c r="W1766" s="149"/>
      <c r="X1766" s="149"/>
      <c r="Y1766" s="149"/>
      <c r="Z1766" s="149"/>
      <c r="AA1766" s="149"/>
      <c r="AB1766" s="149"/>
      <c r="AC1766" s="149"/>
      <c r="AD1766" s="149"/>
      <c r="AE1766" s="149"/>
      <c r="AF1766" s="149"/>
      <c r="AG1766" s="149"/>
      <c r="AH1766" s="149"/>
      <c r="AI1766" s="149"/>
      <c r="AJ1766" s="149"/>
      <c r="AK1766" s="149"/>
      <c r="AL1766" s="149"/>
      <c r="AM1766" s="149"/>
      <c r="AN1766" s="149"/>
      <c r="AO1766" s="149"/>
      <c r="AP1766" s="149"/>
    </row>
    <row r="1767" ht="18.75" customHeight="1">
      <c r="A1767" s="149"/>
      <c r="B1767" s="149"/>
      <c r="C1767" s="304"/>
      <c r="D1767" s="149"/>
      <c r="E1767" s="149"/>
      <c r="F1767" s="149"/>
      <c r="G1767" s="149"/>
      <c r="H1767" s="149"/>
      <c r="I1767" s="149"/>
      <c r="J1767" s="149"/>
      <c r="K1767" s="149"/>
      <c r="L1767" s="149"/>
      <c r="M1767" s="149"/>
      <c r="N1767" s="149"/>
      <c r="O1767" s="149"/>
      <c r="P1767" s="149"/>
      <c r="Q1767" s="149"/>
      <c r="R1767" s="149"/>
      <c r="S1767" s="149"/>
      <c r="T1767" s="149"/>
      <c r="U1767" s="149"/>
      <c r="V1767" s="149"/>
      <c r="W1767" s="149"/>
      <c r="X1767" s="149"/>
      <c r="Y1767" s="149"/>
      <c r="Z1767" s="149"/>
      <c r="AA1767" s="149"/>
      <c r="AB1767" s="149"/>
      <c r="AC1767" s="149"/>
      <c r="AD1767" s="149"/>
      <c r="AE1767" s="149"/>
      <c r="AF1767" s="149"/>
      <c r="AG1767" s="149"/>
      <c r="AH1767" s="149"/>
      <c r="AI1767" s="149"/>
      <c r="AJ1767" s="149"/>
      <c r="AK1767" s="149"/>
      <c r="AL1767" s="149"/>
      <c r="AM1767" s="149"/>
      <c r="AN1767" s="149"/>
      <c r="AO1767" s="149"/>
      <c r="AP1767" s="149"/>
    </row>
    <row r="1768" ht="18.75" customHeight="1">
      <c r="A1768" s="149"/>
      <c r="B1768" s="149"/>
      <c r="C1768" s="304"/>
      <c r="D1768" s="149"/>
      <c r="E1768" s="149"/>
      <c r="F1768" s="149"/>
      <c r="G1768" s="149"/>
      <c r="H1768" s="149"/>
      <c r="I1768" s="149"/>
      <c r="J1768" s="149"/>
      <c r="K1768" s="149"/>
      <c r="L1768" s="149"/>
      <c r="M1768" s="149"/>
      <c r="N1768" s="149"/>
      <c r="O1768" s="149"/>
      <c r="P1768" s="149"/>
      <c r="Q1768" s="149"/>
      <c r="R1768" s="149"/>
      <c r="S1768" s="149"/>
      <c r="T1768" s="149"/>
      <c r="U1768" s="149"/>
      <c r="V1768" s="149"/>
      <c r="W1768" s="149"/>
      <c r="X1768" s="149"/>
      <c r="Y1768" s="149"/>
      <c r="Z1768" s="149"/>
      <c r="AA1768" s="149"/>
      <c r="AB1768" s="149"/>
      <c r="AC1768" s="149"/>
      <c r="AD1768" s="149"/>
      <c r="AE1768" s="149"/>
      <c r="AF1768" s="149"/>
      <c r="AG1768" s="149"/>
      <c r="AH1768" s="149"/>
      <c r="AI1768" s="149"/>
      <c r="AJ1768" s="149"/>
      <c r="AK1768" s="149"/>
      <c r="AL1768" s="149"/>
      <c r="AM1768" s="149"/>
      <c r="AN1768" s="149"/>
      <c r="AO1768" s="149"/>
      <c r="AP1768" s="149"/>
    </row>
    <row r="1769" ht="18.75" customHeight="1">
      <c r="A1769" s="149"/>
      <c r="B1769" s="149"/>
      <c r="C1769" s="304"/>
      <c r="D1769" s="149"/>
      <c r="E1769" s="149"/>
      <c r="F1769" s="149"/>
      <c r="G1769" s="149"/>
      <c r="H1769" s="149"/>
      <c r="I1769" s="149"/>
      <c r="J1769" s="149"/>
      <c r="K1769" s="149"/>
      <c r="L1769" s="149"/>
      <c r="M1769" s="149"/>
      <c r="N1769" s="149"/>
      <c r="O1769" s="149"/>
      <c r="P1769" s="149"/>
      <c r="Q1769" s="149"/>
      <c r="R1769" s="149"/>
      <c r="S1769" s="149"/>
      <c r="T1769" s="149"/>
      <c r="U1769" s="149"/>
      <c r="V1769" s="149"/>
      <c r="W1769" s="149"/>
      <c r="X1769" s="149"/>
      <c r="Y1769" s="149"/>
      <c r="Z1769" s="149"/>
      <c r="AA1769" s="149"/>
      <c r="AB1769" s="149"/>
      <c r="AC1769" s="149"/>
      <c r="AD1769" s="149"/>
      <c r="AE1769" s="149"/>
      <c r="AF1769" s="149"/>
      <c r="AG1769" s="149"/>
      <c r="AH1769" s="149"/>
      <c r="AI1769" s="149"/>
      <c r="AJ1769" s="149"/>
      <c r="AK1769" s="149"/>
      <c r="AL1769" s="149"/>
      <c r="AM1769" s="149"/>
      <c r="AN1769" s="149"/>
      <c r="AO1769" s="149"/>
      <c r="AP1769" s="149"/>
    </row>
    <row r="1770" ht="18.75" customHeight="1">
      <c r="A1770" s="149"/>
      <c r="B1770" s="149"/>
      <c r="C1770" s="304"/>
      <c r="D1770" s="149"/>
      <c r="E1770" s="149"/>
      <c r="F1770" s="149"/>
      <c r="G1770" s="149"/>
      <c r="H1770" s="149"/>
      <c r="I1770" s="149"/>
      <c r="J1770" s="149"/>
      <c r="K1770" s="149"/>
      <c r="L1770" s="149"/>
      <c r="M1770" s="149"/>
      <c r="N1770" s="149"/>
      <c r="O1770" s="149"/>
      <c r="P1770" s="149"/>
      <c r="Q1770" s="149"/>
      <c r="R1770" s="149"/>
      <c r="S1770" s="149"/>
      <c r="T1770" s="149"/>
      <c r="U1770" s="149"/>
      <c r="V1770" s="149"/>
      <c r="W1770" s="149"/>
      <c r="X1770" s="149"/>
      <c r="Y1770" s="149"/>
      <c r="Z1770" s="149"/>
      <c r="AA1770" s="149"/>
      <c r="AB1770" s="149"/>
      <c r="AC1770" s="149"/>
      <c r="AD1770" s="149"/>
      <c r="AE1770" s="149"/>
      <c r="AF1770" s="149"/>
      <c r="AG1770" s="149"/>
      <c r="AH1770" s="149"/>
      <c r="AI1770" s="149"/>
      <c r="AJ1770" s="149"/>
      <c r="AK1770" s="149"/>
      <c r="AL1770" s="149"/>
      <c r="AM1770" s="149"/>
      <c r="AN1770" s="149"/>
      <c r="AO1770" s="149"/>
      <c r="AP1770" s="149"/>
    </row>
    <row r="1771" ht="18.75" customHeight="1">
      <c r="A1771" s="149"/>
      <c r="B1771" s="149"/>
      <c r="C1771" s="304"/>
      <c r="D1771" s="149"/>
      <c r="E1771" s="149"/>
      <c r="F1771" s="149"/>
      <c r="G1771" s="149"/>
      <c r="H1771" s="149"/>
      <c r="I1771" s="149"/>
      <c r="J1771" s="149"/>
      <c r="K1771" s="149"/>
      <c r="L1771" s="149"/>
      <c r="M1771" s="149"/>
      <c r="N1771" s="149"/>
      <c r="O1771" s="149"/>
      <c r="P1771" s="149"/>
      <c r="Q1771" s="149"/>
      <c r="R1771" s="149"/>
      <c r="S1771" s="149"/>
      <c r="T1771" s="149"/>
      <c r="U1771" s="149"/>
      <c r="V1771" s="149"/>
      <c r="W1771" s="149"/>
      <c r="X1771" s="149"/>
      <c r="Y1771" s="149"/>
      <c r="Z1771" s="149"/>
      <c r="AA1771" s="149"/>
      <c r="AB1771" s="149"/>
      <c r="AC1771" s="149"/>
      <c r="AD1771" s="149"/>
      <c r="AE1771" s="149"/>
      <c r="AF1771" s="149"/>
      <c r="AG1771" s="149"/>
      <c r="AH1771" s="149"/>
      <c r="AI1771" s="149"/>
      <c r="AJ1771" s="149"/>
      <c r="AK1771" s="149"/>
      <c r="AL1771" s="149"/>
      <c r="AM1771" s="149"/>
      <c r="AN1771" s="149"/>
      <c r="AO1771" s="149"/>
      <c r="AP1771" s="149"/>
    </row>
    <row r="1772" ht="18.75" customHeight="1">
      <c r="A1772" s="149"/>
      <c r="B1772" s="149"/>
      <c r="C1772" s="304"/>
      <c r="D1772" s="149"/>
      <c r="E1772" s="149"/>
      <c r="F1772" s="149"/>
      <c r="G1772" s="149"/>
      <c r="H1772" s="149"/>
      <c r="I1772" s="149"/>
      <c r="J1772" s="149"/>
      <c r="K1772" s="149"/>
      <c r="L1772" s="149"/>
      <c r="M1772" s="149"/>
      <c r="N1772" s="149"/>
      <c r="O1772" s="149"/>
      <c r="P1772" s="149"/>
      <c r="Q1772" s="149"/>
      <c r="R1772" s="149"/>
      <c r="S1772" s="149"/>
      <c r="T1772" s="149"/>
      <c r="U1772" s="149"/>
      <c r="V1772" s="149"/>
      <c r="W1772" s="149"/>
      <c r="X1772" s="149"/>
      <c r="Y1772" s="149"/>
      <c r="Z1772" s="149"/>
      <c r="AA1772" s="149"/>
      <c r="AB1772" s="149"/>
      <c r="AC1772" s="149"/>
      <c r="AD1772" s="149"/>
      <c r="AE1772" s="149"/>
      <c r="AF1772" s="149"/>
      <c r="AG1772" s="149"/>
      <c r="AH1772" s="149"/>
      <c r="AI1772" s="149"/>
      <c r="AJ1772" s="149"/>
      <c r="AK1772" s="149"/>
      <c r="AL1772" s="149"/>
      <c r="AM1772" s="149"/>
      <c r="AN1772" s="149"/>
      <c r="AO1772" s="149"/>
      <c r="AP1772" s="149"/>
    </row>
    <row r="1773" ht="18.75" customHeight="1">
      <c r="A1773" s="149"/>
      <c r="B1773" s="149"/>
      <c r="C1773" s="304"/>
      <c r="D1773" s="149"/>
      <c r="E1773" s="149"/>
      <c r="F1773" s="149"/>
      <c r="G1773" s="149"/>
      <c r="H1773" s="149"/>
      <c r="I1773" s="149"/>
      <c r="J1773" s="149"/>
      <c r="K1773" s="149"/>
      <c r="L1773" s="149"/>
      <c r="M1773" s="149"/>
      <c r="N1773" s="149"/>
      <c r="O1773" s="149"/>
      <c r="P1773" s="149"/>
      <c r="Q1773" s="149"/>
      <c r="R1773" s="149"/>
      <c r="S1773" s="149"/>
      <c r="T1773" s="149"/>
      <c r="U1773" s="149"/>
      <c r="V1773" s="149"/>
      <c r="W1773" s="149"/>
      <c r="X1773" s="149"/>
      <c r="Y1773" s="149"/>
      <c r="Z1773" s="149"/>
      <c r="AA1773" s="149"/>
      <c r="AB1773" s="149"/>
      <c r="AC1773" s="149"/>
      <c r="AD1773" s="149"/>
      <c r="AE1773" s="149"/>
      <c r="AF1773" s="149"/>
      <c r="AG1773" s="149"/>
      <c r="AH1773" s="149"/>
      <c r="AI1773" s="149"/>
      <c r="AJ1773" s="149"/>
      <c r="AK1773" s="149"/>
      <c r="AL1773" s="149"/>
      <c r="AM1773" s="149"/>
      <c r="AN1773" s="149"/>
      <c r="AO1773" s="149"/>
      <c r="AP1773" s="149"/>
    </row>
    <row r="1774" ht="18.75" customHeight="1">
      <c r="A1774" s="149"/>
      <c r="B1774" s="149"/>
      <c r="C1774" s="304"/>
      <c r="D1774" s="149"/>
      <c r="E1774" s="149"/>
      <c r="F1774" s="149"/>
      <c r="G1774" s="149"/>
      <c r="H1774" s="149"/>
      <c r="I1774" s="149"/>
      <c r="J1774" s="149"/>
      <c r="K1774" s="149"/>
      <c r="L1774" s="149"/>
      <c r="M1774" s="149"/>
      <c r="N1774" s="149"/>
      <c r="O1774" s="149"/>
      <c r="P1774" s="149"/>
      <c r="Q1774" s="149"/>
      <c r="R1774" s="149"/>
      <c r="S1774" s="149"/>
      <c r="T1774" s="149"/>
      <c r="U1774" s="149"/>
      <c r="V1774" s="149"/>
      <c r="W1774" s="149"/>
      <c r="X1774" s="149"/>
      <c r="Y1774" s="149"/>
      <c r="Z1774" s="149"/>
      <c r="AA1774" s="149"/>
      <c r="AB1774" s="149"/>
      <c r="AC1774" s="149"/>
      <c r="AD1774" s="149"/>
      <c r="AE1774" s="149"/>
      <c r="AF1774" s="149"/>
      <c r="AG1774" s="149"/>
      <c r="AH1774" s="149"/>
      <c r="AI1774" s="149"/>
      <c r="AJ1774" s="149"/>
      <c r="AK1774" s="149"/>
      <c r="AL1774" s="149"/>
      <c r="AM1774" s="149"/>
      <c r="AN1774" s="149"/>
      <c r="AO1774" s="149"/>
      <c r="AP1774" s="149"/>
    </row>
    <row r="1775" ht="18.75" customHeight="1">
      <c r="A1775" s="149"/>
      <c r="B1775" s="149"/>
      <c r="C1775" s="304"/>
      <c r="D1775" s="149"/>
      <c r="E1775" s="149"/>
      <c r="F1775" s="149"/>
      <c r="G1775" s="149"/>
      <c r="H1775" s="149"/>
      <c r="I1775" s="149"/>
      <c r="J1775" s="149"/>
      <c r="K1775" s="149"/>
      <c r="L1775" s="149"/>
      <c r="M1775" s="149"/>
      <c r="N1775" s="149"/>
      <c r="O1775" s="149"/>
      <c r="P1775" s="149"/>
      <c r="Q1775" s="149"/>
      <c r="R1775" s="149"/>
      <c r="S1775" s="149"/>
      <c r="T1775" s="149"/>
      <c r="U1775" s="149"/>
      <c r="V1775" s="149"/>
      <c r="W1775" s="149"/>
      <c r="X1775" s="149"/>
      <c r="Y1775" s="149"/>
      <c r="Z1775" s="149"/>
      <c r="AA1775" s="149"/>
      <c r="AB1775" s="149"/>
      <c r="AC1775" s="149"/>
      <c r="AD1775" s="149"/>
      <c r="AE1775" s="149"/>
      <c r="AF1775" s="149"/>
      <c r="AG1775" s="149"/>
      <c r="AH1775" s="149"/>
      <c r="AI1775" s="149"/>
      <c r="AJ1775" s="149"/>
      <c r="AK1775" s="149"/>
      <c r="AL1775" s="149"/>
      <c r="AM1775" s="149"/>
      <c r="AN1775" s="149"/>
      <c r="AO1775" s="149"/>
      <c r="AP1775" s="149"/>
    </row>
    <row r="1776" ht="18.75" customHeight="1">
      <c r="A1776" s="149"/>
      <c r="B1776" s="149"/>
      <c r="C1776" s="304"/>
      <c r="D1776" s="149"/>
      <c r="E1776" s="149"/>
      <c r="F1776" s="149"/>
      <c r="G1776" s="149"/>
      <c r="H1776" s="149"/>
      <c r="I1776" s="149"/>
      <c r="J1776" s="149"/>
      <c r="K1776" s="149"/>
      <c r="L1776" s="149"/>
      <c r="M1776" s="149"/>
      <c r="N1776" s="149"/>
      <c r="O1776" s="149"/>
      <c r="P1776" s="149"/>
      <c r="Q1776" s="149"/>
      <c r="R1776" s="149"/>
      <c r="S1776" s="149"/>
      <c r="T1776" s="149"/>
      <c r="U1776" s="149"/>
      <c r="V1776" s="149"/>
      <c r="W1776" s="149"/>
      <c r="X1776" s="149"/>
      <c r="Y1776" s="149"/>
      <c r="Z1776" s="149"/>
      <c r="AA1776" s="149"/>
      <c r="AB1776" s="149"/>
      <c r="AC1776" s="149"/>
      <c r="AD1776" s="149"/>
      <c r="AE1776" s="149"/>
      <c r="AF1776" s="149"/>
      <c r="AG1776" s="149"/>
      <c r="AH1776" s="149"/>
      <c r="AI1776" s="149"/>
      <c r="AJ1776" s="149"/>
      <c r="AK1776" s="149"/>
      <c r="AL1776" s="149"/>
      <c r="AM1776" s="149"/>
      <c r="AN1776" s="149"/>
      <c r="AO1776" s="149"/>
      <c r="AP1776" s="149"/>
    </row>
    <row r="1777" ht="18.75" customHeight="1">
      <c r="A1777" s="149"/>
      <c r="B1777" s="149"/>
      <c r="C1777" s="304"/>
      <c r="D1777" s="149"/>
      <c r="E1777" s="149"/>
      <c r="F1777" s="149"/>
      <c r="G1777" s="149"/>
      <c r="H1777" s="149"/>
      <c r="I1777" s="149"/>
      <c r="J1777" s="149"/>
      <c r="K1777" s="149"/>
      <c r="L1777" s="149"/>
      <c r="M1777" s="149"/>
      <c r="N1777" s="149"/>
      <c r="O1777" s="149"/>
      <c r="P1777" s="149"/>
      <c r="Q1777" s="149"/>
      <c r="R1777" s="149"/>
      <c r="S1777" s="149"/>
      <c r="T1777" s="149"/>
      <c r="U1777" s="149"/>
      <c r="V1777" s="149"/>
      <c r="W1777" s="149"/>
      <c r="X1777" s="149"/>
      <c r="Y1777" s="149"/>
      <c r="Z1777" s="149"/>
      <c r="AA1777" s="149"/>
      <c r="AB1777" s="149"/>
      <c r="AC1777" s="149"/>
      <c r="AD1777" s="149"/>
      <c r="AE1777" s="149"/>
      <c r="AF1777" s="149"/>
      <c r="AG1777" s="149"/>
      <c r="AH1777" s="149"/>
      <c r="AI1777" s="149"/>
      <c r="AJ1777" s="149"/>
      <c r="AK1777" s="149"/>
      <c r="AL1777" s="149"/>
      <c r="AM1777" s="149"/>
      <c r="AN1777" s="149"/>
      <c r="AO1777" s="149"/>
      <c r="AP1777" s="149"/>
    </row>
    <row r="1778" ht="18.75" customHeight="1">
      <c r="A1778" s="149"/>
      <c r="B1778" s="149"/>
      <c r="C1778" s="304"/>
      <c r="D1778" s="149"/>
      <c r="E1778" s="149"/>
      <c r="F1778" s="149"/>
      <c r="G1778" s="149"/>
      <c r="H1778" s="149"/>
      <c r="I1778" s="149"/>
      <c r="J1778" s="149"/>
      <c r="K1778" s="149"/>
      <c r="L1778" s="149"/>
      <c r="M1778" s="149"/>
      <c r="N1778" s="149"/>
      <c r="O1778" s="149"/>
      <c r="P1778" s="149"/>
      <c r="Q1778" s="149"/>
      <c r="R1778" s="149"/>
      <c r="S1778" s="149"/>
      <c r="T1778" s="149"/>
      <c r="U1778" s="149"/>
      <c r="V1778" s="149"/>
      <c r="W1778" s="149"/>
      <c r="X1778" s="149"/>
      <c r="Y1778" s="149"/>
      <c r="Z1778" s="149"/>
      <c r="AA1778" s="149"/>
      <c r="AB1778" s="149"/>
      <c r="AC1778" s="149"/>
      <c r="AD1778" s="149"/>
      <c r="AE1778" s="149"/>
      <c r="AF1778" s="149"/>
      <c r="AG1778" s="149"/>
      <c r="AH1778" s="149"/>
      <c r="AI1778" s="149"/>
      <c r="AJ1778" s="149"/>
      <c r="AK1778" s="149"/>
      <c r="AL1778" s="149"/>
      <c r="AM1778" s="149"/>
      <c r="AN1778" s="149"/>
      <c r="AO1778" s="149"/>
      <c r="AP1778" s="149"/>
    </row>
    <row r="1779" ht="18.75" customHeight="1">
      <c r="A1779" s="149"/>
      <c r="B1779" s="149"/>
      <c r="C1779" s="304"/>
      <c r="D1779" s="149"/>
      <c r="E1779" s="149"/>
      <c r="F1779" s="149"/>
      <c r="G1779" s="149"/>
      <c r="H1779" s="149"/>
      <c r="I1779" s="149"/>
      <c r="J1779" s="149"/>
      <c r="K1779" s="149"/>
      <c r="L1779" s="149"/>
      <c r="M1779" s="149"/>
      <c r="N1779" s="149"/>
      <c r="O1779" s="149"/>
      <c r="P1779" s="149"/>
      <c r="Q1779" s="149"/>
      <c r="R1779" s="149"/>
      <c r="S1779" s="149"/>
      <c r="T1779" s="149"/>
      <c r="U1779" s="149"/>
      <c r="V1779" s="149"/>
      <c r="W1779" s="149"/>
      <c r="X1779" s="149"/>
      <c r="Y1779" s="149"/>
      <c r="Z1779" s="149"/>
      <c r="AA1779" s="149"/>
      <c r="AB1779" s="149"/>
      <c r="AC1779" s="149"/>
      <c r="AD1779" s="149"/>
      <c r="AE1779" s="149"/>
      <c r="AF1779" s="149"/>
      <c r="AG1779" s="149"/>
      <c r="AH1779" s="149"/>
      <c r="AI1779" s="149"/>
      <c r="AJ1779" s="149"/>
      <c r="AK1779" s="149"/>
      <c r="AL1779" s="149"/>
      <c r="AM1779" s="149"/>
      <c r="AN1779" s="149"/>
      <c r="AO1779" s="149"/>
      <c r="AP1779" s="149"/>
    </row>
    <row r="1780" ht="18.75" customHeight="1">
      <c r="A1780" s="149"/>
      <c r="B1780" s="149"/>
      <c r="C1780" s="304"/>
      <c r="D1780" s="149"/>
      <c r="E1780" s="149"/>
      <c r="F1780" s="149"/>
      <c r="G1780" s="149"/>
      <c r="H1780" s="149"/>
      <c r="I1780" s="149"/>
      <c r="J1780" s="149"/>
      <c r="K1780" s="149"/>
      <c r="L1780" s="149"/>
      <c r="M1780" s="149"/>
      <c r="N1780" s="149"/>
      <c r="O1780" s="149"/>
      <c r="P1780" s="149"/>
      <c r="Q1780" s="149"/>
      <c r="R1780" s="149"/>
      <c r="S1780" s="149"/>
      <c r="T1780" s="149"/>
      <c r="U1780" s="149"/>
      <c r="V1780" s="149"/>
      <c r="W1780" s="149"/>
      <c r="X1780" s="149"/>
      <c r="Y1780" s="149"/>
      <c r="Z1780" s="149"/>
      <c r="AA1780" s="149"/>
      <c r="AB1780" s="149"/>
      <c r="AC1780" s="149"/>
      <c r="AD1780" s="149"/>
      <c r="AE1780" s="149"/>
      <c r="AF1780" s="149"/>
      <c r="AG1780" s="149"/>
      <c r="AH1780" s="149"/>
      <c r="AI1780" s="149"/>
      <c r="AJ1780" s="149"/>
      <c r="AK1780" s="149"/>
      <c r="AL1780" s="149"/>
      <c r="AM1780" s="149"/>
      <c r="AN1780" s="149"/>
      <c r="AO1780" s="149"/>
      <c r="AP1780" s="149"/>
    </row>
    <row r="1781" ht="18.75" customHeight="1">
      <c r="A1781" s="149"/>
      <c r="B1781" s="149"/>
      <c r="C1781" s="304"/>
      <c r="D1781" s="149"/>
      <c r="E1781" s="149"/>
      <c r="F1781" s="149"/>
      <c r="G1781" s="149"/>
      <c r="H1781" s="149"/>
      <c r="I1781" s="149"/>
      <c r="J1781" s="149"/>
      <c r="K1781" s="149"/>
      <c r="L1781" s="149"/>
      <c r="M1781" s="149"/>
      <c r="N1781" s="149"/>
      <c r="O1781" s="149"/>
      <c r="P1781" s="149"/>
      <c r="Q1781" s="149"/>
      <c r="R1781" s="149"/>
      <c r="S1781" s="149"/>
      <c r="T1781" s="149"/>
      <c r="U1781" s="149"/>
      <c r="V1781" s="149"/>
      <c r="W1781" s="149"/>
      <c r="X1781" s="149"/>
      <c r="Y1781" s="149"/>
      <c r="Z1781" s="149"/>
      <c r="AA1781" s="149"/>
      <c r="AB1781" s="149"/>
      <c r="AC1781" s="149"/>
      <c r="AD1781" s="149"/>
      <c r="AE1781" s="149"/>
      <c r="AF1781" s="149"/>
      <c r="AG1781" s="149"/>
      <c r="AH1781" s="149"/>
      <c r="AI1781" s="149"/>
      <c r="AJ1781" s="149"/>
      <c r="AK1781" s="149"/>
      <c r="AL1781" s="149"/>
      <c r="AM1781" s="149"/>
      <c r="AN1781" s="149"/>
      <c r="AO1781" s="149"/>
      <c r="AP1781" s="149"/>
    </row>
    <row r="1782" ht="18.75" customHeight="1">
      <c r="A1782" s="149"/>
      <c r="B1782" s="149"/>
      <c r="C1782" s="304"/>
      <c r="D1782" s="149"/>
      <c r="E1782" s="149"/>
      <c r="F1782" s="149"/>
      <c r="G1782" s="149"/>
      <c r="H1782" s="149"/>
      <c r="I1782" s="149"/>
      <c r="J1782" s="149"/>
      <c r="K1782" s="149"/>
      <c r="L1782" s="149"/>
      <c r="M1782" s="149"/>
      <c r="N1782" s="149"/>
      <c r="O1782" s="149"/>
      <c r="P1782" s="149"/>
      <c r="Q1782" s="149"/>
      <c r="R1782" s="149"/>
      <c r="S1782" s="149"/>
      <c r="T1782" s="149"/>
      <c r="U1782" s="149"/>
      <c r="V1782" s="149"/>
      <c r="W1782" s="149"/>
      <c r="X1782" s="149"/>
      <c r="Y1782" s="149"/>
      <c r="Z1782" s="149"/>
      <c r="AA1782" s="149"/>
      <c r="AB1782" s="149"/>
      <c r="AC1782" s="149"/>
      <c r="AD1782" s="149"/>
      <c r="AE1782" s="149"/>
      <c r="AF1782" s="149"/>
      <c r="AG1782" s="149"/>
      <c r="AH1782" s="149"/>
      <c r="AI1782" s="149"/>
      <c r="AJ1782" s="149"/>
      <c r="AK1782" s="149"/>
      <c r="AL1782" s="149"/>
      <c r="AM1782" s="149"/>
      <c r="AN1782" s="149"/>
      <c r="AO1782" s="149"/>
      <c r="AP1782" s="149"/>
    </row>
    <row r="1783" ht="18.75" customHeight="1">
      <c r="A1783" s="149"/>
      <c r="B1783" s="149"/>
      <c r="C1783" s="304"/>
      <c r="D1783" s="149"/>
      <c r="E1783" s="149"/>
      <c r="F1783" s="149"/>
      <c r="G1783" s="149"/>
      <c r="H1783" s="149"/>
      <c r="I1783" s="149"/>
      <c r="J1783" s="149"/>
      <c r="K1783" s="149"/>
      <c r="L1783" s="149"/>
      <c r="M1783" s="149"/>
      <c r="N1783" s="149"/>
      <c r="O1783" s="149"/>
      <c r="P1783" s="149"/>
      <c r="Q1783" s="149"/>
      <c r="R1783" s="149"/>
      <c r="S1783" s="149"/>
      <c r="T1783" s="149"/>
      <c r="U1783" s="149"/>
      <c r="V1783" s="149"/>
      <c r="W1783" s="149"/>
      <c r="X1783" s="149"/>
      <c r="Y1783" s="149"/>
      <c r="Z1783" s="149"/>
      <c r="AA1783" s="149"/>
      <c r="AB1783" s="149"/>
      <c r="AC1783" s="149"/>
      <c r="AD1783" s="149"/>
      <c r="AE1783" s="149"/>
      <c r="AF1783" s="149"/>
      <c r="AG1783" s="149"/>
      <c r="AH1783" s="149"/>
      <c r="AI1783" s="149"/>
      <c r="AJ1783" s="149"/>
      <c r="AK1783" s="149"/>
      <c r="AL1783" s="149"/>
      <c r="AM1783" s="149"/>
      <c r="AN1783" s="149"/>
      <c r="AO1783" s="149"/>
      <c r="AP1783" s="149"/>
    </row>
    <row r="1784" ht="18.75" customHeight="1">
      <c r="A1784" s="149"/>
      <c r="B1784" s="149"/>
      <c r="C1784" s="304"/>
      <c r="D1784" s="149"/>
      <c r="E1784" s="149"/>
      <c r="F1784" s="149"/>
      <c r="G1784" s="149"/>
      <c r="H1784" s="149"/>
      <c r="I1784" s="149"/>
      <c r="J1784" s="149"/>
      <c r="K1784" s="149"/>
      <c r="L1784" s="149"/>
      <c r="M1784" s="149"/>
      <c r="N1784" s="149"/>
      <c r="O1784" s="149"/>
      <c r="P1784" s="149"/>
      <c r="Q1784" s="149"/>
      <c r="R1784" s="149"/>
      <c r="S1784" s="149"/>
      <c r="T1784" s="149"/>
      <c r="U1784" s="149"/>
      <c r="V1784" s="149"/>
      <c r="W1784" s="149"/>
      <c r="X1784" s="149"/>
      <c r="Y1784" s="149"/>
      <c r="Z1784" s="149"/>
      <c r="AA1784" s="149"/>
      <c r="AB1784" s="149"/>
      <c r="AC1784" s="149"/>
      <c r="AD1784" s="149"/>
      <c r="AE1784" s="149"/>
      <c r="AF1784" s="149"/>
      <c r="AG1784" s="149"/>
      <c r="AH1784" s="149"/>
      <c r="AI1784" s="149"/>
      <c r="AJ1784" s="149"/>
      <c r="AK1784" s="149"/>
      <c r="AL1784" s="149"/>
      <c r="AM1784" s="149"/>
      <c r="AN1784" s="149"/>
      <c r="AO1784" s="149"/>
      <c r="AP1784" s="149"/>
    </row>
    <row r="1785" ht="18.75" customHeight="1">
      <c r="A1785" s="149"/>
      <c r="B1785" s="149"/>
      <c r="C1785" s="304"/>
      <c r="D1785" s="149"/>
      <c r="E1785" s="149"/>
      <c r="F1785" s="149"/>
      <c r="G1785" s="149"/>
      <c r="H1785" s="149"/>
      <c r="I1785" s="149"/>
      <c r="J1785" s="149"/>
      <c r="K1785" s="149"/>
      <c r="L1785" s="149"/>
      <c r="M1785" s="149"/>
      <c r="N1785" s="149"/>
      <c r="O1785" s="149"/>
      <c r="P1785" s="149"/>
      <c r="Q1785" s="149"/>
      <c r="R1785" s="149"/>
      <c r="S1785" s="149"/>
      <c r="T1785" s="149"/>
      <c r="U1785" s="149"/>
      <c r="V1785" s="149"/>
      <c r="W1785" s="149"/>
      <c r="X1785" s="149"/>
      <c r="Y1785" s="149"/>
      <c r="Z1785" s="149"/>
      <c r="AA1785" s="149"/>
      <c r="AB1785" s="149"/>
      <c r="AC1785" s="149"/>
      <c r="AD1785" s="149"/>
      <c r="AE1785" s="149"/>
      <c r="AF1785" s="149"/>
      <c r="AG1785" s="149"/>
      <c r="AH1785" s="149"/>
      <c r="AI1785" s="149"/>
      <c r="AJ1785" s="149"/>
      <c r="AK1785" s="149"/>
      <c r="AL1785" s="149"/>
      <c r="AM1785" s="149"/>
      <c r="AN1785" s="149"/>
      <c r="AO1785" s="149"/>
      <c r="AP1785" s="149"/>
    </row>
    <row r="1786" ht="18.75" customHeight="1">
      <c r="A1786" s="149"/>
      <c r="B1786" s="149"/>
      <c r="C1786" s="304"/>
      <c r="D1786" s="149"/>
      <c r="E1786" s="149"/>
      <c r="F1786" s="149"/>
      <c r="G1786" s="149"/>
      <c r="H1786" s="149"/>
      <c r="I1786" s="149"/>
      <c r="J1786" s="149"/>
      <c r="K1786" s="149"/>
      <c r="L1786" s="149"/>
      <c r="M1786" s="149"/>
      <c r="N1786" s="149"/>
      <c r="O1786" s="149"/>
      <c r="P1786" s="149"/>
      <c r="Q1786" s="149"/>
      <c r="R1786" s="149"/>
      <c r="S1786" s="149"/>
      <c r="T1786" s="149"/>
      <c r="U1786" s="149"/>
      <c r="V1786" s="149"/>
      <c r="W1786" s="149"/>
      <c r="X1786" s="149"/>
      <c r="Y1786" s="149"/>
      <c r="Z1786" s="149"/>
      <c r="AA1786" s="149"/>
      <c r="AB1786" s="149"/>
      <c r="AC1786" s="149"/>
      <c r="AD1786" s="149"/>
      <c r="AE1786" s="149"/>
      <c r="AF1786" s="149"/>
      <c r="AG1786" s="149"/>
      <c r="AH1786" s="149"/>
      <c r="AI1786" s="149"/>
      <c r="AJ1786" s="149"/>
      <c r="AK1786" s="149"/>
      <c r="AL1786" s="149"/>
      <c r="AM1786" s="149"/>
      <c r="AN1786" s="149"/>
      <c r="AO1786" s="149"/>
      <c r="AP1786" s="149"/>
    </row>
    <row r="1787" ht="18.75" customHeight="1">
      <c r="A1787" s="149"/>
      <c r="B1787" s="149"/>
      <c r="C1787" s="304"/>
      <c r="D1787" s="149"/>
      <c r="E1787" s="149"/>
      <c r="F1787" s="149"/>
      <c r="G1787" s="149"/>
      <c r="H1787" s="149"/>
      <c r="I1787" s="149"/>
      <c r="J1787" s="149"/>
      <c r="K1787" s="149"/>
      <c r="L1787" s="149"/>
      <c r="M1787" s="149"/>
      <c r="N1787" s="149"/>
      <c r="O1787" s="149"/>
      <c r="P1787" s="149"/>
      <c r="Q1787" s="149"/>
      <c r="R1787" s="149"/>
      <c r="S1787" s="149"/>
      <c r="T1787" s="149"/>
      <c r="U1787" s="149"/>
      <c r="V1787" s="149"/>
      <c r="W1787" s="149"/>
      <c r="X1787" s="149"/>
      <c r="Y1787" s="149"/>
      <c r="Z1787" s="149"/>
      <c r="AA1787" s="149"/>
      <c r="AB1787" s="149"/>
      <c r="AC1787" s="149"/>
      <c r="AD1787" s="149"/>
      <c r="AE1787" s="149"/>
      <c r="AF1787" s="149"/>
      <c r="AG1787" s="149"/>
      <c r="AH1787" s="149"/>
      <c r="AI1787" s="149"/>
      <c r="AJ1787" s="149"/>
      <c r="AK1787" s="149"/>
      <c r="AL1787" s="149"/>
      <c r="AM1787" s="149"/>
      <c r="AN1787" s="149"/>
      <c r="AO1787" s="149"/>
      <c r="AP1787" s="149"/>
    </row>
    <row r="1788" ht="18.75" customHeight="1">
      <c r="A1788" s="149"/>
      <c r="B1788" s="149"/>
      <c r="C1788" s="304"/>
      <c r="D1788" s="149"/>
      <c r="E1788" s="149"/>
      <c r="F1788" s="149"/>
      <c r="G1788" s="149"/>
      <c r="H1788" s="149"/>
      <c r="I1788" s="149"/>
      <c r="J1788" s="149"/>
      <c r="K1788" s="149"/>
      <c r="L1788" s="149"/>
      <c r="M1788" s="149"/>
      <c r="N1788" s="149"/>
      <c r="O1788" s="149"/>
      <c r="P1788" s="149"/>
      <c r="Q1788" s="149"/>
      <c r="R1788" s="149"/>
      <c r="S1788" s="149"/>
      <c r="T1788" s="149"/>
      <c r="U1788" s="149"/>
      <c r="V1788" s="149"/>
      <c r="W1788" s="149"/>
      <c r="X1788" s="149"/>
      <c r="Y1788" s="149"/>
      <c r="Z1788" s="149"/>
      <c r="AA1788" s="149"/>
      <c r="AB1788" s="149"/>
      <c r="AC1788" s="149"/>
      <c r="AD1788" s="149"/>
      <c r="AE1788" s="149"/>
      <c r="AF1788" s="149"/>
      <c r="AG1788" s="149"/>
      <c r="AH1788" s="149"/>
      <c r="AI1788" s="149"/>
      <c r="AJ1788" s="149"/>
      <c r="AK1788" s="149"/>
      <c r="AL1788" s="149"/>
      <c r="AM1788" s="149"/>
      <c r="AN1788" s="149"/>
      <c r="AO1788" s="149"/>
      <c r="AP1788" s="149"/>
    </row>
    <row r="1789" ht="18.75" customHeight="1">
      <c r="A1789" s="149"/>
      <c r="B1789" s="149"/>
      <c r="C1789" s="304"/>
      <c r="D1789" s="149"/>
      <c r="E1789" s="149"/>
      <c r="F1789" s="149"/>
      <c r="G1789" s="149"/>
      <c r="H1789" s="149"/>
      <c r="I1789" s="149"/>
      <c r="J1789" s="149"/>
      <c r="K1789" s="149"/>
      <c r="L1789" s="149"/>
      <c r="M1789" s="149"/>
      <c r="N1789" s="149"/>
      <c r="O1789" s="149"/>
      <c r="P1789" s="149"/>
      <c r="Q1789" s="149"/>
      <c r="R1789" s="149"/>
      <c r="S1789" s="149"/>
      <c r="T1789" s="149"/>
      <c r="U1789" s="149"/>
      <c r="V1789" s="149"/>
      <c r="W1789" s="149"/>
      <c r="X1789" s="149"/>
      <c r="Y1789" s="149"/>
      <c r="Z1789" s="149"/>
      <c r="AA1789" s="149"/>
      <c r="AB1789" s="149"/>
      <c r="AC1789" s="149"/>
      <c r="AD1789" s="149"/>
      <c r="AE1789" s="149"/>
      <c r="AF1789" s="149"/>
      <c r="AG1789" s="149"/>
      <c r="AH1789" s="149"/>
      <c r="AI1789" s="149"/>
      <c r="AJ1789" s="149"/>
      <c r="AK1789" s="149"/>
      <c r="AL1789" s="149"/>
      <c r="AM1789" s="149"/>
      <c r="AN1789" s="149"/>
      <c r="AO1789" s="149"/>
      <c r="AP1789" s="149"/>
    </row>
    <row r="1790" ht="18.75" customHeight="1">
      <c r="A1790" s="149"/>
      <c r="B1790" s="149"/>
      <c r="C1790" s="304"/>
      <c r="D1790" s="149"/>
      <c r="E1790" s="149"/>
      <c r="F1790" s="149"/>
      <c r="G1790" s="149"/>
      <c r="H1790" s="149"/>
      <c r="I1790" s="149"/>
      <c r="J1790" s="149"/>
      <c r="K1790" s="149"/>
      <c r="L1790" s="149"/>
      <c r="M1790" s="149"/>
      <c r="N1790" s="149"/>
      <c r="O1790" s="149"/>
      <c r="P1790" s="149"/>
      <c r="Q1790" s="149"/>
      <c r="R1790" s="149"/>
      <c r="S1790" s="149"/>
      <c r="T1790" s="149"/>
      <c r="U1790" s="149"/>
      <c r="V1790" s="149"/>
      <c r="W1790" s="149"/>
      <c r="X1790" s="149"/>
      <c r="Y1790" s="149"/>
      <c r="Z1790" s="149"/>
      <c r="AA1790" s="149"/>
      <c r="AB1790" s="149"/>
      <c r="AC1790" s="149"/>
      <c r="AD1790" s="149"/>
      <c r="AE1790" s="149"/>
      <c r="AF1790" s="149"/>
      <c r="AG1790" s="149"/>
      <c r="AH1790" s="149"/>
      <c r="AI1790" s="149"/>
      <c r="AJ1790" s="149"/>
      <c r="AK1790" s="149"/>
      <c r="AL1790" s="149"/>
      <c r="AM1790" s="149"/>
      <c r="AN1790" s="149"/>
      <c r="AO1790" s="149"/>
      <c r="AP1790" s="149"/>
    </row>
    <row r="1791" ht="18.75" customHeight="1">
      <c r="A1791" s="149"/>
      <c r="B1791" s="149"/>
      <c r="C1791" s="304"/>
      <c r="D1791" s="149"/>
      <c r="E1791" s="149"/>
      <c r="F1791" s="149"/>
      <c r="G1791" s="149"/>
      <c r="H1791" s="149"/>
      <c r="I1791" s="149"/>
      <c r="J1791" s="149"/>
      <c r="K1791" s="149"/>
      <c r="L1791" s="149"/>
      <c r="M1791" s="149"/>
      <c r="N1791" s="149"/>
      <c r="O1791" s="149"/>
      <c r="P1791" s="149"/>
      <c r="Q1791" s="149"/>
      <c r="R1791" s="149"/>
      <c r="S1791" s="149"/>
      <c r="T1791" s="149"/>
      <c r="U1791" s="149"/>
      <c r="V1791" s="149"/>
      <c r="W1791" s="149"/>
      <c r="X1791" s="149"/>
      <c r="Y1791" s="149"/>
      <c r="Z1791" s="149"/>
      <c r="AA1791" s="149"/>
      <c r="AB1791" s="149"/>
      <c r="AC1791" s="149"/>
      <c r="AD1791" s="149"/>
      <c r="AE1791" s="149"/>
      <c r="AF1791" s="149"/>
      <c r="AG1791" s="149"/>
      <c r="AH1791" s="149"/>
      <c r="AI1791" s="149"/>
      <c r="AJ1791" s="149"/>
      <c r="AK1791" s="149"/>
      <c r="AL1791" s="149"/>
      <c r="AM1791" s="149"/>
      <c r="AN1791" s="149"/>
      <c r="AO1791" s="149"/>
      <c r="AP1791" s="149"/>
    </row>
    <row r="1792" ht="18.75" customHeight="1">
      <c r="A1792" s="149"/>
      <c r="B1792" s="149"/>
      <c r="C1792" s="304"/>
      <c r="D1792" s="149"/>
      <c r="E1792" s="149"/>
      <c r="F1792" s="149"/>
      <c r="G1792" s="149"/>
      <c r="H1792" s="149"/>
      <c r="I1792" s="149"/>
      <c r="J1792" s="149"/>
      <c r="K1792" s="149"/>
      <c r="L1792" s="149"/>
      <c r="M1792" s="149"/>
      <c r="N1792" s="149"/>
      <c r="O1792" s="149"/>
      <c r="P1792" s="149"/>
      <c r="Q1792" s="149"/>
      <c r="R1792" s="149"/>
      <c r="S1792" s="149"/>
      <c r="T1792" s="149"/>
      <c r="U1792" s="149"/>
      <c r="V1792" s="149"/>
      <c r="W1792" s="149"/>
      <c r="X1792" s="149"/>
      <c r="Y1792" s="149"/>
      <c r="Z1792" s="149"/>
      <c r="AA1792" s="149"/>
      <c r="AB1792" s="149"/>
      <c r="AC1792" s="149"/>
      <c r="AD1792" s="149"/>
      <c r="AE1792" s="149"/>
      <c r="AF1792" s="149"/>
      <c r="AG1792" s="149"/>
      <c r="AH1792" s="149"/>
      <c r="AI1792" s="149"/>
      <c r="AJ1792" s="149"/>
      <c r="AK1792" s="149"/>
      <c r="AL1792" s="149"/>
      <c r="AM1792" s="149"/>
      <c r="AN1792" s="149"/>
      <c r="AO1792" s="149"/>
      <c r="AP1792" s="149"/>
    </row>
    <row r="1793" ht="18.75" customHeight="1">
      <c r="A1793" s="149"/>
      <c r="B1793" s="149"/>
      <c r="C1793" s="304"/>
      <c r="D1793" s="149"/>
      <c r="E1793" s="149"/>
      <c r="F1793" s="149"/>
      <c r="G1793" s="149"/>
      <c r="H1793" s="149"/>
      <c r="I1793" s="149"/>
      <c r="J1793" s="149"/>
      <c r="K1793" s="149"/>
      <c r="L1793" s="149"/>
      <c r="M1793" s="149"/>
      <c r="N1793" s="149"/>
      <c r="O1793" s="149"/>
      <c r="P1793" s="149"/>
      <c r="Q1793" s="149"/>
      <c r="R1793" s="149"/>
      <c r="S1793" s="149"/>
      <c r="T1793" s="149"/>
      <c r="U1793" s="149"/>
      <c r="V1793" s="149"/>
      <c r="W1793" s="149"/>
      <c r="X1793" s="149"/>
      <c r="Y1793" s="149"/>
      <c r="Z1793" s="149"/>
      <c r="AA1793" s="149"/>
      <c r="AB1793" s="149"/>
      <c r="AC1793" s="149"/>
      <c r="AD1793" s="149"/>
      <c r="AE1793" s="149"/>
      <c r="AF1793" s="149"/>
      <c r="AG1793" s="149"/>
      <c r="AH1793" s="149"/>
      <c r="AI1793" s="149"/>
      <c r="AJ1793" s="149"/>
      <c r="AK1793" s="149"/>
      <c r="AL1793" s="149"/>
      <c r="AM1793" s="149"/>
      <c r="AN1793" s="149"/>
      <c r="AO1793" s="149"/>
      <c r="AP1793" s="149"/>
    </row>
    <row r="1794" ht="18.75" customHeight="1">
      <c r="A1794" s="149"/>
      <c r="B1794" s="149"/>
      <c r="C1794" s="304"/>
      <c r="D1794" s="149"/>
      <c r="E1794" s="149"/>
      <c r="F1794" s="149"/>
      <c r="G1794" s="149"/>
      <c r="H1794" s="149"/>
      <c r="I1794" s="149"/>
      <c r="J1794" s="149"/>
      <c r="K1794" s="149"/>
      <c r="L1794" s="149"/>
      <c r="M1794" s="149"/>
      <c r="N1794" s="149"/>
      <c r="O1794" s="149"/>
      <c r="P1794" s="149"/>
      <c r="Q1794" s="149"/>
      <c r="R1794" s="149"/>
      <c r="S1794" s="149"/>
      <c r="T1794" s="149"/>
      <c r="U1794" s="149"/>
      <c r="V1794" s="149"/>
      <c r="W1794" s="149"/>
      <c r="X1794" s="149"/>
      <c r="Y1794" s="149"/>
      <c r="Z1794" s="149"/>
      <c r="AA1794" s="149"/>
      <c r="AB1794" s="149"/>
      <c r="AC1794" s="149"/>
      <c r="AD1794" s="149"/>
      <c r="AE1794" s="149"/>
      <c r="AF1794" s="149"/>
      <c r="AG1794" s="149"/>
      <c r="AH1794" s="149"/>
      <c r="AI1794" s="149"/>
      <c r="AJ1794" s="149"/>
      <c r="AK1794" s="149"/>
      <c r="AL1794" s="149"/>
      <c r="AM1794" s="149"/>
      <c r="AN1794" s="149"/>
      <c r="AO1794" s="149"/>
      <c r="AP1794" s="149"/>
    </row>
    <row r="1795" ht="18.75" customHeight="1">
      <c r="A1795" s="149"/>
      <c r="B1795" s="149"/>
      <c r="C1795" s="304"/>
      <c r="D1795" s="149"/>
      <c r="E1795" s="149"/>
      <c r="F1795" s="149"/>
      <c r="G1795" s="149"/>
      <c r="H1795" s="149"/>
      <c r="I1795" s="149"/>
      <c r="J1795" s="149"/>
      <c r="K1795" s="149"/>
      <c r="L1795" s="149"/>
      <c r="M1795" s="149"/>
      <c r="N1795" s="149"/>
      <c r="O1795" s="149"/>
      <c r="P1795" s="149"/>
      <c r="Q1795" s="149"/>
      <c r="R1795" s="149"/>
      <c r="S1795" s="149"/>
      <c r="T1795" s="149"/>
      <c r="U1795" s="149"/>
      <c r="V1795" s="149"/>
      <c r="W1795" s="149"/>
      <c r="X1795" s="149"/>
      <c r="Y1795" s="149"/>
      <c r="Z1795" s="149"/>
      <c r="AA1795" s="149"/>
      <c r="AB1795" s="149"/>
      <c r="AC1795" s="149"/>
      <c r="AD1795" s="149"/>
      <c r="AE1795" s="149"/>
      <c r="AF1795" s="149"/>
      <c r="AG1795" s="149"/>
      <c r="AH1795" s="149"/>
      <c r="AI1795" s="149"/>
      <c r="AJ1795" s="149"/>
      <c r="AK1795" s="149"/>
      <c r="AL1795" s="149"/>
      <c r="AM1795" s="149"/>
      <c r="AN1795" s="149"/>
      <c r="AO1795" s="149"/>
      <c r="AP1795" s="149"/>
    </row>
    <row r="1796" ht="18.75" customHeight="1">
      <c r="A1796" s="149"/>
      <c r="B1796" s="149"/>
      <c r="C1796" s="304"/>
      <c r="D1796" s="149"/>
      <c r="E1796" s="149"/>
      <c r="F1796" s="149"/>
      <c r="G1796" s="149"/>
      <c r="H1796" s="149"/>
      <c r="I1796" s="149"/>
      <c r="J1796" s="149"/>
      <c r="K1796" s="149"/>
      <c r="L1796" s="149"/>
      <c r="M1796" s="149"/>
      <c r="N1796" s="149"/>
      <c r="O1796" s="149"/>
      <c r="P1796" s="149"/>
      <c r="Q1796" s="149"/>
      <c r="R1796" s="149"/>
      <c r="S1796" s="149"/>
      <c r="T1796" s="149"/>
      <c r="U1796" s="149"/>
      <c r="V1796" s="149"/>
      <c r="W1796" s="149"/>
      <c r="X1796" s="149"/>
      <c r="Y1796" s="149"/>
      <c r="Z1796" s="149"/>
      <c r="AA1796" s="149"/>
      <c r="AB1796" s="149"/>
      <c r="AC1796" s="149"/>
      <c r="AD1796" s="149"/>
      <c r="AE1796" s="149"/>
      <c r="AF1796" s="149"/>
      <c r="AG1796" s="149"/>
      <c r="AH1796" s="149"/>
      <c r="AI1796" s="149"/>
      <c r="AJ1796" s="149"/>
      <c r="AK1796" s="149"/>
      <c r="AL1796" s="149"/>
      <c r="AM1796" s="149"/>
      <c r="AN1796" s="149"/>
      <c r="AO1796" s="149"/>
      <c r="AP1796" s="149"/>
    </row>
    <row r="1797" ht="18.75" customHeight="1">
      <c r="A1797" s="149"/>
      <c r="B1797" s="149"/>
      <c r="C1797" s="304"/>
      <c r="D1797" s="149"/>
      <c r="E1797" s="149"/>
      <c r="F1797" s="149"/>
      <c r="G1797" s="149"/>
      <c r="H1797" s="149"/>
      <c r="I1797" s="149"/>
      <c r="J1797" s="149"/>
      <c r="K1797" s="149"/>
      <c r="L1797" s="149"/>
      <c r="M1797" s="149"/>
      <c r="N1797" s="149"/>
      <c r="O1797" s="149"/>
      <c r="P1797" s="149"/>
      <c r="Q1797" s="149"/>
      <c r="R1797" s="149"/>
      <c r="S1797" s="149"/>
      <c r="T1797" s="149"/>
      <c r="U1797" s="149"/>
      <c r="V1797" s="149"/>
      <c r="W1797" s="149"/>
      <c r="X1797" s="149"/>
      <c r="Y1797" s="149"/>
      <c r="Z1797" s="149"/>
      <c r="AA1797" s="149"/>
      <c r="AB1797" s="149"/>
      <c r="AC1797" s="149"/>
      <c r="AD1797" s="149"/>
      <c r="AE1797" s="149"/>
      <c r="AF1797" s="149"/>
      <c r="AG1797" s="149"/>
      <c r="AH1797" s="149"/>
      <c r="AI1797" s="149"/>
      <c r="AJ1797" s="149"/>
      <c r="AK1797" s="149"/>
      <c r="AL1797" s="149"/>
      <c r="AM1797" s="149"/>
      <c r="AN1797" s="149"/>
      <c r="AO1797" s="149"/>
      <c r="AP1797" s="149"/>
    </row>
    <row r="1798" ht="18.75" customHeight="1">
      <c r="A1798" s="149"/>
      <c r="B1798" s="149"/>
      <c r="C1798" s="304"/>
      <c r="D1798" s="149"/>
      <c r="E1798" s="149"/>
      <c r="F1798" s="149"/>
      <c r="G1798" s="149"/>
      <c r="H1798" s="149"/>
      <c r="I1798" s="149"/>
      <c r="J1798" s="149"/>
      <c r="K1798" s="149"/>
      <c r="L1798" s="149"/>
      <c r="M1798" s="149"/>
      <c r="N1798" s="149"/>
      <c r="O1798" s="149"/>
      <c r="P1798" s="149"/>
      <c r="Q1798" s="149"/>
      <c r="R1798" s="149"/>
      <c r="S1798" s="149"/>
      <c r="T1798" s="149"/>
      <c r="U1798" s="149"/>
      <c r="V1798" s="149"/>
      <c r="W1798" s="149"/>
      <c r="X1798" s="149"/>
      <c r="Y1798" s="149"/>
      <c r="Z1798" s="149"/>
      <c r="AA1798" s="149"/>
      <c r="AB1798" s="149"/>
      <c r="AC1798" s="149"/>
      <c r="AD1798" s="149"/>
      <c r="AE1798" s="149"/>
      <c r="AF1798" s="149"/>
      <c r="AG1798" s="149"/>
      <c r="AH1798" s="149"/>
      <c r="AI1798" s="149"/>
      <c r="AJ1798" s="149"/>
      <c r="AK1798" s="149"/>
      <c r="AL1798" s="149"/>
      <c r="AM1798" s="149"/>
      <c r="AN1798" s="149"/>
      <c r="AO1798" s="149"/>
      <c r="AP1798" s="149"/>
    </row>
    <row r="1799" ht="18.75" customHeight="1">
      <c r="A1799" s="149"/>
      <c r="B1799" s="149"/>
      <c r="C1799" s="304"/>
      <c r="D1799" s="149"/>
      <c r="E1799" s="149"/>
      <c r="F1799" s="149"/>
      <c r="G1799" s="149"/>
      <c r="H1799" s="149"/>
      <c r="I1799" s="149"/>
      <c r="J1799" s="149"/>
      <c r="K1799" s="149"/>
      <c r="L1799" s="149"/>
      <c r="M1799" s="149"/>
      <c r="N1799" s="149"/>
      <c r="O1799" s="149"/>
      <c r="P1799" s="149"/>
      <c r="Q1799" s="149"/>
      <c r="R1799" s="149"/>
      <c r="S1799" s="149"/>
      <c r="T1799" s="149"/>
      <c r="U1799" s="149"/>
      <c r="V1799" s="149"/>
      <c r="W1799" s="149"/>
      <c r="X1799" s="149"/>
      <c r="Y1799" s="149"/>
      <c r="Z1799" s="149"/>
      <c r="AA1799" s="149"/>
      <c r="AB1799" s="149"/>
      <c r="AC1799" s="149"/>
      <c r="AD1799" s="149"/>
      <c r="AE1799" s="149"/>
      <c r="AF1799" s="149"/>
      <c r="AG1799" s="149"/>
      <c r="AH1799" s="149"/>
      <c r="AI1799" s="149"/>
      <c r="AJ1799" s="149"/>
      <c r="AK1799" s="149"/>
      <c r="AL1799" s="149"/>
      <c r="AM1799" s="149"/>
      <c r="AN1799" s="149"/>
      <c r="AO1799" s="149"/>
      <c r="AP1799" s="149"/>
    </row>
    <row r="1800" ht="18.75" customHeight="1">
      <c r="A1800" s="149"/>
      <c r="B1800" s="149"/>
      <c r="C1800" s="304"/>
      <c r="D1800" s="149"/>
      <c r="E1800" s="149"/>
      <c r="F1800" s="149"/>
      <c r="G1800" s="149"/>
      <c r="H1800" s="149"/>
      <c r="I1800" s="149"/>
      <c r="J1800" s="149"/>
      <c r="K1800" s="149"/>
      <c r="L1800" s="149"/>
      <c r="M1800" s="149"/>
      <c r="N1800" s="149"/>
      <c r="O1800" s="149"/>
      <c r="P1800" s="149"/>
      <c r="Q1800" s="149"/>
      <c r="R1800" s="149"/>
      <c r="S1800" s="149"/>
      <c r="T1800" s="149"/>
      <c r="U1800" s="149"/>
      <c r="V1800" s="149"/>
      <c r="W1800" s="149"/>
      <c r="X1800" s="149"/>
      <c r="Y1800" s="149"/>
      <c r="Z1800" s="149"/>
      <c r="AA1800" s="149"/>
      <c r="AB1800" s="149"/>
      <c r="AC1800" s="149"/>
      <c r="AD1800" s="149"/>
      <c r="AE1800" s="149"/>
      <c r="AF1800" s="149"/>
      <c r="AG1800" s="149"/>
      <c r="AH1800" s="149"/>
      <c r="AI1800" s="149"/>
      <c r="AJ1800" s="149"/>
      <c r="AK1800" s="149"/>
      <c r="AL1800" s="149"/>
      <c r="AM1800" s="149"/>
      <c r="AN1800" s="149"/>
      <c r="AO1800" s="149"/>
      <c r="AP1800" s="149"/>
    </row>
    <row r="1801" ht="18.75" customHeight="1">
      <c r="A1801" s="149"/>
      <c r="B1801" s="149"/>
      <c r="C1801" s="304"/>
      <c r="D1801" s="149"/>
      <c r="E1801" s="149"/>
      <c r="F1801" s="149"/>
      <c r="G1801" s="149"/>
      <c r="H1801" s="149"/>
      <c r="I1801" s="149"/>
      <c r="J1801" s="149"/>
      <c r="K1801" s="149"/>
      <c r="L1801" s="149"/>
      <c r="M1801" s="149"/>
      <c r="N1801" s="149"/>
      <c r="O1801" s="149"/>
      <c r="P1801" s="149"/>
      <c r="Q1801" s="149"/>
      <c r="R1801" s="149"/>
      <c r="S1801" s="149"/>
      <c r="T1801" s="149"/>
      <c r="U1801" s="149"/>
      <c r="V1801" s="149"/>
      <c r="W1801" s="149"/>
      <c r="X1801" s="149"/>
      <c r="Y1801" s="149"/>
      <c r="Z1801" s="149"/>
      <c r="AA1801" s="149"/>
      <c r="AB1801" s="149"/>
      <c r="AC1801" s="149"/>
      <c r="AD1801" s="149"/>
      <c r="AE1801" s="149"/>
      <c r="AF1801" s="149"/>
      <c r="AG1801" s="149"/>
      <c r="AH1801" s="149"/>
      <c r="AI1801" s="149"/>
      <c r="AJ1801" s="149"/>
      <c r="AK1801" s="149"/>
      <c r="AL1801" s="149"/>
      <c r="AM1801" s="149"/>
      <c r="AN1801" s="149"/>
      <c r="AO1801" s="149"/>
      <c r="AP1801" s="149"/>
    </row>
    <row r="1802" ht="18.75" customHeight="1">
      <c r="A1802" s="149"/>
      <c r="B1802" s="149"/>
      <c r="C1802" s="304"/>
      <c r="D1802" s="149"/>
      <c r="E1802" s="149"/>
      <c r="F1802" s="149"/>
      <c r="G1802" s="149"/>
      <c r="H1802" s="149"/>
      <c r="I1802" s="149"/>
      <c r="J1802" s="149"/>
      <c r="K1802" s="149"/>
      <c r="L1802" s="149"/>
      <c r="M1802" s="149"/>
      <c r="N1802" s="149"/>
      <c r="O1802" s="149"/>
      <c r="P1802" s="149"/>
      <c r="Q1802" s="149"/>
      <c r="R1802" s="149"/>
      <c r="S1802" s="149"/>
      <c r="T1802" s="149"/>
      <c r="U1802" s="149"/>
      <c r="V1802" s="149"/>
      <c r="W1802" s="149"/>
      <c r="X1802" s="149"/>
      <c r="Y1802" s="149"/>
      <c r="Z1802" s="149"/>
      <c r="AA1802" s="149"/>
      <c r="AB1802" s="149"/>
      <c r="AC1802" s="149"/>
      <c r="AD1802" s="149"/>
      <c r="AE1802" s="149"/>
      <c r="AF1802" s="149"/>
      <c r="AG1802" s="149"/>
      <c r="AH1802" s="149"/>
      <c r="AI1802" s="149"/>
      <c r="AJ1802" s="149"/>
      <c r="AK1802" s="149"/>
      <c r="AL1802" s="149"/>
      <c r="AM1802" s="149"/>
      <c r="AN1802" s="149"/>
      <c r="AO1802" s="149"/>
      <c r="AP1802" s="149"/>
    </row>
    <row r="1803" ht="18.75" customHeight="1">
      <c r="A1803" s="149"/>
      <c r="B1803" s="149"/>
      <c r="C1803" s="304"/>
      <c r="D1803" s="149"/>
      <c r="E1803" s="149"/>
      <c r="F1803" s="149"/>
      <c r="G1803" s="149"/>
      <c r="H1803" s="149"/>
      <c r="I1803" s="149"/>
      <c r="J1803" s="149"/>
      <c r="K1803" s="149"/>
      <c r="L1803" s="149"/>
      <c r="M1803" s="149"/>
      <c r="N1803" s="149"/>
      <c r="O1803" s="149"/>
      <c r="P1803" s="149"/>
      <c r="Q1803" s="149"/>
      <c r="R1803" s="149"/>
      <c r="S1803" s="149"/>
      <c r="T1803" s="149"/>
      <c r="U1803" s="149"/>
      <c r="V1803" s="149"/>
      <c r="W1803" s="149"/>
      <c r="X1803" s="149"/>
      <c r="Y1803" s="149"/>
      <c r="Z1803" s="149"/>
      <c r="AA1803" s="149"/>
      <c r="AB1803" s="149"/>
      <c r="AC1803" s="149"/>
      <c r="AD1803" s="149"/>
      <c r="AE1803" s="149"/>
      <c r="AF1803" s="149"/>
      <c r="AG1803" s="149"/>
      <c r="AH1803" s="149"/>
      <c r="AI1803" s="149"/>
      <c r="AJ1803" s="149"/>
      <c r="AK1803" s="149"/>
      <c r="AL1803" s="149"/>
      <c r="AM1803" s="149"/>
      <c r="AN1803" s="149"/>
      <c r="AO1803" s="149"/>
      <c r="AP1803" s="149"/>
    </row>
    <row r="1804" ht="18.75" customHeight="1">
      <c r="A1804" s="149"/>
      <c r="B1804" s="149"/>
      <c r="C1804" s="304"/>
      <c r="D1804" s="149"/>
      <c r="E1804" s="149"/>
      <c r="F1804" s="149"/>
      <c r="G1804" s="149"/>
      <c r="H1804" s="149"/>
      <c r="I1804" s="149"/>
      <c r="J1804" s="149"/>
      <c r="K1804" s="149"/>
      <c r="L1804" s="149"/>
      <c r="M1804" s="149"/>
      <c r="N1804" s="149"/>
      <c r="O1804" s="149"/>
      <c r="P1804" s="149"/>
      <c r="Q1804" s="149"/>
      <c r="R1804" s="149"/>
      <c r="S1804" s="149"/>
      <c r="T1804" s="149"/>
      <c r="U1804" s="149"/>
      <c r="V1804" s="149"/>
      <c r="W1804" s="149"/>
      <c r="X1804" s="149"/>
      <c r="Y1804" s="149"/>
      <c r="Z1804" s="149"/>
      <c r="AA1804" s="149"/>
      <c r="AB1804" s="149"/>
      <c r="AC1804" s="149"/>
      <c r="AD1804" s="149"/>
      <c r="AE1804" s="149"/>
      <c r="AF1804" s="149"/>
      <c r="AG1804" s="149"/>
      <c r="AH1804" s="149"/>
      <c r="AI1804" s="149"/>
      <c r="AJ1804" s="149"/>
      <c r="AK1804" s="149"/>
      <c r="AL1804" s="149"/>
      <c r="AM1804" s="149"/>
      <c r="AN1804" s="149"/>
      <c r="AO1804" s="149"/>
      <c r="AP1804" s="149"/>
    </row>
    <row r="1805" ht="18.75" customHeight="1">
      <c r="A1805" s="149"/>
      <c r="B1805" s="149"/>
      <c r="C1805" s="304"/>
      <c r="D1805" s="149"/>
      <c r="E1805" s="149"/>
      <c r="F1805" s="149"/>
      <c r="G1805" s="149"/>
      <c r="H1805" s="149"/>
      <c r="I1805" s="149"/>
      <c r="J1805" s="149"/>
      <c r="K1805" s="149"/>
      <c r="L1805" s="149"/>
      <c r="M1805" s="149"/>
      <c r="N1805" s="149"/>
      <c r="O1805" s="149"/>
      <c r="P1805" s="149"/>
      <c r="Q1805" s="149"/>
      <c r="R1805" s="149"/>
      <c r="S1805" s="149"/>
      <c r="T1805" s="149"/>
      <c r="U1805" s="149"/>
      <c r="V1805" s="149"/>
      <c r="W1805" s="149"/>
      <c r="X1805" s="149"/>
      <c r="Y1805" s="149"/>
      <c r="Z1805" s="149"/>
      <c r="AA1805" s="149"/>
      <c r="AB1805" s="149"/>
      <c r="AC1805" s="149"/>
      <c r="AD1805" s="149"/>
      <c r="AE1805" s="149"/>
      <c r="AF1805" s="149"/>
      <c r="AG1805" s="149"/>
      <c r="AH1805" s="149"/>
      <c r="AI1805" s="149"/>
      <c r="AJ1805" s="149"/>
      <c r="AK1805" s="149"/>
      <c r="AL1805" s="149"/>
      <c r="AM1805" s="149"/>
      <c r="AN1805" s="149"/>
      <c r="AO1805" s="149"/>
      <c r="AP1805" s="149"/>
    </row>
    <row r="1806" ht="18.75" customHeight="1">
      <c r="A1806" s="149"/>
      <c r="B1806" s="149"/>
      <c r="C1806" s="304"/>
      <c r="D1806" s="149"/>
      <c r="E1806" s="149"/>
      <c r="F1806" s="149"/>
      <c r="G1806" s="149"/>
      <c r="H1806" s="149"/>
      <c r="I1806" s="149"/>
      <c r="J1806" s="149"/>
      <c r="K1806" s="149"/>
      <c r="L1806" s="149"/>
      <c r="M1806" s="149"/>
      <c r="N1806" s="149"/>
      <c r="O1806" s="149"/>
      <c r="P1806" s="149"/>
      <c r="Q1806" s="149"/>
      <c r="R1806" s="149"/>
      <c r="S1806" s="149"/>
      <c r="T1806" s="149"/>
      <c r="U1806" s="149"/>
      <c r="V1806" s="149"/>
      <c r="W1806" s="149"/>
      <c r="X1806" s="149"/>
      <c r="Y1806" s="149"/>
      <c r="Z1806" s="149"/>
      <c r="AA1806" s="149"/>
      <c r="AB1806" s="149"/>
      <c r="AC1806" s="149"/>
      <c r="AD1806" s="149"/>
      <c r="AE1806" s="149"/>
      <c r="AF1806" s="149"/>
      <c r="AG1806" s="149"/>
      <c r="AH1806" s="149"/>
      <c r="AI1806" s="149"/>
      <c r="AJ1806" s="149"/>
      <c r="AK1806" s="149"/>
      <c r="AL1806" s="149"/>
      <c r="AM1806" s="149"/>
      <c r="AN1806" s="149"/>
      <c r="AO1806" s="149"/>
      <c r="AP1806" s="149"/>
    </row>
    <row r="1807" ht="18.75" customHeight="1">
      <c r="A1807" s="149"/>
      <c r="B1807" s="149"/>
      <c r="C1807" s="304"/>
      <c r="D1807" s="149"/>
      <c r="E1807" s="149"/>
      <c r="F1807" s="149"/>
      <c r="G1807" s="149"/>
      <c r="H1807" s="149"/>
      <c r="I1807" s="149"/>
      <c r="J1807" s="149"/>
      <c r="K1807" s="149"/>
      <c r="L1807" s="149"/>
      <c r="M1807" s="149"/>
      <c r="N1807" s="149"/>
      <c r="O1807" s="149"/>
      <c r="P1807" s="149"/>
      <c r="Q1807" s="149"/>
      <c r="R1807" s="149"/>
      <c r="S1807" s="149"/>
      <c r="T1807" s="149"/>
      <c r="U1807" s="149"/>
      <c r="V1807" s="149"/>
      <c r="W1807" s="149"/>
      <c r="X1807" s="149"/>
      <c r="Y1807" s="149"/>
      <c r="Z1807" s="149"/>
      <c r="AA1807" s="149"/>
      <c r="AB1807" s="149"/>
      <c r="AC1807" s="149"/>
      <c r="AD1807" s="149"/>
      <c r="AE1807" s="149"/>
      <c r="AF1807" s="149"/>
      <c r="AG1807" s="149"/>
      <c r="AH1807" s="149"/>
      <c r="AI1807" s="149"/>
      <c r="AJ1807" s="149"/>
      <c r="AK1807" s="149"/>
      <c r="AL1807" s="149"/>
      <c r="AM1807" s="149"/>
      <c r="AN1807" s="149"/>
      <c r="AO1807" s="149"/>
      <c r="AP1807" s="149"/>
    </row>
    <row r="1808" ht="18.75" customHeight="1">
      <c r="A1808" s="149"/>
      <c r="B1808" s="149"/>
      <c r="C1808" s="304"/>
      <c r="D1808" s="149"/>
      <c r="E1808" s="149"/>
      <c r="F1808" s="149"/>
      <c r="G1808" s="149"/>
      <c r="H1808" s="149"/>
      <c r="I1808" s="149"/>
      <c r="J1808" s="149"/>
      <c r="K1808" s="149"/>
      <c r="L1808" s="149"/>
      <c r="M1808" s="149"/>
      <c r="N1808" s="149"/>
      <c r="O1808" s="149"/>
      <c r="P1808" s="149"/>
      <c r="Q1808" s="149"/>
      <c r="R1808" s="149"/>
      <c r="S1808" s="149"/>
      <c r="T1808" s="149"/>
      <c r="U1808" s="149"/>
      <c r="V1808" s="149"/>
      <c r="W1808" s="149"/>
      <c r="X1808" s="149"/>
      <c r="Y1808" s="149"/>
      <c r="Z1808" s="149"/>
      <c r="AA1808" s="149"/>
      <c r="AB1808" s="149"/>
      <c r="AC1808" s="149"/>
      <c r="AD1808" s="149"/>
      <c r="AE1808" s="149"/>
      <c r="AF1808" s="149"/>
      <c r="AG1808" s="149"/>
      <c r="AH1808" s="149"/>
      <c r="AI1808" s="149"/>
      <c r="AJ1808" s="149"/>
      <c r="AK1808" s="149"/>
      <c r="AL1808" s="149"/>
      <c r="AM1808" s="149"/>
      <c r="AN1808" s="149"/>
      <c r="AO1808" s="149"/>
      <c r="AP1808" s="149"/>
    </row>
    <row r="1809" ht="18.75" customHeight="1">
      <c r="A1809" s="149"/>
      <c r="B1809" s="149"/>
      <c r="C1809" s="304"/>
      <c r="D1809" s="149"/>
      <c r="E1809" s="149"/>
      <c r="F1809" s="149"/>
      <c r="G1809" s="149"/>
      <c r="H1809" s="149"/>
      <c r="I1809" s="149"/>
      <c r="J1809" s="149"/>
      <c r="K1809" s="149"/>
      <c r="L1809" s="149"/>
      <c r="M1809" s="149"/>
      <c r="N1809" s="149"/>
      <c r="O1809" s="149"/>
      <c r="P1809" s="149"/>
      <c r="Q1809" s="149"/>
      <c r="R1809" s="149"/>
      <c r="S1809" s="149"/>
      <c r="T1809" s="149"/>
      <c r="U1809" s="149"/>
      <c r="V1809" s="149"/>
      <c r="W1809" s="149"/>
      <c r="X1809" s="149"/>
      <c r="Y1809" s="149"/>
      <c r="Z1809" s="149"/>
      <c r="AA1809" s="149"/>
      <c r="AB1809" s="149"/>
      <c r="AC1809" s="149"/>
      <c r="AD1809" s="149"/>
      <c r="AE1809" s="149"/>
      <c r="AF1809" s="149"/>
      <c r="AG1809" s="149"/>
      <c r="AH1809" s="149"/>
      <c r="AI1809" s="149"/>
      <c r="AJ1809" s="149"/>
      <c r="AK1809" s="149"/>
      <c r="AL1809" s="149"/>
      <c r="AM1809" s="149"/>
      <c r="AN1809" s="149"/>
      <c r="AO1809" s="149"/>
      <c r="AP1809" s="149"/>
    </row>
    <row r="1810" ht="18.75" customHeight="1">
      <c r="A1810" s="149"/>
      <c r="B1810" s="149"/>
      <c r="C1810" s="304"/>
      <c r="D1810" s="149"/>
      <c r="E1810" s="149"/>
      <c r="F1810" s="149"/>
      <c r="G1810" s="149"/>
      <c r="H1810" s="149"/>
      <c r="I1810" s="149"/>
      <c r="J1810" s="149"/>
      <c r="K1810" s="149"/>
      <c r="L1810" s="149"/>
      <c r="M1810" s="149"/>
      <c r="N1810" s="149"/>
      <c r="O1810" s="149"/>
      <c r="P1810" s="149"/>
      <c r="Q1810" s="149"/>
      <c r="R1810" s="149"/>
      <c r="S1810" s="149"/>
      <c r="T1810" s="149"/>
      <c r="U1810" s="149"/>
      <c r="V1810" s="149"/>
      <c r="W1810" s="149"/>
      <c r="X1810" s="149"/>
      <c r="Y1810" s="149"/>
      <c r="Z1810" s="149"/>
      <c r="AA1810" s="149"/>
      <c r="AB1810" s="149"/>
      <c r="AC1810" s="149"/>
      <c r="AD1810" s="149"/>
      <c r="AE1810" s="149"/>
      <c r="AF1810" s="149"/>
      <c r="AG1810" s="149"/>
      <c r="AH1810" s="149"/>
      <c r="AI1810" s="149"/>
      <c r="AJ1810" s="149"/>
      <c r="AK1810" s="149"/>
      <c r="AL1810" s="149"/>
      <c r="AM1810" s="149"/>
      <c r="AN1810" s="149"/>
      <c r="AO1810" s="149"/>
      <c r="AP1810" s="149"/>
    </row>
    <row r="1811" ht="18.75" customHeight="1">
      <c r="A1811" s="149"/>
      <c r="B1811" s="149"/>
      <c r="C1811" s="304"/>
      <c r="D1811" s="149"/>
      <c r="E1811" s="149"/>
      <c r="F1811" s="149"/>
      <c r="G1811" s="149"/>
      <c r="H1811" s="149"/>
      <c r="I1811" s="149"/>
      <c r="J1811" s="149"/>
      <c r="K1811" s="149"/>
      <c r="L1811" s="149"/>
      <c r="M1811" s="149"/>
      <c r="N1811" s="149"/>
      <c r="O1811" s="149"/>
      <c r="P1811" s="149"/>
      <c r="Q1811" s="149"/>
      <c r="R1811" s="149"/>
      <c r="S1811" s="149"/>
      <c r="T1811" s="149"/>
      <c r="U1811" s="149"/>
      <c r="V1811" s="149"/>
      <c r="W1811" s="149"/>
      <c r="X1811" s="149"/>
      <c r="Y1811" s="149"/>
      <c r="Z1811" s="149"/>
      <c r="AA1811" s="149"/>
      <c r="AB1811" s="149"/>
      <c r="AC1811" s="149"/>
      <c r="AD1811" s="149"/>
      <c r="AE1811" s="149"/>
      <c r="AF1811" s="149"/>
      <c r="AG1811" s="149"/>
      <c r="AH1811" s="149"/>
      <c r="AI1811" s="149"/>
      <c r="AJ1811" s="149"/>
      <c r="AK1811" s="149"/>
      <c r="AL1811" s="149"/>
      <c r="AM1811" s="149"/>
      <c r="AN1811" s="149"/>
      <c r="AO1811" s="149"/>
      <c r="AP1811" s="149"/>
    </row>
    <row r="1812" ht="18.75" customHeight="1">
      <c r="A1812" s="149"/>
      <c r="B1812" s="149"/>
      <c r="C1812" s="304"/>
      <c r="D1812" s="149"/>
      <c r="E1812" s="149"/>
      <c r="F1812" s="149"/>
      <c r="G1812" s="149"/>
      <c r="H1812" s="149"/>
      <c r="I1812" s="149"/>
      <c r="J1812" s="149"/>
      <c r="K1812" s="149"/>
      <c r="L1812" s="149"/>
      <c r="M1812" s="149"/>
      <c r="N1812" s="149"/>
      <c r="O1812" s="149"/>
      <c r="P1812" s="149"/>
      <c r="Q1812" s="149"/>
      <c r="R1812" s="149"/>
      <c r="S1812" s="149"/>
      <c r="T1812" s="149"/>
      <c r="U1812" s="149"/>
      <c r="V1812" s="149"/>
      <c r="W1812" s="149"/>
      <c r="X1812" s="149"/>
      <c r="Y1812" s="149"/>
      <c r="Z1812" s="149"/>
      <c r="AA1812" s="149"/>
      <c r="AB1812" s="149"/>
      <c r="AC1812" s="149"/>
      <c r="AD1812" s="149"/>
      <c r="AE1812" s="149"/>
      <c r="AF1812" s="149"/>
      <c r="AG1812" s="149"/>
      <c r="AH1812" s="149"/>
      <c r="AI1812" s="149"/>
      <c r="AJ1812" s="149"/>
      <c r="AK1812" s="149"/>
      <c r="AL1812" s="149"/>
      <c r="AM1812" s="149"/>
      <c r="AN1812" s="149"/>
      <c r="AO1812" s="149"/>
      <c r="AP1812" s="149"/>
    </row>
    <row r="1813" ht="18.75" customHeight="1">
      <c r="A1813" s="149"/>
      <c r="B1813" s="149"/>
      <c r="C1813" s="304"/>
      <c r="D1813" s="149"/>
      <c r="E1813" s="149"/>
      <c r="F1813" s="149"/>
      <c r="G1813" s="149"/>
      <c r="H1813" s="149"/>
      <c r="I1813" s="149"/>
      <c r="J1813" s="149"/>
      <c r="K1813" s="149"/>
      <c r="L1813" s="149"/>
      <c r="M1813" s="149"/>
      <c r="N1813" s="149"/>
      <c r="O1813" s="149"/>
      <c r="P1813" s="149"/>
      <c r="Q1813" s="149"/>
      <c r="R1813" s="149"/>
      <c r="S1813" s="149"/>
      <c r="T1813" s="149"/>
      <c r="U1813" s="149"/>
      <c r="V1813" s="149"/>
      <c r="W1813" s="149"/>
      <c r="X1813" s="149"/>
      <c r="Y1813" s="149"/>
      <c r="Z1813" s="149"/>
      <c r="AA1813" s="149"/>
      <c r="AB1813" s="149"/>
      <c r="AC1813" s="149"/>
      <c r="AD1813" s="149"/>
      <c r="AE1813" s="149"/>
      <c r="AF1813" s="149"/>
      <c r="AG1813" s="149"/>
      <c r="AH1813" s="149"/>
      <c r="AI1813" s="149"/>
      <c r="AJ1813" s="149"/>
      <c r="AK1813" s="149"/>
      <c r="AL1813" s="149"/>
      <c r="AM1813" s="149"/>
      <c r="AN1813" s="149"/>
      <c r="AO1813" s="149"/>
      <c r="AP1813" s="149"/>
    </row>
    <row r="1814" ht="18.75" customHeight="1">
      <c r="A1814" s="149"/>
      <c r="B1814" s="149"/>
      <c r="C1814" s="304"/>
      <c r="D1814" s="149"/>
      <c r="E1814" s="149"/>
      <c r="F1814" s="149"/>
      <c r="G1814" s="149"/>
      <c r="H1814" s="149"/>
      <c r="I1814" s="149"/>
      <c r="J1814" s="149"/>
      <c r="K1814" s="149"/>
      <c r="L1814" s="149"/>
      <c r="M1814" s="149"/>
      <c r="N1814" s="149"/>
      <c r="O1814" s="149"/>
      <c r="P1814" s="149"/>
      <c r="Q1814" s="149"/>
      <c r="R1814" s="149"/>
      <c r="S1814" s="149"/>
      <c r="T1814" s="149"/>
      <c r="U1814" s="149"/>
      <c r="V1814" s="149"/>
      <c r="W1814" s="149"/>
      <c r="X1814" s="149"/>
      <c r="Y1814" s="149"/>
      <c r="Z1814" s="149"/>
      <c r="AA1814" s="149"/>
      <c r="AB1814" s="149"/>
      <c r="AC1814" s="149"/>
      <c r="AD1814" s="149"/>
      <c r="AE1814" s="149"/>
      <c r="AF1814" s="149"/>
      <c r="AG1814" s="149"/>
      <c r="AH1814" s="149"/>
      <c r="AI1814" s="149"/>
      <c r="AJ1814" s="149"/>
      <c r="AK1814" s="149"/>
      <c r="AL1814" s="149"/>
      <c r="AM1814" s="149"/>
      <c r="AN1814" s="149"/>
      <c r="AO1814" s="149"/>
      <c r="AP1814" s="149"/>
    </row>
    <row r="1815" ht="18.75" customHeight="1">
      <c r="A1815" s="149"/>
      <c r="B1815" s="149"/>
      <c r="C1815" s="304"/>
      <c r="D1815" s="149"/>
      <c r="E1815" s="149"/>
      <c r="F1815" s="149"/>
      <c r="G1815" s="149"/>
      <c r="H1815" s="149"/>
      <c r="I1815" s="149"/>
      <c r="J1815" s="149"/>
      <c r="K1815" s="149"/>
      <c r="L1815" s="149"/>
      <c r="M1815" s="149"/>
      <c r="N1815" s="149"/>
      <c r="O1815" s="149"/>
      <c r="P1815" s="149"/>
      <c r="Q1815" s="149"/>
      <c r="R1815" s="149"/>
      <c r="S1815" s="149"/>
      <c r="T1815" s="149"/>
      <c r="U1815" s="149"/>
      <c r="V1815" s="149"/>
      <c r="W1815" s="149"/>
      <c r="X1815" s="149"/>
      <c r="Y1815" s="149"/>
      <c r="Z1815" s="149"/>
      <c r="AA1815" s="149"/>
      <c r="AB1815" s="149"/>
      <c r="AC1815" s="149"/>
      <c r="AD1815" s="149"/>
      <c r="AE1815" s="149"/>
      <c r="AF1815" s="149"/>
      <c r="AG1815" s="149"/>
      <c r="AH1815" s="149"/>
      <c r="AI1815" s="149"/>
      <c r="AJ1815" s="149"/>
      <c r="AK1815" s="149"/>
      <c r="AL1815" s="149"/>
      <c r="AM1815" s="149"/>
      <c r="AN1815" s="149"/>
      <c r="AO1815" s="149"/>
      <c r="AP1815" s="149"/>
    </row>
    <row r="1816" ht="18.75" customHeight="1">
      <c r="A1816" s="149"/>
      <c r="B1816" s="149"/>
      <c r="C1816" s="304"/>
      <c r="D1816" s="149"/>
      <c r="E1816" s="149"/>
      <c r="F1816" s="149"/>
      <c r="G1816" s="149"/>
      <c r="H1816" s="149"/>
      <c r="I1816" s="149"/>
      <c r="J1816" s="149"/>
      <c r="K1816" s="149"/>
      <c r="L1816" s="149"/>
      <c r="M1816" s="149"/>
      <c r="N1816" s="149"/>
      <c r="O1816" s="149"/>
      <c r="P1816" s="149"/>
      <c r="Q1816" s="149"/>
      <c r="R1816" s="149"/>
      <c r="S1816" s="149"/>
      <c r="T1816" s="149"/>
      <c r="U1816" s="149"/>
      <c r="V1816" s="149"/>
      <c r="W1816" s="149"/>
      <c r="X1816" s="149"/>
      <c r="Y1816" s="149"/>
      <c r="Z1816" s="149"/>
      <c r="AA1816" s="149"/>
      <c r="AB1816" s="149"/>
      <c r="AC1816" s="149"/>
      <c r="AD1816" s="149"/>
      <c r="AE1816" s="149"/>
      <c r="AF1816" s="149"/>
      <c r="AG1816" s="149"/>
      <c r="AH1816" s="149"/>
      <c r="AI1816" s="149"/>
      <c r="AJ1816" s="149"/>
      <c r="AK1816" s="149"/>
      <c r="AL1816" s="149"/>
      <c r="AM1816" s="149"/>
      <c r="AN1816" s="149"/>
      <c r="AO1816" s="149"/>
      <c r="AP1816" s="149"/>
    </row>
    <row r="1817" ht="18.75" customHeight="1">
      <c r="A1817" s="149"/>
      <c r="B1817" s="149"/>
      <c r="C1817" s="304"/>
      <c r="D1817" s="149"/>
      <c r="E1817" s="149"/>
      <c r="F1817" s="149"/>
      <c r="G1817" s="149"/>
      <c r="H1817" s="149"/>
      <c r="I1817" s="149"/>
      <c r="J1817" s="149"/>
      <c r="K1817" s="149"/>
      <c r="L1817" s="149"/>
      <c r="M1817" s="149"/>
      <c r="N1817" s="149"/>
      <c r="O1817" s="149"/>
      <c r="P1817" s="149"/>
      <c r="Q1817" s="149"/>
      <c r="R1817" s="149"/>
      <c r="S1817" s="149"/>
      <c r="T1817" s="149"/>
      <c r="U1817" s="149"/>
      <c r="V1817" s="149"/>
      <c r="W1817" s="149"/>
      <c r="X1817" s="149"/>
      <c r="Y1817" s="149"/>
      <c r="Z1817" s="149"/>
      <c r="AA1817" s="149"/>
      <c r="AB1817" s="149"/>
      <c r="AC1817" s="149"/>
      <c r="AD1817" s="149"/>
      <c r="AE1817" s="149"/>
      <c r="AF1817" s="149"/>
      <c r="AG1817" s="149"/>
      <c r="AH1817" s="149"/>
      <c r="AI1817" s="149"/>
      <c r="AJ1817" s="149"/>
      <c r="AK1817" s="149"/>
      <c r="AL1817" s="149"/>
      <c r="AM1817" s="149"/>
      <c r="AN1817" s="149"/>
      <c r="AO1817" s="149"/>
      <c r="AP1817" s="149"/>
    </row>
    <row r="1818" ht="18.75" customHeight="1">
      <c r="A1818" s="149"/>
      <c r="B1818" s="149"/>
      <c r="C1818" s="304"/>
      <c r="D1818" s="149"/>
      <c r="E1818" s="149"/>
      <c r="F1818" s="149"/>
      <c r="G1818" s="149"/>
      <c r="H1818" s="149"/>
      <c r="I1818" s="149"/>
      <c r="J1818" s="149"/>
      <c r="K1818" s="149"/>
      <c r="L1818" s="149"/>
      <c r="M1818" s="149"/>
      <c r="N1818" s="149"/>
      <c r="O1818" s="149"/>
      <c r="P1818" s="149"/>
      <c r="Q1818" s="149"/>
      <c r="R1818" s="149"/>
      <c r="S1818" s="149"/>
      <c r="T1818" s="149"/>
      <c r="U1818" s="149"/>
      <c r="V1818" s="149"/>
      <c r="W1818" s="149"/>
      <c r="X1818" s="149"/>
      <c r="Y1818" s="149"/>
      <c r="Z1818" s="149"/>
      <c r="AA1818" s="149"/>
      <c r="AB1818" s="149"/>
      <c r="AC1818" s="149"/>
      <c r="AD1818" s="149"/>
      <c r="AE1818" s="149"/>
      <c r="AF1818" s="149"/>
      <c r="AG1818" s="149"/>
      <c r="AH1818" s="149"/>
      <c r="AI1818" s="149"/>
      <c r="AJ1818" s="149"/>
      <c r="AK1818" s="149"/>
      <c r="AL1818" s="149"/>
      <c r="AM1818" s="149"/>
      <c r="AN1818" s="149"/>
      <c r="AO1818" s="149"/>
      <c r="AP1818" s="149"/>
    </row>
    <row r="1819" ht="18.75" customHeight="1">
      <c r="A1819" s="149"/>
      <c r="B1819" s="149"/>
      <c r="C1819" s="304"/>
      <c r="D1819" s="149"/>
      <c r="E1819" s="149"/>
      <c r="F1819" s="149"/>
      <c r="G1819" s="149"/>
      <c r="H1819" s="149"/>
      <c r="I1819" s="149"/>
      <c r="J1819" s="149"/>
      <c r="K1819" s="149"/>
      <c r="L1819" s="149"/>
      <c r="M1819" s="149"/>
      <c r="N1819" s="149"/>
      <c r="O1819" s="149"/>
      <c r="P1819" s="149"/>
      <c r="Q1819" s="149"/>
      <c r="R1819" s="149"/>
      <c r="S1819" s="149"/>
      <c r="T1819" s="149"/>
      <c r="U1819" s="149"/>
      <c r="V1819" s="149"/>
      <c r="W1819" s="149"/>
      <c r="X1819" s="149"/>
      <c r="Y1819" s="149"/>
      <c r="Z1819" s="149"/>
      <c r="AA1819" s="149"/>
      <c r="AB1819" s="149"/>
      <c r="AC1819" s="149"/>
      <c r="AD1819" s="149"/>
      <c r="AE1819" s="149"/>
      <c r="AF1819" s="149"/>
      <c r="AG1819" s="149"/>
      <c r="AH1819" s="149"/>
      <c r="AI1819" s="149"/>
      <c r="AJ1819" s="149"/>
      <c r="AK1819" s="149"/>
      <c r="AL1819" s="149"/>
      <c r="AM1819" s="149"/>
      <c r="AN1819" s="149"/>
      <c r="AO1819" s="149"/>
      <c r="AP1819" s="149"/>
    </row>
    <row r="1820" ht="18.75" customHeight="1">
      <c r="A1820" s="149"/>
      <c r="B1820" s="149"/>
      <c r="C1820" s="304"/>
      <c r="D1820" s="149"/>
      <c r="E1820" s="149"/>
      <c r="F1820" s="149"/>
      <c r="G1820" s="149"/>
      <c r="H1820" s="149"/>
      <c r="I1820" s="149"/>
      <c r="J1820" s="149"/>
      <c r="K1820" s="149"/>
      <c r="L1820" s="149"/>
      <c r="M1820" s="149"/>
      <c r="N1820" s="149"/>
      <c r="O1820" s="149"/>
      <c r="P1820" s="149"/>
      <c r="Q1820" s="149"/>
      <c r="R1820" s="149"/>
      <c r="S1820" s="149"/>
      <c r="T1820" s="149"/>
      <c r="U1820" s="149"/>
      <c r="V1820" s="149"/>
      <c r="W1820" s="149"/>
      <c r="X1820" s="149"/>
      <c r="Y1820" s="149"/>
      <c r="Z1820" s="149"/>
      <c r="AA1820" s="149"/>
      <c r="AB1820" s="149"/>
      <c r="AC1820" s="149"/>
      <c r="AD1820" s="149"/>
      <c r="AE1820" s="149"/>
      <c r="AF1820" s="149"/>
      <c r="AG1820" s="149"/>
      <c r="AH1820" s="149"/>
      <c r="AI1820" s="149"/>
      <c r="AJ1820" s="149"/>
      <c r="AK1820" s="149"/>
      <c r="AL1820" s="149"/>
      <c r="AM1820" s="149"/>
      <c r="AN1820" s="149"/>
      <c r="AO1820" s="149"/>
      <c r="AP1820" s="149"/>
    </row>
    <row r="1821" ht="18.75" customHeight="1">
      <c r="A1821" s="149"/>
      <c r="B1821" s="149"/>
      <c r="C1821" s="304"/>
      <c r="D1821" s="149"/>
      <c r="E1821" s="149"/>
      <c r="F1821" s="149"/>
      <c r="G1821" s="149"/>
      <c r="H1821" s="149"/>
      <c r="I1821" s="149"/>
      <c r="J1821" s="149"/>
      <c r="K1821" s="149"/>
      <c r="L1821" s="149"/>
      <c r="M1821" s="149"/>
      <c r="N1821" s="149"/>
      <c r="O1821" s="149"/>
      <c r="P1821" s="149"/>
      <c r="Q1821" s="149"/>
      <c r="R1821" s="149"/>
      <c r="S1821" s="149"/>
      <c r="T1821" s="149"/>
      <c r="U1821" s="149"/>
      <c r="V1821" s="149"/>
      <c r="W1821" s="149"/>
      <c r="X1821" s="149"/>
      <c r="Y1821" s="149"/>
      <c r="Z1821" s="149"/>
      <c r="AA1821" s="149"/>
      <c r="AB1821" s="149"/>
      <c r="AC1821" s="149"/>
      <c r="AD1821" s="149"/>
      <c r="AE1821" s="149"/>
      <c r="AF1821" s="149"/>
      <c r="AG1821" s="149"/>
      <c r="AH1821" s="149"/>
      <c r="AI1821" s="149"/>
      <c r="AJ1821" s="149"/>
      <c r="AK1821" s="149"/>
      <c r="AL1821" s="149"/>
      <c r="AM1821" s="149"/>
      <c r="AN1821" s="149"/>
      <c r="AO1821" s="149"/>
      <c r="AP1821" s="149"/>
    </row>
    <row r="1822" ht="18.75" customHeight="1">
      <c r="A1822" s="149"/>
      <c r="B1822" s="149"/>
      <c r="C1822" s="304"/>
      <c r="D1822" s="149"/>
      <c r="E1822" s="149"/>
      <c r="F1822" s="149"/>
      <c r="G1822" s="149"/>
      <c r="H1822" s="149"/>
      <c r="I1822" s="149"/>
      <c r="J1822" s="149"/>
      <c r="K1822" s="149"/>
      <c r="L1822" s="149"/>
      <c r="M1822" s="149"/>
      <c r="N1822" s="149"/>
      <c r="O1822" s="149"/>
      <c r="P1822" s="149"/>
      <c r="Q1822" s="149"/>
      <c r="R1822" s="149"/>
      <c r="S1822" s="149"/>
      <c r="T1822" s="149"/>
      <c r="U1822" s="149"/>
      <c r="V1822" s="149"/>
      <c r="W1822" s="149"/>
      <c r="X1822" s="149"/>
      <c r="Y1822" s="149"/>
      <c r="Z1822" s="149"/>
      <c r="AA1822" s="149"/>
      <c r="AB1822" s="149"/>
      <c r="AC1822" s="149"/>
      <c r="AD1822" s="149"/>
      <c r="AE1822" s="149"/>
      <c r="AF1822" s="149"/>
      <c r="AG1822" s="149"/>
      <c r="AH1822" s="149"/>
      <c r="AI1822" s="149"/>
      <c r="AJ1822" s="149"/>
      <c r="AK1822" s="149"/>
      <c r="AL1822" s="149"/>
      <c r="AM1822" s="149"/>
      <c r="AN1822" s="149"/>
      <c r="AO1822" s="149"/>
      <c r="AP1822" s="149"/>
    </row>
    <row r="1823" ht="18.75" customHeight="1">
      <c r="A1823" s="149"/>
      <c r="B1823" s="149"/>
      <c r="C1823" s="304"/>
      <c r="D1823" s="149"/>
      <c r="E1823" s="149"/>
      <c r="F1823" s="149"/>
      <c r="G1823" s="149"/>
      <c r="H1823" s="149"/>
      <c r="I1823" s="149"/>
      <c r="J1823" s="149"/>
      <c r="K1823" s="149"/>
      <c r="L1823" s="149"/>
      <c r="M1823" s="149"/>
      <c r="N1823" s="149"/>
      <c r="O1823" s="149"/>
      <c r="P1823" s="149"/>
      <c r="Q1823" s="149"/>
      <c r="R1823" s="149"/>
      <c r="S1823" s="149"/>
      <c r="T1823" s="149"/>
      <c r="U1823" s="149"/>
      <c r="V1823" s="149"/>
      <c r="W1823" s="149"/>
      <c r="X1823" s="149"/>
      <c r="Y1823" s="149"/>
      <c r="Z1823" s="149"/>
      <c r="AA1823" s="149"/>
      <c r="AB1823" s="149"/>
      <c r="AC1823" s="149"/>
      <c r="AD1823" s="149"/>
      <c r="AE1823" s="149"/>
      <c r="AF1823" s="149"/>
      <c r="AG1823" s="149"/>
      <c r="AH1823" s="149"/>
      <c r="AI1823" s="149"/>
      <c r="AJ1823" s="149"/>
      <c r="AK1823" s="149"/>
      <c r="AL1823" s="149"/>
      <c r="AM1823" s="149"/>
      <c r="AN1823" s="149"/>
      <c r="AO1823" s="149"/>
      <c r="AP1823" s="149"/>
    </row>
    <row r="1824" ht="18.75" customHeight="1">
      <c r="A1824" s="149"/>
      <c r="B1824" s="149"/>
      <c r="C1824" s="304"/>
      <c r="D1824" s="149"/>
      <c r="E1824" s="149"/>
      <c r="F1824" s="149"/>
      <c r="G1824" s="149"/>
      <c r="H1824" s="149"/>
      <c r="I1824" s="149"/>
      <c r="J1824" s="149"/>
      <c r="K1824" s="149"/>
      <c r="L1824" s="149"/>
      <c r="M1824" s="149"/>
      <c r="N1824" s="149"/>
      <c r="O1824" s="149"/>
      <c r="P1824" s="149"/>
      <c r="Q1824" s="149"/>
      <c r="R1824" s="149"/>
      <c r="S1824" s="149"/>
      <c r="T1824" s="149"/>
      <c r="U1824" s="149"/>
      <c r="V1824" s="149"/>
      <c r="W1824" s="149"/>
      <c r="X1824" s="149"/>
      <c r="Y1824" s="149"/>
      <c r="Z1824" s="149"/>
      <c r="AA1824" s="149"/>
      <c r="AB1824" s="149"/>
      <c r="AC1824" s="149"/>
      <c r="AD1824" s="149"/>
      <c r="AE1824" s="149"/>
      <c r="AF1824" s="149"/>
      <c r="AG1824" s="149"/>
      <c r="AH1824" s="149"/>
      <c r="AI1824" s="149"/>
      <c r="AJ1824" s="149"/>
      <c r="AK1824" s="149"/>
      <c r="AL1824" s="149"/>
      <c r="AM1824" s="149"/>
      <c r="AN1824" s="149"/>
      <c r="AO1824" s="149"/>
      <c r="AP1824" s="149"/>
    </row>
    <row r="1825" ht="18.75" customHeight="1">
      <c r="A1825" s="149"/>
      <c r="B1825" s="149"/>
      <c r="C1825" s="304"/>
      <c r="D1825" s="149"/>
      <c r="E1825" s="149"/>
      <c r="F1825" s="149"/>
      <c r="G1825" s="149"/>
      <c r="H1825" s="149"/>
      <c r="I1825" s="149"/>
      <c r="J1825" s="149"/>
      <c r="K1825" s="149"/>
      <c r="L1825" s="149"/>
      <c r="M1825" s="149"/>
      <c r="N1825" s="149"/>
      <c r="O1825" s="149"/>
      <c r="P1825" s="149"/>
      <c r="Q1825" s="149"/>
      <c r="R1825" s="149"/>
      <c r="S1825" s="149"/>
      <c r="T1825" s="149"/>
      <c r="U1825" s="149"/>
      <c r="V1825" s="149"/>
      <c r="W1825" s="149"/>
      <c r="X1825" s="149"/>
      <c r="Y1825" s="149"/>
      <c r="Z1825" s="149"/>
      <c r="AA1825" s="149"/>
      <c r="AB1825" s="149"/>
      <c r="AC1825" s="149"/>
      <c r="AD1825" s="149"/>
      <c r="AE1825" s="149"/>
      <c r="AF1825" s="149"/>
      <c r="AG1825" s="149"/>
      <c r="AH1825" s="149"/>
      <c r="AI1825" s="149"/>
      <c r="AJ1825" s="149"/>
      <c r="AK1825" s="149"/>
      <c r="AL1825" s="149"/>
      <c r="AM1825" s="149"/>
      <c r="AN1825" s="149"/>
      <c r="AO1825" s="149"/>
      <c r="AP1825" s="149"/>
    </row>
    <row r="1826" ht="18.75" customHeight="1">
      <c r="A1826" s="149"/>
      <c r="B1826" s="149"/>
      <c r="C1826" s="304"/>
      <c r="D1826" s="149"/>
      <c r="E1826" s="149"/>
      <c r="F1826" s="149"/>
      <c r="G1826" s="149"/>
      <c r="H1826" s="149"/>
      <c r="I1826" s="149"/>
      <c r="J1826" s="149"/>
      <c r="K1826" s="149"/>
      <c r="L1826" s="149"/>
      <c r="M1826" s="149"/>
      <c r="N1826" s="149"/>
      <c r="O1826" s="149"/>
      <c r="P1826" s="149"/>
      <c r="Q1826" s="149"/>
      <c r="R1826" s="149"/>
      <c r="S1826" s="149"/>
      <c r="T1826" s="149"/>
      <c r="U1826" s="149"/>
      <c r="V1826" s="149"/>
      <c r="W1826" s="149"/>
      <c r="X1826" s="149"/>
      <c r="Y1826" s="149"/>
      <c r="Z1826" s="149"/>
      <c r="AA1826" s="149"/>
      <c r="AB1826" s="149"/>
      <c r="AC1826" s="149"/>
      <c r="AD1826" s="149"/>
      <c r="AE1826" s="149"/>
      <c r="AF1826" s="149"/>
      <c r="AG1826" s="149"/>
      <c r="AH1826" s="149"/>
      <c r="AI1826" s="149"/>
      <c r="AJ1826" s="149"/>
      <c r="AK1826" s="149"/>
      <c r="AL1826" s="149"/>
      <c r="AM1826" s="149"/>
      <c r="AN1826" s="149"/>
      <c r="AO1826" s="149"/>
      <c r="AP1826" s="149"/>
    </row>
    <row r="1827" ht="18.75" customHeight="1">
      <c r="A1827" s="149"/>
      <c r="B1827" s="149"/>
      <c r="C1827" s="304"/>
      <c r="D1827" s="149"/>
      <c r="E1827" s="149"/>
      <c r="F1827" s="149"/>
      <c r="G1827" s="149"/>
      <c r="H1827" s="149"/>
      <c r="I1827" s="149"/>
      <c r="J1827" s="149"/>
      <c r="K1827" s="149"/>
      <c r="L1827" s="149"/>
      <c r="M1827" s="149"/>
      <c r="N1827" s="149"/>
      <c r="O1827" s="149"/>
      <c r="P1827" s="149"/>
      <c r="Q1827" s="149"/>
      <c r="R1827" s="149"/>
      <c r="S1827" s="149"/>
      <c r="T1827" s="149"/>
      <c r="U1827" s="149"/>
      <c r="V1827" s="149"/>
      <c r="W1827" s="149"/>
      <c r="X1827" s="149"/>
      <c r="Y1827" s="149"/>
      <c r="Z1827" s="149"/>
      <c r="AA1827" s="149"/>
      <c r="AB1827" s="149"/>
      <c r="AC1827" s="149"/>
      <c r="AD1827" s="149"/>
      <c r="AE1827" s="149"/>
      <c r="AF1827" s="149"/>
      <c r="AG1827" s="149"/>
      <c r="AH1827" s="149"/>
      <c r="AI1827" s="149"/>
      <c r="AJ1827" s="149"/>
      <c r="AK1827" s="149"/>
      <c r="AL1827" s="149"/>
      <c r="AM1827" s="149"/>
      <c r="AN1827" s="149"/>
      <c r="AO1827" s="149"/>
      <c r="AP1827" s="149"/>
    </row>
    <row r="1828" ht="18.75" customHeight="1">
      <c r="A1828" s="149"/>
      <c r="B1828" s="149"/>
      <c r="C1828" s="304"/>
      <c r="D1828" s="149"/>
      <c r="E1828" s="149"/>
      <c r="F1828" s="149"/>
      <c r="G1828" s="149"/>
      <c r="H1828" s="149"/>
      <c r="I1828" s="149"/>
      <c r="J1828" s="149"/>
      <c r="K1828" s="149"/>
      <c r="L1828" s="149"/>
      <c r="M1828" s="149"/>
      <c r="N1828" s="149"/>
      <c r="O1828" s="149"/>
      <c r="P1828" s="149"/>
      <c r="Q1828" s="149"/>
      <c r="R1828" s="149"/>
      <c r="S1828" s="149"/>
      <c r="T1828" s="149"/>
      <c r="U1828" s="149"/>
      <c r="V1828" s="149"/>
      <c r="W1828" s="149"/>
      <c r="X1828" s="149"/>
      <c r="Y1828" s="149"/>
      <c r="Z1828" s="149"/>
      <c r="AA1828" s="149"/>
      <c r="AB1828" s="149"/>
      <c r="AC1828" s="149"/>
      <c r="AD1828" s="149"/>
      <c r="AE1828" s="149"/>
      <c r="AF1828" s="149"/>
      <c r="AG1828" s="149"/>
      <c r="AH1828" s="149"/>
      <c r="AI1828" s="149"/>
      <c r="AJ1828" s="149"/>
      <c r="AK1828" s="149"/>
      <c r="AL1828" s="149"/>
      <c r="AM1828" s="149"/>
      <c r="AN1828" s="149"/>
      <c r="AO1828" s="149"/>
      <c r="AP1828" s="149"/>
    </row>
    <row r="1829" ht="18.75" customHeight="1">
      <c r="A1829" s="149"/>
      <c r="B1829" s="149"/>
      <c r="C1829" s="304"/>
      <c r="D1829" s="149"/>
      <c r="E1829" s="149"/>
      <c r="F1829" s="149"/>
      <c r="G1829" s="149"/>
      <c r="H1829" s="149"/>
      <c r="I1829" s="149"/>
      <c r="J1829" s="149"/>
      <c r="K1829" s="149"/>
      <c r="L1829" s="149"/>
      <c r="M1829" s="149"/>
      <c r="N1829" s="149"/>
      <c r="O1829" s="149"/>
      <c r="P1829" s="149"/>
      <c r="Q1829" s="149"/>
      <c r="R1829" s="149"/>
      <c r="S1829" s="149"/>
      <c r="T1829" s="149"/>
      <c r="U1829" s="149"/>
      <c r="V1829" s="149"/>
      <c r="W1829" s="149"/>
      <c r="X1829" s="149"/>
      <c r="Y1829" s="149"/>
      <c r="Z1829" s="149"/>
      <c r="AA1829" s="149"/>
      <c r="AB1829" s="149"/>
      <c r="AC1829" s="149"/>
      <c r="AD1829" s="149"/>
      <c r="AE1829" s="149"/>
      <c r="AF1829" s="149"/>
      <c r="AG1829" s="149"/>
      <c r="AH1829" s="149"/>
      <c r="AI1829" s="149"/>
      <c r="AJ1829" s="149"/>
      <c r="AK1829" s="149"/>
      <c r="AL1829" s="149"/>
      <c r="AM1829" s="149"/>
      <c r="AN1829" s="149"/>
      <c r="AO1829" s="149"/>
      <c r="AP1829" s="149"/>
    </row>
    <row r="1830" ht="18.75" customHeight="1">
      <c r="A1830" s="149"/>
      <c r="B1830" s="149"/>
      <c r="C1830" s="304"/>
      <c r="D1830" s="149"/>
      <c r="E1830" s="149"/>
      <c r="F1830" s="149"/>
      <c r="G1830" s="149"/>
      <c r="H1830" s="149"/>
      <c r="I1830" s="149"/>
      <c r="J1830" s="149"/>
      <c r="K1830" s="149"/>
      <c r="L1830" s="149"/>
      <c r="M1830" s="149"/>
      <c r="N1830" s="149"/>
      <c r="O1830" s="149"/>
      <c r="P1830" s="149"/>
      <c r="Q1830" s="149"/>
      <c r="R1830" s="149"/>
      <c r="S1830" s="149"/>
      <c r="T1830" s="149"/>
      <c r="U1830" s="149"/>
      <c r="V1830" s="149"/>
      <c r="W1830" s="149"/>
      <c r="X1830" s="149"/>
      <c r="Y1830" s="149"/>
      <c r="Z1830" s="149"/>
      <c r="AA1830" s="149"/>
      <c r="AB1830" s="149"/>
      <c r="AC1830" s="149"/>
      <c r="AD1830" s="149"/>
      <c r="AE1830" s="149"/>
      <c r="AF1830" s="149"/>
      <c r="AG1830" s="149"/>
      <c r="AH1830" s="149"/>
      <c r="AI1830" s="149"/>
      <c r="AJ1830" s="149"/>
      <c r="AK1830" s="149"/>
      <c r="AL1830" s="149"/>
      <c r="AM1830" s="149"/>
      <c r="AN1830" s="149"/>
      <c r="AO1830" s="149"/>
      <c r="AP1830" s="149"/>
    </row>
    <row r="1831" ht="18.75" customHeight="1">
      <c r="A1831" s="149"/>
      <c r="B1831" s="149"/>
      <c r="C1831" s="304"/>
      <c r="D1831" s="149"/>
      <c r="E1831" s="149"/>
      <c r="F1831" s="149"/>
      <c r="G1831" s="149"/>
      <c r="H1831" s="149"/>
      <c r="I1831" s="149"/>
      <c r="J1831" s="149"/>
      <c r="K1831" s="149"/>
      <c r="L1831" s="149"/>
      <c r="M1831" s="149"/>
      <c r="N1831" s="149"/>
      <c r="O1831" s="149"/>
      <c r="P1831" s="149"/>
      <c r="Q1831" s="149"/>
      <c r="R1831" s="149"/>
      <c r="S1831" s="149"/>
      <c r="T1831" s="149"/>
      <c r="U1831" s="149"/>
      <c r="V1831" s="149"/>
      <c r="W1831" s="149"/>
      <c r="X1831" s="149"/>
      <c r="Y1831" s="149"/>
      <c r="Z1831" s="149"/>
      <c r="AA1831" s="149"/>
      <c r="AB1831" s="149"/>
      <c r="AC1831" s="149"/>
      <c r="AD1831" s="149"/>
      <c r="AE1831" s="149"/>
      <c r="AF1831" s="149"/>
      <c r="AG1831" s="149"/>
      <c r="AH1831" s="149"/>
      <c r="AI1831" s="149"/>
      <c r="AJ1831" s="149"/>
      <c r="AK1831" s="149"/>
      <c r="AL1831" s="149"/>
      <c r="AM1831" s="149"/>
      <c r="AN1831" s="149"/>
      <c r="AO1831" s="149"/>
      <c r="AP1831" s="149"/>
    </row>
    <row r="1832" ht="18.75" customHeight="1">
      <c r="A1832" s="149"/>
      <c r="B1832" s="149"/>
      <c r="C1832" s="304"/>
      <c r="D1832" s="149"/>
      <c r="E1832" s="149"/>
      <c r="F1832" s="149"/>
      <c r="G1832" s="149"/>
      <c r="H1832" s="149"/>
      <c r="I1832" s="149"/>
      <c r="J1832" s="149"/>
      <c r="K1832" s="149"/>
      <c r="L1832" s="149"/>
      <c r="M1832" s="149"/>
      <c r="N1832" s="149"/>
      <c r="O1832" s="149"/>
      <c r="P1832" s="149"/>
      <c r="Q1832" s="149"/>
      <c r="R1832" s="149"/>
      <c r="S1832" s="149"/>
      <c r="T1832" s="149"/>
      <c r="U1832" s="149"/>
      <c r="V1832" s="149"/>
      <c r="W1832" s="149"/>
      <c r="X1832" s="149"/>
      <c r="Y1832" s="149"/>
      <c r="Z1832" s="149"/>
      <c r="AA1832" s="149"/>
      <c r="AB1832" s="149"/>
      <c r="AC1832" s="149"/>
      <c r="AD1832" s="149"/>
      <c r="AE1832" s="149"/>
      <c r="AF1832" s="149"/>
      <c r="AG1832" s="149"/>
      <c r="AH1832" s="149"/>
      <c r="AI1832" s="149"/>
      <c r="AJ1832" s="149"/>
      <c r="AK1832" s="149"/>
      <c r="AL1832" s="149"/>
      <c r="AM1832" s="149"/>
      <c r="AN1832" s="149"/>
      <c r="AO1832" s="149"/>
      <c r="AP1832" s="149"/>
    </row>
    <row r="1833" ht="18.75" customHeight="1">
      <c r="A1833" s="149"/>
      <c r="B1833" s="149"/>
      <c r="C1833" s="304"/>
      <c r="D1833" s="149"/>
      <c r="E1833" s="149"/>
      <c r="F1833" s="149"/>
      <c r="G1833" s="149"/>
      <c r="H1833" s="149"/>
      <c r="I1833" s="149"/>
      <c r="J1833" s="149"/>
      <c r="K1833" s="149"/>
      <c r="L1833" s="149"/>
      <c r="M1833" s="149"/>
      <c r="N1833" s="149"/>
      <c r="O1833" s="149"/>
      <c r="P1833" s="149"/>
      <c r="Q1833" s="149"/>
      <c r="R1833" s="149"/>
      <c r="S1833" s="149"/>
      <c r="T1833" s="149"/>
      <c r="U1833" s="149"/>
      <c r="V1833" s="149"/>
      <c r="W1833" s="149"/>
      <c r="X1833" s="149"/>
      <c r="Y1833" s="149"/>
      <c r="Z1833" s="149"/>
      <c r="AA1833" s="149"/>
      <c r="AB1833" s="149"/>
      <c r="AC1833" s="149"/>
      <c r="AD1833" s="149"/>
      <c r="AE1833" s="149"/>
      <c r="AF1833" s="149"/>
      <c r="AG1833" s="149"/>
      <c r="AH1833" s="149"/>
      <c r="AI1833" s="149"/>
      <c r="AJ1833" s="149"/>
      <c r="AK1833" s="149"/>
      <c r="AL1833" s="149"/>
      <c r="AM1833" s="149"/>
      <c r="AN1833" s="149"/>
      <c r="AO1833" s="149"/>
      <c r="AP1833" s="149"/>
    </row>
    <row r="1834" ht="18.75" customHeight="1">
      <c r="A1834" s="149"/>
      <c r="B1834" s="149"/>
      <c r="C1834" s="304"/>
      <c r="D1834" s="149"/>
      <c r="E1834" s="149"/>
      <c r="F1834" s="149"/>
      <c r="G1834" s="149"/>
      <c r="H1834" s="149"/>
      <c r="I1834" s="149"/>
      <c r="J1834" s="149"/>
      <c r="K1834" s="149"/>
      <c r="L1834" s="149"/>
      <c r="M1834" s="149"/>
      <c r="N1834" s="149"/>
      <c r="O1834" s="149"/>
      <c r="P1834" s="149"/>
      <c r="Q1834" s="149"/>
      <c r="R1834" s="149"/>
      <c r="S1834" s="149"/>
      <c r="T1834" s="149"/>
      <c r="U1834" s="149"/>
      <c r="V1834" s="149"/>
      <c r="W1834" s="149"/>
      <c r="X1834" s="149"/>
      <c r="Y1834" s="149"/>
      <c r="Z1834" s="149"/>
      <c r="AA1834" s="149"/>
      <c r="AB1834" s="149"/>
      <c r="AC1834" s="149"/>
      <c r="AD1834" s="149"/>
      <c r="AE1834" s="149"/>
      <c r="AF1834" s="149"/>
      <c r="AG1834" s="149"/>
      <c r="AH1834" s="149"/>
      <c r="AI1834" s="149"/>
      <c r="AJ1834" s="149"/>
      <c r="AK1834" s="149"/>
      <c r="AL1834" s="149"/>
      <c r="AM1834" s="149"/>
      <c r="AN1834" s="149"/>
      <c r="AO1834" s="149"/>
      <c r="AP1834" s="149"/>
    </row>
    <row r="1835" ht="18.75" customHeight="1">
      <c r="A1835" s="149"/>
      <c r="B1835" s="149"/>
      <c r="C1835" s="304"/>
      <c r="D1835" s="149"/>
      <c r="E1835" s="149"/>
      <c r="F1835" s="149"/>
      <c r="G1835" s="149"/>
      <c r="H1835" s="149"/>
      <c r="I1835" s="149"/>
      <c r="J1835" s="149"/>
      <c r="K1835" s="149"/>
      <c r="L1835" s="149"/>
      <c r="M1835" s="149"/>
      <c r="N1835" s="149"/>
      <c r="O1835" s="149"/>
      <c r="P1835" s="149"/>
      <c r="Q1835" s="149"/>
      <c r="R1835" s="149"/>
      <c r="S1835" s="149"/>
      <c r="T1835" s="149"/>
      <c r="U1835" s="149"/>
      <c r="V1835" s="149"/>
      <c r="W1835" s="149"/>
      <c r="X1835" s="149"/>
      <c r="Y1835" s="149"/>
      <c r="Z1835" s="149"/>
      <c r="AA1835" s="149"/>
      <c r="AB1835" s="149"/>
      <c r="AC1835" s="149"/>
      <c r="AD1835" s="149"/>
      <c r="AE1835" s="149"/>
      <c r="AF1835" s="149"/>
      <c r="AG1835" s="149"/>
      <c r="AH1835" s="149"/>
      <c r="AI1835" s="149"/>
      <c r="AJ1835" s="149"/>
      <c r="AK1835" s="149"/>
      <c r="AL1835" s="149"/>
      <c r="AM1835" s="149"/>
      <c r="AN1835" s="149"/>
      <c r="AO1835" s="149"/>
      <c r="AP1835" s="149"/>
    </row>
    <row r="1836" ht="18.75" customHeight="1">
      <c r="A1836" s="149"/>
      <c r="B1836" s="149"/>
      <c r="C1836" s="304"/>
      <c r="D1836" s="149"/>
      <c r="E1836" s="149"/>
      <c r="F1836" s="149"/>
      <c r="G1836" s="149"/>
      <c r="H1836" s="149"/>
      <c r="I1836" s="149"/>
      <c r="J1836" s="149"/>
      <c r="K1836" s="149"/>
      <c r="L1836" s="149"/>
      <c r="M1836" s="149"/>
      <c r="N1836" s="149"/>
      <c r="O1836" s="149"/>
      <c r="P1836" s="149"/>
      <c r="Q1836" s="149"/>
      <c r="R1836" s="149"/>
      <c r="S1836" s="149"/>
      <c r="T1836" s="149"/>
      <c r="U1836" s="149"/>
      <c r="V1836" s="149"/>
      <c r="W1836" s="149"/>
      <c r="X1836" s="149"/>
      <c r="Y1836" s="149"/>
      <c r="Z1836" s="149"/>
      <c r="AA1836" s="149"/>
      <c r="AB1836" s="149"/>
      <c r="AC1836" s="149"/>
      <c r="AD1836" s="149"/>
      <c r="AE1836" s="149"/>
      <c r="AF1836" s="149"/>
      <c r="AG1836" s="149"/>
      <c r="AH1836" s="149"/>
      <c r="AI1836" s="149"/>
      <c r="AJ1836" s="149"/>
      <c r="AK1836" s="149"/>
      <c r="AL1836" s="149"/>
      <c r="AM1836" s="149"/>
      <c r="AN1836" s="149"/>
      <c r="AO1836" s="149"/>
      <c r="AP1836" s="149"/>
    </row>
    <row r="1837" ht="18.75" customHeight="1">
      <c r="A1837" s="149"/>
      <c r="B1837" s="149"/>
      <c r="C1837" s="304"/>
      <c r="D1837" s="149"/>
      <c r="E1837" s="149"/>
      <c r="F1837" s="149"/>
      <c r="G1837" s="149"/>
      <c r="H1837" s="149"/>
      <c r="I1837" s="149"/>
      <c r="J1837" s="149"/>
      <c r="K1837" s="149"/>
      <c r="L1837" s="149"/>
      <c r="M1837" s="149"/>
      <c r="N1837" s="149"/>
      <c r="O1837" s="149"/>
      <c r="P1837" s="149"/>
      <c r="Q1837" s="149"/>
      <c r="R1837" s="149"/>
      <c r="S1837" s="149"/>
      <c r="T1837" s="149"/>
      <c r="U1837" s="149"/>
      <c r="V1837" s="149"/>
      <c r="W1837" s="149"/>
      <c r="X1837" s="149"/>
      <c r="Y1837" s="149"/>
      <c r="Z1837" s="149"/>
      <c r="AA1837" s="149"/>
      <c r="AB1837" s="149"/>
      <c r="AC1837" s="149"/>
      <c r="AD1837" s="149"/>
      <c r="AE1837" s="149"/>
      <c r="AF1837" s="149"/>
      <c r="AG1837" s="149"/>
      <c r="AH1837" s="149"/>
      <c r="AI1837" s="149"/>
      <c r="AJ1837" s="149"/>
      <c r="AK1837" s="149"/>
      <c r="AL1837" s="149"/>
      <c r="AM1837" s="149"/>
      <c r="AN1837" s="149"/>
      <c r="AO1837" s="149"/>
      <c r="AP1837" s="149"/>
    </row>
    <row r="1838" ht="18.75" customHeight="1">
      <c r="A1838" s="149"/>
      <c r="B1838" s="149"/>
      <c r="C1838" s="304"/>
      <c r="D1838" s="149"/>
      <c r="E1838" s="149"/>
      <c r="F1838" s="149"/>
      <c r="G1838" s="149"/>
      <c r="H1838" s="149"/>
      <c r="I1838" s="149"/>
      <c r="J1838" s="149"/>
      <c r="K1838" s="149"/>
      <c r="L1838" s="149"/>
      <c r="M1838" s="149"/>
      <c r="N1838" s="149"/>
      <c r="O1838" s="149"/>
      <c r="P1838" s="149"/>
      <c r="Q1838" s="149"/>
      <c r="R1838" s="149"/>
      <c r="S1838" s="149"/>
      <c r="T1838" s="149"/>
      <c r="U1838" s="149"/>
      <c r="V1838" s="149"/>
      <c r="W1838" s="149"/>
      <c r="X1838" s="149"/>
      <c r="Y1838" s="149"/>
      <c r="Z1838" s="149"/>
      <c r="AA1838" s="149"/>
      <c r="AB1838" s="149"/>
      <c r="AC1838" s="149"/>
      <c r="AD1838" s="149"/>
      <c r="AE1838" s="149"/>
      <c r="AF1838" s="149"/>
      <c r="AG1838" s="149"/>
      <c r="AH1838" s="149"/>
      <c r="AI1838" s="149"/>
      <c r="AJ1838" s="149"/>
      <c r="AK1838" s="149"/>
      <c r="AL1838" s="149"/>
      <c r="AM1838" s="149"/>
      <c r="AN1838" s="149"/>
      <c r="AO1838" s="149"/>
      <c r="AP1838" s="149"/>
    </row>
    <row r="1839" ht="18.75" customHeight="1">
      <c r="A1839" s="149"/>
      <c r="B1839" s="149"/>
      <c r="C1839" s="304"/>
      <c r="D1839" s="149"/>
      <c r="E1839" s="149"/>
      <c r="F1839" s="149"/>
      <c r="G1839" s="149"/>
      <c r="H1839" s="149"/>
      <c r="I1839" s="149"/>
      <c r="J1839" s="149"/>
      <c r="K1839" s="149"/>
      <c r="L1839" s="149"/>
      <c r="M1839" s="149"/>
      <c r="N1839" s="149"/>
      <c r="O1839" s="149"/>
      <c r="P1839" s="149"/>
      <c r="Q1839" s="149"/>
      <c r="R1839" s="149"/>
      <c r="S1839" s="149"/>
      <c r="T1839" s="149"/>
      <c r="U1839" s="149"/>
      <c r="V1839" s="149"/>
      <c r="W1839" s="149"/>
      <c r="X1839" s="149"/>
      <c r="Y1839" s="149"/>
      <c r="Z1839" s="149"/>
      <c r="AA1839" s="149"/>
      <c r="AB1839" s="149"/>
      <c r="AC1839" s="149"/>
      <c r="AD1839" s="149"/>
      <c r="AE1839" s="149"/>
      <c r="AF1839" s="149"/>
      <c r="AG1839" s="149"/>
      <c r="AH1839" s="149"/>
      <c r="AI1839" s="149"/>
      <c r="AJ1839" s="149"/>
      <c r="AK1839" s="149"/>
      <c r="AL1839" s="149"/>
      <c r="AM1839" s="149"/>
      <c r="AN1839" s="149"/>
      <c r="AO1839" s="149"/>
      <c r="AP1839" s="149"/>
    </row>
    <row r="1840" ht="18.75" customHeight="1">
      <c r="A1840" s="149"/>
      <c r="B1840" s="149"/>
      <c r="C1840" s="304"/>
      <c r="D1840" s="149"/>
      <c r="E1840" s="149"/>
      <c r="F1840" s="149"/>
      <c r="G1840" s="149"/>
      <c r="H1840" s="149"/>
      <c r="I1840" s="149"/>
      <c r="J1840" s="149"/>
      <c r="K1840" s="149"/>
      <c r="L1840" s="149"/>
      <c r="M1840" s="149"/>
      <c r="N1840" s="149"/>
      <c r="O1840" s="149"/>
      <c r="P1840" s="149"/>
      <c r="Q1840" s="149"/>
      <c r="R1840" s="149"/>
      <c r="S1840" s="149"/>
      <c r="T1840" s="149"/>
      <c r="U1840" s="149"/>
      <c r="V1840" s="149"/>
      <c r="W1840" s="149"/>
      <c r="X1840" s="149"/>
      <c r="Y1840" s="149"/>
      <c r="Z1840" s="149"/>
      <c r="AA1840" s="149"/>
      <c r="AB1840" s="149"/>
      <c r="AC1840" s="149"/>
      <c r="AD1840" s="149"/>
      <c r="AE1840" s="149"/>
      <c r="AF1840" s="149"/>
      <c r="AG1840" s="149"/>
      <c r="AH1840" s="149"/>
      <c r="AI1840" s="149"/>
      <c r="AJ1840" s="149"/>
      <c r="AK1840" s="149"/>
      <c r="AL1840" s="149"/>
      <c r="AM1840" s="149"/>
      <c r="AN1840" s="149"/>
      <c r="AO1840" s="149"/>
      <c r="AP1840" s="149"/>
    </row>
    <row r="1841" ht="18.75" customHeight="1">
      <c r="A1841" s="149"/>
      <c r="B1841" s="149"/>
      <c r="C1841" s="304"/>
      <c r="D1841" s="149"/>
      <c r="E1841" s="149"/>
      <c r="F1841" s="149"/>
      <c r="G1841" s="149"/>
      <c r="H1841" s="149"/>
      <c r="I1841" s="149"/>
      <c r="J1841" s="149"/>
      <c r="K1841" s="149"/>
      <c r="L1841" s="149"/>
      <c r="M1841" s="149"/>
      <c r="N1841" s="149"/>
      <c r="O1841" s="149"/>
      <c r="P1841" s="149"/>
      <c r="Q1841" s="149"/>
      <c r="R1841" s="149"/>
      <c r="S1841" s="149"/>
      <c r="T1841" s="149"/>
      <c r="U1841" s="149"/>
      <c r="V1841" s="149"/>
      <c r="W1841" s="149"/>
      <c r="X1841" s="149"/>
      <c r="Y1841" s="149"/>
      <c r="Z1841" s="149"/>
      <c r="AA1841" s="149"/>
      <c r="AB1841" s="149"/>
      <c r="AC1841" s="149"/>
      <c r="AD1841" s="149"/>
      <c r="AE1841" s="149"/>
      <c r="AF1841" s="149"/>
      <c r="AG1841" s="149"/>
      <c r="AH1841" s="149"/>
      <c r="AI1841" s="149"/>
      <c r="AJ1841" s="149"/>
      <c r="AK1841" s="149"/>
      <c r="AL1841" s="149"/>
      <c r="AM1841" s="149"/>
      <c r="AN1841" s="149"/>
      <c r="AO1841" s="149"/>
      <c r="AP1841" s="149"/>
    </row>
    <row r="1842" ht="18.75" customHeight="1">
      <c r="A1842" s="149"/>
      <c r="B1842" s="149"/>
      <c r="C1842" s="304"/>
      <c r="D1842" s="149"/>
      <c r="E1842" s="149"/>
      <c r="F1842" s="149"/>
      <c r="G1842" s="149"/>
      <c r="H1842" s="149"/>
      <c r="I1842" s="149"/>
      <c r="J1842" s="149"/>
      <c r="K1842" s="149"/>
      <c r="L1842" s="149"/>
      <c r="M1842" s="149"/>
      <c r="N1842" s="149"/>
      <c r="O1842" s="149"/>
      <c r="P1842" s="149"/>
      <c r="Q1842" s="149"/>
      <c r="R1842" s="149"/>
      <c r="S1842" s="149"/>
      <c r="T1842" s="149"/>
      <c r="U1842" s="149"/>
      <c r="V1842" s="149"/>
      <c r="W1842" s="149"/>
      <c r="X1842" s="149"/>
      <c r="Y1842" s="149"/>
      <c r="Z1842" s="149"/>
      <c r="AA1842" s="149"/>
      <c r="AB1842" s="149"/>
      <c r="AC1842" s="149"/>
      <c r="AD1842" s="149"/>
      <c r="AE1842" s="149"/>
      <c r="AF1842" s="149"/>
      <c r="AG1842" s="149"/>
      <c r="AH1842" s="149"/>
      <c r="AI1842" s="149"/>
      <c r="AJ1842" s="149"/>
      <c r="AK1842" s="149"/>
      <c r="AL1842" s="149"/>
      <c r="AM1842" s="149"/>
      <c r="AN1842" s="149"/>
      <c r="AO1842" s="149"/>
      <c r="AP1842" s="149"/>
    </row>
    <row r="1843" ht="18.75" customHeight="1">
      <c r="A1843" s="149"/>
      <c r="B1843" s="149"/>
      <c r="C1843" s="304"/>
      <c r="D1843" s="149"/>
      <c r="E1843" s="149"/>
      <c r="F1843" s="149"/>
      <c r="G1843" s="149"/>
      <c r="H1843" s="149"/>
      <c r="I1843" s="149"/>
      <c r="J1843" s="149"/>
      <c r="K1843" s="149"/>
      <c r="L1843" s="149"/>
      <c r="M1843" s="149"/>
      <c r="N1843" s="149"/>
      <c r="O1843" s="149"/>
      <c r="P1843" s="149"/>
      <c r="Q1843" s="149"/>
      <c r="R1843" s="149"/>
      <c r="S1843" s="149"/>
      <c r="T1843" s="149"/>
      <c r="U1843" s="149"/>
      <c r="V1843" s="149"/>
      <c r="W1843" s="149"/>
      <c r="X1843" s="149"/>
      <c r="Y1843" s="149"/>
      <c r="Z1843" s="149"/>
      <c r="AA1843" s="149"/>
      <c r="AB1843" s="149"/>
      <c r="AC1843" s="149"/>
      <c r="AD1843" s="149"/>
      <c r="AE1843" s="149"/>
      <c r="AF1843" s="149"/>
      <c r="AG1843" s="149"/>
      <c r="AH1843" s="149"/>
      <c r="AI1843" s="149"/>
      <c r="AJ1843" s="149"/>
      <c r="AK1843" s="149"/>
      <c r="AL1843" s="149"/>
      <c r="AM1843" s="149"/>
      <c r="AN1843" s="149"/>
      <c r="AO1843" s="149"/>
      <c r="AP1843" s="149"/>
    </row>
    <row r="1844" ht="18.75" customHeight="1">
      <c r="A1844" s="149"/>
      <c r="B1844" s="149"/>
      <c r="C1844" s="304"/>
      <c r="D1844" s="149"/>
      <c r="E1844" s="149"/>
      <c r="F1844" s="149"/>
      <c r="G1844" s="149"/>
      <c r="H1844" s="149"/>
      <c r="I1844" s="149"/>
      <c r="J1844" s="149"/>
      <c r="K1844" s="149"/>
      <c r="L1844" s="149"/>
      <c r="M1844" s="149"/>
      <c r="N1844" s="149"/>
      <c r="O1844" s="149"/>
      <c r="P1844" s="149"/>
      <c r="Q1844" s="149"/>
      <c r="R1844" s="149"/>
      <c r="S1844" s="149"/>
      <c r="T1844" s="149"/>
      <c r="U1844" s="149"/>
      <c r="V1844" s="149"/>
      <c r="W1844" s="149"/>
      <c r="X1844" s="149"/>
      <c r="Y1844" s="149"/>
      <c r="Z1844" s="149"/>
      <c r="AA1844" s="149"/>
      <c r="AB1844" s="149"/>
      <c r="AC1844" s="149"/>
      <c r="AD1844" s="149"/>
      <c r="AE1844" s="149"/>
      <c r="AF1844" s="149"/>
      <c r="AG1844" s="149"/>
      <c r="AH1844" s="149"/>
      <c r="AI1844" s="149"/>
      <c r="AJ1844" s="149"/>
      <c r="AK1844" s="149"/>
      <c r="AL1844" s="149"/>
      <c r="AM1844" s="149"/>
      <c r="AN1844" s="149"/>
      <c r="AO1844" s="149"/>
      <c r="AP1844" s="149"/>
    </row>
    <row r="1845" ht="18.75" customHeight="1">
      <c r="A1845" s="149"/>
      <c r="B1845" s="149"/>
      <c r="C1845" s="304"/>
      <c r="D1845" s="149"/>
      <c r="E1845" s="149"/>
      <c r="F1845" s="149"/>
      <c r="G1845" s="149"/>
      <c r="H1845" s="149"/>
      <c r="I1845" s="149"/>
      <c r="J1845" s="149"/>
      <c r="K1845" s="149"/>
      <c r="L1845" s="149"/>
      <c r="M1845" s="149"/>
      <c r="N1845" s="149"/>
      <c r="O1845" s="149"/>
      <c r="P1845" s="149"/>
      <c r="Q1845" s="149"/>
      <c r="R1845" s="149"/>
      <c r="S1845" s="149"/>
      <c r="T1845" s="149"/>
      <c r="U1845" s="149"/>
      <c r="V1845" s="149"/>
      <c r="W1845" s="149"/>
      <c r="X1845" s="149"/>
      <c r="Y1845" s="149"/>
      <c r="Z1845" s="149"/>
      <c r="AA1845" s="149"/>
      <c r="AB1845" s="149"/>
      <c r="AC1845" s="149"/>
      <c r="AD1845" s="149"/>
      <c r="AE1845" s="149"/>
      <c r="AF1845" s="149"/>
      <c r="AG1845" s="149"/>
      <c r="AH1845" s="149"/>
      <c r="AI1845" s="149"/>
      <c r="AJ1845" s="149"/>
      <c r="AK1845" s="149"/>
      <c r="AL1845" s="149"/>
      <c r="AM1845" s="149"/>
      <c r="AN1845" s="149"/>
      <c r="AO1845" s="149"/>
      <c r="AP1845" s="149"/>
    </row>
    <row r="1846" ht="18.75" customHeight="1">
      <c r="A1846" s="149"/>
      <c r="B1846" s="149"/>
      <c r="C1846" s="304"/>
      <c r="D1846" s="149"/>
      <c r="E1846" s="149"/>
      <c r="F1846" s="149"/>
      <c r="G1846" s="149"/>
      <c r="H1846" s="149"/>
      <c r="I1846" s="149"/>
      <c r="J1846" s="149"/>
      <c r="K1846" s="149"/>
      <c r="L1846" s="149"/>
      <c r="M1846" s="149"/>
      <c r="N1846" s="149"/>
      <c r="O1846" s="149"/>
      <c r="P1846" s="149"/>
      <c r="Q1846" s="149"/>
      <c r="R1846" s="149"/>
      <c r="S1846" s="149"/>
      <c r="T1846" s="149"/>
      <c r="U1846" s="149"/>
      <c r="V1846" s="149"/>
      <c r="W1846" s="149"/>
      <c r="X1846" s="149"/>
      <c r="Y1846" s="149"/>
      <c r="Z1846" s="149"/>
      <c r="AA1846" s="149"/>
      <c r="AB1846" s="149"/>
      <c r="AC1846" s="149"/>
      <c r="AD1846" s="149"/>
      <c r="AE1846" s="149"/>
      <c r="AF1846" s="149"/>
      <c r="AG1846" s="149"/>
      <c r="AH1846" s="149"/>
      <c r="AI1846" s="149"/>
      <c r="AJ1846" s="149"/>
      <c r="AK1846" s="149"/>
      <c r="AL1846" s="149"/>
      <c r="AM1846" s="149"/>
      <c r="AN1846" s="149"/>
      <c r="AO1846" s="149"/>
      <c r="AP1846" s="149"/>
    </row>
    <row r="1847" ht="18.75" customHeight="1">
      <c r="A1847" s="149"/>
      <c r="B1847" s="149"/>
      <c r="C1847" s="304"/>
      <c r="D1847" s="149"/>
      <c r="E1847" s="149"/>
      <c r="F1847" s="149"/>
      <c r="G1847" s="149"/>
      <c r="H1847" s="149"/>
      <c r="I1847" s="149"/>
      <c r="J1847" s="149"/>
      <c r="K1847" s="149"/>
      <c r="L1847" s="149"/>
      <c r="M1847" s="149"/>
      <c r="N1847" s="149"/>
      <c r="O1847" s="149"/>
      <c r="P1847" s="149"/>
      <c r="Q1847" s="149"/>
      <c r="R1847" s="149"/>
      <c r="S1847" s="149"/>
      <c r="T1847" s="149"/>
      <c r="U1847" s="149"/>
      <c r="V1847" s="149"/>
      <c r="W1847" s="149"/>
      <c r="X1847" s="149"/>
      <c r="Y1847" s="149"/>
      <c r="Z1847" s="149"/>
      <c r="AA1847" s="149"/>
      <c r="AB1847" s="149"/>
      <c r="AC1847" s="149"/>
      <c r="AD1847" s="149"/>
      <c r="AE1847" s="149"/>
      <c r="AF1847" s="149"/>
      <c r="AG1847" s="149"/>
      <c r="AH1847" s="149"/>
      <c r="AI1847" s="149"/>
      <c r="AJ1847" s="149"/>
      <c r="AK1847" s="149"/>
      <c r="AL1847" s="149"/>
      <c r="AM1847" s="149"/>
      <c r="AN1847" s="149"/>
      <c r="AO1847" s="149"/>
      <c r="AP1847" s="149"/>
    </row>
    <row r="1848" ht="18.75" customHeight="1">
      <c r="A1848" s="149"/>
      <c r="B1848" s="149"/>
      <c r="C1848" s="304"/>
      <c r="D1848" s="149"/>
      <c r="E1848" s="149"/>
      <c r="F1848" s="149"/>
      <c r="G1848" s="149"/>
      <c r="H1848" s="149"/>
      <c r="I1848" s="149"/>
      <c r="J1848" s="149"/>
      <c r="K1848" s="149"/>
      <c r="L1848" s="149"/>
      <c r="M1848" s="149"/>
      <c r="N1848" s="149"/>
      <c r="O1848" s="149"/>
      <c r="P1848" s="149"/>
      <c r="Q1848" s="149"/>
      <c r="R1848" s="149"/>
      <c r="S1848" s="149"/>
      <c r="T1848" s="149"/>
      <c r="U1848" s="149"/>
      <c r="V1848" s="149"/>
      <c r="W1848" s="149"/>
      <c r="X1848" s="149"/>
      <c r="Y1848" s="149"/>
      <c r="Z1848" s="149"/>
      <c r="AA1848" s="149"/>
      <c r="AB1848" s="149"/>
      <c r="AC1848" s="149"/>
      <c r="AD1848" s="149"/>
      <c r="AE1848" s="149"/>
      <c r="AF1848" s="149"/>
      <c r="AG1848" s="149"/>
      <c r="AH1848" s="149"/>
      <c r="AI1848" s="149"/>
      <c r="AJ1848" s="149"/>
      <c r="AK1848" s="149"/>
      <c r="AL1848" s="149"/>
      <c r="AM1848" s="149"/>
      <c r="AN1848" s="149"/>
      <c r="AO1848" s="149"/>
      <c r="AP1848" s="149"/>
    </row>
    <row r="1849" ht="18.75" customHeight="1">
      <c r="A1849" s="149"/>
      <c r="B1849" s="149"/>
      <c r="C1849" s="304"/>
      <c r="D1849" s="149"/>
      <c r="E1849" s="149"/>
      <c r="F1849" s="149"/>
      <c r="G1849" s="149"/>
      <c r="H1849" s="149"/>
      <c r="I1849" s="149"/>
      <c r="J1849" s="149"/>
      <c r="K1849" s="149"/>
      <c r="L1849" s="149"/>
      <c r="M1849" s="149"/>
      <c r="N1849" s="149"/>
      <c r="O1849" s="149"/>
      <c r="P1849" s="149"/>
      <c r="Q1849" s="149"/>
      <c r="R1849" s="149"/>
      <c r="S1849" s="149"/>
      <c r="T1849" s="149"/>
      <c r="U1849" s="149"/>
      <c r="V1849" s="149"/>
      <c r="W1849" s="149"/>
      <c r="X1849" s="149"/>
      <c r="Y1849" s="149"/>
      <c r="Z1849" s="149"/>
      <c r="AA1849" s="149"/>
      <c r="AB1849" s="149"/>
      <c r="AC1849" s="149"/>
      <c r="AD1849" s="149"/>
      <c r="AE1849" s="149"/>
      <c r="AF1849" s="149"/>
      <c r="AG1849" s="149"/>
      <c r="AH1849" s="149"/>
      <c r="AI1849" s="149"/>
      <c r="AJ1849" s="149"/>
      <c r="AK1849" s="149"/>
      <c r="AL1849" s="149"/>
      <c r="AM1849" s="149"/>
      <c r="AN1849" s="149"/>
      <c r="AO1849" s="149"/>
      <c r="AP1849" s="149"/>
    </row>
    <row r="1850" ht="18.75" customHeight="1">
      <c r="A1850" s="149"/>
      <c r="B1850" s="149"/>
      <c r="C1850" s="304"/>
      <c r="D1850" s="149"/>
      <c r="E1850" s="149"/>
      <c r="F1850" s="149"/>
      <c r="G1850" s="149"/>
      <c r="H1850" s="149"/>
      <c r="I1850" s="149"/>
      <c r="J1850" s="149"/>
      <c r="K1850" s="149"/>
      <c r="L1850" s="149"/>
      <c r="M1850" s="149"/>
      <c r="N1850" s="149"/>
      <c r="O1850" s="149"/>
      <c r="P1850" s="149"/>
      <c r="Q1850" s="149"/>
      <c r="R1850" s="149"/>
      <c r="S1850" s="149"/>
      <c r="T1850" s="149"/>
      <c r="U1850" s="149"/>
      <c r="V1850" s="149"/>
      <c r="W1850" s="149"/>
      <c r="X1850" s="149"/>
      <c r="Y1850" s="149"/>
      <c r="Z1850" s="149"/>
      <c r="AA1850" s="149"/>
      <c r="AB1850" s="149"/>
      <c r="AC1850" s="149"/>
      <c r="AD1850" s="149"/>
      <c r="AE1850" s="149"/>
      <c r="AF1850" s="149"/>
      <c r="AG1850" s="149"/>
      <c r="AH1850" s="149"/>
      <c r="AI1850" s="149"/>
      <c r="AJ1850" s="149"/>
      <c r="AK1850" s="149"/>
      <c r="AL1850" s="149"/>
      <c r="AM1850" s="149"/>
      <c r="AN1850" s="149"/>
      <c r="AO1850" s="149"/>
      <c r="AP1850" s="149"/>
    </row>
    <row r="1851" ht="18.75" customHeight="1">
      <c r="A1851" s="149"/>
      <c r="B1851" s="149"/>
      <c r="C1851" s="304"/>
      <c r="D1851" s="149"/>
      <c r="E1851" s="149"/>
      <c r="F1851" s="149"/>
      <c r="G1851" s="149"/>
      <c r="H1851" s="149"/>
      <c r="I1851" s="149"/>
      <c r="J1851" s="149"/>
      <c r="K1851" s="149"/>
      <c r="L1851" s="149"/>
      <c r="M1851" s="149"/>
      <c r="N1851" s="149"/>
      <c r="O1851" s="149"/>
      <c r="P1851" s="149"/>
      <c r="Q1851" s="149"/>
      <c r="R1851" s="149"/>
      <c r="S1851" s="149"/>
      <c r="T1851" s="149"/>
      <c r="U1851" s="149"/>
      <c r="V1851" s="149"/>
      <c r="W1851" s="149"/>
      <c r="X1851" s="149"/>
      <c r="Y1851" s="149"/>
      <c r="Z1851" s="149"/>
      <c r="AA1851" s="149"/>
      <c r="AB1851" s="149"/>
      <c r="AC1851" s="149"/>
      <c r="AD1851" s="149"/>
      <c r="AE1851" s="149"/>
      <c r="AF1851" s="149"/>
      <c r="AG1851" s="149"/>
      <c r="AH1851" s="149"/>
      <c r="AI1851" s="149"/>
      <c r="AJ1851" s="149"/>
      <c r="AK1851" s="149"/>
      <c r="AL1851" s="149"/>
      <c r="AM1851" s="149"/>
      <c r="AN1851" s="149"/>
      <c r="AO1851" s="149"/>
      <c r="AP1851" s="149"/>
    </row>
    <row r="1852" ht="18.75" customHeight="1">
      <c r="A1852" s="149"/>
      <c r="B1852" s="149"/>
      <c r="C1852" s="304"/>
      <c r="D1852" s="149"/>
      <c r="E1852" s="149"/>
      <c r="F1852" s="149"/>
      <c r="G1852" s="149"/>
      <c r="H1852" s="149"/>
      <c r="I1852" s="149"/>
      <c r="J1852" s="149"/>
      <c r="K1852" s="149"/>
      <c r="L1852" s="149"/>
      <c r="M1852" s="149"/>
      <c r="N1852" s="149"/>
      <c r="O1852" s="149"/>
      <c r="P1852" s="149"/>
      <c r="Q1852" s="149"/>
      <c r="R1852" s="149"/>
      <c r="S1852" s="149"/>
      <c r="T1852" s="149"/>
      <c r="U1852" s="149"/>
      <c r="V1852" s="149"/>
      <c r="W1852" s="149"/>
      <c r="X1852" s="149"/>
      <c r="Y1852" s="149"/>
      <c r="Z1852" s="149"/>
      <c r="AA1852" s="149"/>
      <c r="AB1852" s="149"/>
      <c r="AC1852" s="149"/>
      <c r="AD1852" s="149"/>
      <c r="AE1852" s="149"/>
      <c r="AF1852" s="149"/>
      <c r="AG1852" s="149"/>
      <c r="AH1852" s="149"/>
      <c r="AI1852" s="149"/>
      <c r="AJ1852" s="149"/>
      <c r="AK1852" s="149"/>
      <c r="AL1852" s="149"/>
      <c r="AM1852" s="149"/>
      <c r="AN1852" s="149"/>
      <c r="AO1852" s="149"/>
      <c r="AP1852" s="149"/>
    </row>
    <row r="1853" ht="18.75" customHeight="1">
      <c r="A1853" s="149"/>
      <c r="B1853" s="149"/>
      <c r="C1853" s="304"/>
      <c r="D1853" s="149"/>
      <c r="E1853" s="149"/>
      <c r="F1853" s="149"/>
      <c r="G1853" s="149"/>
      <c r="H1853" s="149"/>
      <c r="I1853" s="149"/>
      <c r="J1853" s="149"/>
      <c r="K1853" s="149"/>
      <c r="L1853" s="149"/>
      <c r="M1853" s="149"/>
      <c r="N1853" s="149"/>
      <c r="O1853" s="149"/>
      <c r="P1853" s="149"/>
      <c r="Q1853" s="149"/>
      <c r="R1853" s="149"/>
      <c r="S1853" s="149"/>
      <c r="T1853" s="149"/>
      <c r="U1853" s="149"/>
      <c r="V1853" s="149"/>
      <c r="W1853" s="149"/>
      <c r="X1853" s="149"/>
      <c r="Y1853" s="149"/>
      <c r="Z1853" s="149"/>
      <c r="AA1853" s="149"/>
      <c r="AB1853" s="149"/>
      <c r="AC1853" s="149"/>
      <c r="AD1853" s="149"/>
      <c r="AE1853" s="149"/>
      <c r="AF1853" s="149"/>
      <c r="AG1853" s="149"/>
      <c r="AH1853" s="149"/>
      <c r="AI1853" s="149"/>
      <c r="AJ1853" s="149"/>
      <c r="AK1853" s="149"/>
      <c r="AL1853" s="149"/>
      <c r="AM1853" s="149"/>
      <c r="AN1853" s="149"/>
      <c r="AO1853" s="149"/>
      <c r="AP1853" s="149"/>
    </row>
    <row r="1854" ht="18.75" customHeight="1">
      <c r="A1854" s="149"/>
      <c r="B1854" s="149"/>
      <c r="C1854" s="304"/>
      <c r="D1854" s="149"/>
      <c r="E1854" s="149"/>
      <c r="F1854" s="149"/>
      <c r="G1854" s="149"/>
      <c r="H1854" s="149"/>
      <c r="I1854" s="149"/>
      <c r="J1854" s="149"/>
      <c r="K1854" s="149"/>
      <c r="L1854" s="149"/>
      <c r="M1854" s="149"/>
      <c r="N1854" s="149"/>
      <c r="O1854" s="149"/>
      <c r="P1854" s="149"/>
      <c r="Q1854" s="149"/>
      <c r="R1854" s="149"/>
      <c r="S1854" s="149"/>
      <c r="T1854" s="149"/>
      <c r="U1854" s="149"/>
      <c r="V1854" s="149"/>
      <c r="W1854" s="149"/>
      <c r="X1854" s="149"/>
      <c r="Y1854" s="149"/>
      <c r="Z1854" s="149"/>
      <c r="AA1854" s="149"/>
      <c r="AB1854" s="149"/>
      <c r="AC1854" s="149"/>
      <c r="AD1854" s="149"/>
      <c r="AE1854" s="149"/>
      <c r="AF1854" s="149"/>
      <c r="AG1854" s="149"/>
      <c r="AH1854" s="149"/>
      <c r="AI1854" s="149"/>
      <c r="AJ1854" s="149"/>
      <c r="AK1854" s="149"/>
      <c r="AL1854" s="149"/>
      <c r="AM1854" s="149"/>
      <c r="AN1854" s="149"/>
      <c r="AO1854" s="149"/>
      <c r="AP1854" s="149"/>
    </row>
    <row r="1855" ht="18.75" customHeight="1">
      <c r="A1855" s="149"/>
      <c r="B1855" s="149"/>
      <c r="C1855" s="304"/>
      <c r="D1855" s="149"/>
      <c r="E1855" s="149"/>
      <c r="F1855" s="149"/>
      <c r="G1855" s="149"/>
      <c r="H1855" s="149"/>
      <c r="I1855" s="149"/>
      <c r="J1855" s="149"/>
      <c r="K1855" s="149"/>
      <c r="L1855" s="149"/>
      <c r="M1855" s="149"/>
      <c r="N1855" s="149"/>
      <c r="O1855" s="149"/>
      <c r="P1855" s="149"/>
      <c r="Q1855" s="149"/>
      <c r="R1855" s="149"/>
      <c r="S1855" s="149"/>
      <c r="T1855" s="149"/>
      <c r="U1855" s="149"/>
      <c r="V1855" s="149"/>
      <c r="W1855" s="149"/>
      <c r="X1855" s="149"/>
      <c r="Y1855" s="149"/>
      <c r="Z1855" s="149"/>
      <c r="AA1855" s="149"/>
      <c r="AB1855" s="149"/>
      <c r="AC1855" s="149"/>
      <c r="AD1855" s="149"/>
      <c r="AE1855" s="149"/>
      <c r="AF1855" s="149"/>
      <c r="AG1855" s="149"/>
      <c r="AH1855" s="149"/>
      <c r="AI1855" s="149"/>
      <c r="AJ1855" s="149"/>
      <c r="AK1855" s="149"/>
      <c r="AL1855" s="149"/>
      <c r="AM1855" s="149"/>
      <c r="AN1855" s="149"/>
      <c r="AO1855" s="149"/>
      <c r="AP1855" s="149"/>
    </row>
    <row r="1856" ht="18.75" customHeight="1">
      <c r="A1856" s="149"/>
      <c r="B1856" s="149"/>
      <c r="C1856" s="304"/>
      <c r="D1856" s="149"/>
      <c r="E1856" s="149"/>
      <c r="F1856" s="149"/>
      <c r="G1856" s="149"/>
      <c r="H1856" s="149"/>
      <c r="I1856" s="149"/>
      <c r="J1856" s="149"/>
      <c r="K1856" s="149"/>
      <c r="L1856" s="149"/>
      <c r="M1856" s="149"/>
      <c r="N1856" s="149"/>
      <c r="O1856" s="149"/>
      <c r="P1856" s="149"/>
      <c r="Q1856" s="149"/>
      <c r="R1856" s="149"/>
      <c r="S1856" s="149"/>
      <c r="T1856" s="149"/>
      <c r="U1856" s="149"/>
      <c r="V1856" s="149"/>
      <c r="W1856" s="149"/>
      <c r="X1856" s="149"/>
      <c r="Y1856" s="149"/>
      <c r="Z1856" s="149"/>
      <c r="AA1856" s="149"/>
      <c r="AB1856" s="149"/>
      <c r="AC1856" s="149"/>
      <c r="AD1856" s="149"/>
      <c r="AE1856" s="149"/>
      <c r="AF1856" s="149"/>
      <c r="AG1856" s="149"/>
      <c r="AH1856" s="149"/>
      <c r="AI1856" s="149"/>
      <c r="AJ1856" s="149"/>
      <c r="AK1856" s="149"/>
      <c r="AL1856" s="149"/>
      <c r="AM1856" s="149"/>
      <c r="AN1856" s="149"/>
      <c r="AO1856" s="149"/>
      <c r="AP1856" s="149"/>
    </row>
    <row r="1857" ht="18.75" customHeight="1">
      <c r="A1857" s="149"/>
      <c r="B1857" s="149"/>
      <c r="C1857" s="304"/>
      <c r="D1857" s="149"/>
      <c r="E1857" s="149"/>
      <c r="F1857" s="149"/>
      <c r="G1857" s="149"/>
      <c r="H1857" s="149"/>
      <c r="I1857" s="149"/>
      <c r="J1857" s="149"/>
      <c r="K1857" s="149"/>
      <c r="L1857" s="149"/>
      <c r="M1857" s="149"/>
      <c r="N1857" s="149"/>
      <c r="O1857" s="149"/>
      <c r="P1857" s="149"/>
      <c r="Q1857" s="149"/>
      <c r="R1857" s="149"/>
      <c r="S1857" s="149"/>
      <c r="T1857" s="149"/>
      <c r="U1857" s="149"/>
      <c r="V1857" s="149"/>
      <c r="W1857" s="149"/>
      <c r="X1857" s="149"/>
      <c r="Y1857" s="149"/>
      <c r="Z1857" s="149"/>
      <c r="AA1857" s="149"/>
      <c r="AB1857" s="149"/>
      <c r="AC1857" s="149"/>
      <c r="AD1857" s="149"/>
      <c r="AE1857" s="149"/>
      <c r="AF1857" s="149"/>
      <c r="AG1857" s="149"/>
      <c r="AH1857" s="149"/>
      <c r="AI1857" s="149"/>
      <c r="AJ1857" s="149"/>
      <c r="AK1857" s="149"/>
      <c r="AL1857" s="149"/>
      <c r="AM1857" s="149"/>
      <c r="AN1857" s="149"/>
      <c r="AO1857" s="149"/>
      <c r="AP1857" s="149"/>
    </row>
    <row r="1858" ht="18.75" customHeight="1">
      <c r="A1858" s="149"/>
      <c r="B1858" s="149"/>
      <c r="C1858" s="304"/>
      <c r="D1858" s="149"/>
      <c r="E1858" s="149"/>
      <c r="F1858" s="149"/>
      <c r="G1858" s="149"/>
      <c r="H1858" s="149"/>
      <c r="I1858" s="149"/>
      <c r="J1858" s="149"/>
      <c r="K1858" s="149"/>
      <c r="L1858" s="149"/>
      <c r="M1858" s="149"/>
      <c r="N1858" s="149"/>
      <c r="O1858" s="149"/>
      <c r="P1858" s="149"/>
      <c r="Q1858" s="149"/>
      <c r="R1858" s="149"/>
      <c r="S1858" s="149"/>
      <c r="T1858" s="149"/>
      <c r="U1858" s="149"/>
      <c r="V1858" s="149"/>
      <c r="W1858" s="149"/>
      <c r="X1858" s="149"/>
      <c r="Y1858" s="149"/>
      <c r="Z1858" s="149"/>
      <c r="AA1858" s="149"/>
      <c r="AB1858" s="149"/>
      <c r="AC1858" s="149"/>
      <c r="AD1858" s="149"/>
      <c r="AE1858" s="149"/>
      <c r="AF1858" s="149"/>
      <c r="AG1858" s="149"/>
      <c r="AH1858" s="149"/>
      <c r="AI1858" s="149"/>
      <c r="AJ1858" s="149"/>
      <c r="AK1858" s="149"/>
      <c r="AL1858" s="149"/>
      <c r="AM1858" s="149"/>
      <c r="AN1858" s="149"/>
      <c r="AO1858" s="149"/>
      <c r="AP1858" s="149"/>
    </row>
    <row r="1859" ht="18.75" customHeight="1">
      <c r="A1859" s="149"/>
      <c r="B1859" s="149"/>
      <c r="C1859" s="304"/>
      <c r="D1859" s="149"/>
      <c r="E1859" s="149"/>
      <c r="F1859" s="149"/>
      <c r="G1859" s="149"/>
      <c r="H1859" s="149"/>
      <c r="I1859" s="149"/>
      <c r="J1859" s="149"/>
      <c r="K1859" s="149"/>
      <c r="L1859" s="149"/>
      <c r="M1859" s="149"/>
      <c r="N1859" s="149"/>
      <c r="O1859" s="149"/>
      <c r="P1859" s="149"/>
      <c r="Q1859" s="149"/>
      <c r="R1859" s="149"/>
      <c r="S1859" s="149"/>
      <c r="T1859" s="149"/>
      <c r="U1859" s="149"/>
      <c r="V1859" s="149"/>
      <c r="W1859" s="149"/>
      <c r="X1859" s="149"/>
      <c r="Y1859" s="149"/>
      <c r="Z1859" s="149"/>
      <c r="AA1859" s="149"/>
      <c r="AB1859" s="149"/>
      <c r="AC1859" s="149"/>
      <c r="AD1859" s="149"/>
      <c r="AE1859" s="149"/>
      <c r="AF1859" s="149"/>
      <c r="AG1859" s="149"/>
      <c r="AH1859" s="149"/>
      <c r="AI1859" s="149"/>
      <c r="AJ1859" s="149"/>
      <c r="AK1859" s="149"/>
      <c r="AL1859" s="149"/>
      <c r="AM1859" s="149"/>
      <c r="AN1859" s="149"/>
      <c r="AO1859" s="149"/>
      <c r="AP1859" s="149"/>
    </row>
    <row r="1860" ht="18.75" customHeight="1">
      <c r="A1860" s="149"/>
      <c r="B1860" s="149"/>
      <c r="C1860" s="304"/>
      <c r="D1860" s="149"/>
      <c r="E1860" s="149"/>
      <c r="F1860" s="149"/>
      <c r="G1860" s="149"/>
      <c r="H1860" s="149"/>
      <c r="I1860" s="149"/>
      <c r="J1860" s="149"/>
      <c r="K1860" s="149"/>
      <c r="L1860" s="149"/>
      <c r="M1860" s="149"/>
      <c r="N1860" s="149"/>
      <c r="O1860" s="149"/>
      <c r="P1860" s="149"/>
      <c r="Q1860" s="149"/>
      <c r="R1860" s="149"/>
      <c r="S1860" s="149"/>
      <c r="T1860" s="149"/>
      <c r="U1860" s="149"/>
      <c r="V1860" s="149"/>
      <c r="W1860" s="149"/>
      <c r="X1860" s="149"/>
      <c r="Y1860" s="149"/>
      <c r="Z1860" s="149"/>
      <c r="AA1860" s="149"/>
      <c r="AB1860" s="149"/>
      <c r="AC1860" s="149"/>
      <c r="AD1860" s="149"/>
      <c r="AE1860" s="149"/>
      <c r="AF1860" s="149"/>
      <c r="AG1860" s="149"/>
      <c r="AH1860" s="149"/>
      <c r="AI1860" s="149"/>
      <c r="AJ1860" s="149"/>
      <c r="AK1860" s="149"/>
      <c r="AL1860" s="149"/>
      <c r="AM1860" s="149"/>
      <c r="AN1860" s="149"/>
      <c r="AO1860" s="149"/>
      <c r="AP1860" s="149"/>
    </row>
    <row r="1861" ht="18.75" customHeight="1">
      <c r="A1861" s="149"/>
      <c r="B1861" s="149"/>
      <c r="C1861" s="304"/>
      <c r="D1861" s="149"/>
      <c r="E1861" s="149"/>
      <c r="F1861" s="149"/>
      <c r="G1861" s="149"/>
      <c r="H1861" s="149"/>
      <c r="I1861" s="149"/>
      <c r="J1861" s="149"/>
      <c r="K1861" s="149"/>
      <c r="L1861" s="149"/>
      <c r="M1861" s="149"/>
      <c r="N1861" s="149"/>
      <c r="O1861" s="149"/>
      <c r="P1861" s="149"/>
      <c r="Q1861" s="149"/>
      <c r="R1861" s="149"/>
      <c r="S1861" s="149"/>
      <c r="T1861" s="149"/>
      <c r="U1861" s="149"/>
      <c r="V1861" s="149"/>
      <c r="W1861" s="149"/>
      <c r="X1861" s="149"/>
      <c r="Y1861" s="149"/>
      <c r="Z1861" s="149"/>
      <c r="AA1861" s="149"/>
      <c r="AB1861" s="149"/>
      <c r="AC1861" s="149"/>
      <c r="AD1861" s="149"/>
      <c r="AE1861" s="149"/>
      <c r="AF1861" s="149"/>
      <c r="AG1861" s="149"/>
      <c r="AH1861" s="149"/>
      <c r="AI1861" s="149"/>
      <c r="AJ1861" s="149"/>
      <c r="AK1861" s="149"/>
      <c r="AL1861" s="149"/>
      <c r="AM1861" s="149"/>
      <c r="AN1861" s="149"/>
      <c r="AO1861" s="149"/>
      <c r="AP1861" s="149"/>
    </row>
    <row r="1862" ht="18.75" customHeight="1">
      <c r="A1862" s="149"/>
      <c r="B1862" s="149"/>
      <c r="C1862" s="304"/>
      <c r="D1862" s="149"/>
      <c r="E1862" s="149"/>
      <c r="F1862" s="149"/>
      <c r="G1862" s="149"/>
      <c r="H1862" s="149"/>
      <c r="I1862" s="149"/>
      <c r="J1862" s="149"/>
      <c r="K1862" s="149"/>
      <c r="L1862" s="149"/>
      <c r="M1862" s="149"/>
      <c r="N1862" s="149"/>
      <c r="O1862" s="149"/>
      <c r="P1862" s="149"/>
      <c r="Q1862" s="149"/>
      <c r="R1862" s="149"/>
      <c r="S1862" s="149"/>
      <c r="T1862" s="149"/>
      <c r="U1862" s="149"/>
      <c r="V1862" s="149"/>
      <c r="W1862" s="149"/>
      <c r="X1862" s="149"/>
      <c r="Y1862" s="149"/>
      <c r="Z1862" s="149"/>
      <c r="AA1862" s="149"/>
      <c r="AB1862" s="149"/>
      <c r="AC1862" s="149"/>
      <c r="AD1862" s="149"/>
      <c r="AE1862" s="149"/>
      <c r="AF1862" s="149"/>
      <c r="AG1862" s="149"/>
      <c r="AH1862" s="149"/>
      <c r="AI1862" s="149"/>
      <c r="AJ1862" s="149"/>
      <c r="AK1862" s="149"/>
      <c r="AL1862" s="149"/>
      <c r="AM1862" s="149"/>
      <c r="AN1862" s="149"/>
      <c r="AO1862" s="149"/>
      <c r="AP1862" s="149"/>
    </row>
    <row r="1863" ht="18.75" customHeight="1">
      <c r="A1863" s="149"/>
      <c r="B1863" s="149"/>
      <c r="C1863" s="304"/>
      <c r="D1863" s="149"/>
      <c r="E1863" s="149"/>
      <c r="F1863" s="149"/>
      <c r="G1863" s="149"/>
      <c r="H1863" s="149"/>
      <c r="I1863" s="149"/>
      <c r="J1863" s="149"/>
      <c r="K1863" s="149"/>
      <c r="L1863" s="149"/>
      <c r="M1863" s="149"/>
      <c r="N1863" s="149"/>
      <c r="O1863" s="149"/>
      <c r="P1863" s="149"/>
      <c r="Q1863" s="149"/>
      <c r="R1863" s="149"/>
      <c r="S1863" s="149"/>
      <c r="T1863" s="149"/>
      <c r="U1863" s="149"/>
      <c r="V1863" s="149"/>
      <c r="W1863" s="149"/>
      <c r="X1863" s="149"/>
      <c r="Y1863" s="149"/>
      <c r="Z1863" s="149"/>
      <c r="AA1863" s="149"/>
      <c r="AB1863" s="149"/>
      <c r="AC1863" s="149"/>
      <c r="AD1863" s="149"/>
      <c r="AE1863" s="149"/>
      <c r="AF1863" s="149"/>
      <c r="AG1863" s="149"/>
      <c r="AH1863" s="149"/>
      <c r="AI1863" s="149"/>
      <c r="AJ1863" s="149"/>
      <c r="AK1863" s="149"/>
      <c r="AL1863" s="149"/>
      <c r="AM1863" s="149"/>
      <c r="AN1863" s="149"/>
      <c r="AO1863" s="149"/>
      <c r="AP1863" s="149"/>
    </row>
    <row r="1864" ht="18.75" customHeight="1">
      <c r="A1864" s="149"/>
      <c r="B1864" s="149"/>
      <c r="C1864" s="304"/>
      <c r="D1864" s="149"/>
      <c r="E1864" s="149"/>
      <c r="F1864" s="149"/>
      <c r="G1864" s="149"/>
      <c r="H1864" s="149"/>
      <c r="I1864" s="149"/>
      <c r="J1864" s="149"/>
      <c r="K1864" s="149"/>
      <c r="L1864" s="149"/>
      <c r="M1864" s="149"/>
      <c r="N1864" s="149"/>
      <c r="O1864" s="149"/>
      <c r="P1864" s="149"/>
      <c r="Q1864" s="149"/>
      <c r="R1864" s="149"/>
      <c r="S1864" s="149"/>
      <c r="T1864" s="149"/>
      <c r="U1864" s="149"/>
      <c r="V1864" s="149"/>
      <c r="W1864" s="149"/>
      <c r="X1864" s="149"/>
      <c r="Y1864" s="149"/>
      <c r="Z1864" s="149"/>
      <c r="AA1864" s="149"/>
      <c r="AB1864" s="149"/>
      <c r="AC1864" s="149"/>
      <c r="AD1864" s="149"/>
      <c r="AE1864" s="149"/>
      <c r="AF1864" s="149"/>
      <c r="AG1864" s="149"/>
      <c r="AH1864" s="149"/>
      <c r="AI1864" s="149"/>
      <c r="AJ1864" s="149"/>
      <c r="AK1864" s="149"/>
      <c r="AL1864" s="149"/>
      <c r="AM1864" s="149"/>
      <c r="AN1864" s="149"/>
      <c r="AO1864" s="149"/>
      <c r="AP1864" s="149"/>
    </row>
    <row r="1865" ht="18.75" customHeight="1">
      <c r="A1865" s="149"/>
      <c r="B1865" s="149"/>
      <c r="C1865" s="304"/>
      <c r="D1865" s="149"/>
      <c r="E1865" s="149"/>
      <c r="F1865" s="149"/>
      <c r="G1865" s="149"/>
      <c r="H1865" s="149"/>
      <c r="I1865" s="149"/>
      <c r="J1865" s="149"/>
      <c r="K1865" s="149"/>
      <c r="L1865" s="149"/>
      <c r="M1865" s="149"/>
      <c r="N1865" s="149"/>
      <c r="O1865" s="149"/>
      <c r="P1865" s="149"/>
      <c r="Q1865" s="149"/>
      <c r="R1865" s="149"/>
      <c r="S1865" s="149"/>
      <c r="T1865" s="149"/>
      <c r="U1865" s="149"/>
      <c r="V1865" s="149"/>
      <c r="W1865" s="149"/>
      <c r="X1865" s="149"/>
      <c r="Y1865" s="149"/>
      <c r="Z1865" s="149"/>
      <c r="AA1865" s="149"/>
      <c r="AB1865" s="149"/>
      <c r="AC1865" s="149"/>
      <c r="AD1865" s="149"/>
      <c r="AE1865" s="149"/>
      <c r="AF1865" s="149"/>
      <c r="AG1865" s="149"/>
      <c r="AH1865" s="149"/>
      <c r="AI1865" s="149"/>
      <c r="AJ1865" s="149"/>
      <c r="AK1865" s="149"/>
      <c r="AL1865" s="149"/>
      <c r="AM1865" s="149"/>
      <c r="AN1865" s="149"/>
      <c r="AO1865" s="149"/>
      <c r="AP1865" s="149"/>
    </row>
    <row r="1866" ht="18.75" customHeight="1">
      <c r="A1866" s="149"/>
      <c r="B1866" s="149"/>
      <c r="C1866" s="304"/>
      <c r="D1866" s="149"/>
      <c r="E1866" s="149"/>
      <c r="F1866" s="149"/>
      <c r="G1866" s="149"/>
      <c r="H1866" s="149"/>
      <c r="I1866" s="149"/>
      <c r="J1866" s="149"/>
      <c r="K1866" s="149"/>
      <c r="L1866" s="149"/>
      <c r="M1866" s="149"/>
      <c r="N1866" s="149"/>
      <c r="O1866" s="149"/>
      <c r="P1866" s="149"/>
      <c r="Q1866" s="149"/>
      <c r="R1866" s="149"/>
      <c r="S1866" s="149"/>
      <c r="T1866" s="149"/>
      <c r="U1866" s="149"/>
      <c r="V1866" s="149"/>
      <c r="W1866" s="149"/>
      <c r="X1866" s="149"/>
      <c r="Y1866" s="149"/>
      <c r="Z1866" s="149"/>
      <c r="AA1866" s="149"/>
      <c r="AB1866" s="149"/>
      <c r="AC1866" s="149"/>
      <c r="AD1866" s="149"/>
      <c r="AE1866" s="149"/>
      <c r="AF1866" s="149"/>
      <c r="AG1866" s="149"/>
      <c r="AH1866" s="149"/>
      <c r="AI1866" s="149"/>
      <c r="AJ1866" s="149"/>
      <c r="AK1866" s="149"/>
      <c r="AL1866" s="149"/>
      <c r="AM1866" s="149"/>
      <c r="AN1866" s="149"/>
      <c r="AO1866" s="149"/>
      <c r="AP1866" s="149"/>
    </row>
    <row r="1867" ht="18.75" customHeight="1">
      <c r="A1867" s="149"/>
      <c r="B1867" s="149"/>
      <c r="C1867" s="304"/>
      <c r="D1867" s="149"/>
      <c r="E1867" s="149"/>
      <c r="F1867" s="149"/>
      <c r="G1867" s="149"/>
      <c r="H1867" s="149"/>
      <c r="I1867" s="149"/>
      <c r="J1867" s="149"/>
      <c r="K1867" s="149"/>
      <c r="L1867" s="149"/>
      <c r="M1867" s="149"/>
      <c r="N1867" s="149"/>
      <c r="O1867" s="149"/>
      <c r="P1867" s="149"/>
      <c r="Q1867" s="149"/>
      <c r="R1867" s="149"/>
      <c r="S1867" s="149"/>
      <c r="T1867" s="149"/>
      <c r="U1867" s="149"/>
      <c r="V1867" s="149"/>
      <c r="W1867" s="149"/>
      <c r="X1867" s="149"/>
      <c r="Y1867" s="149"/>
      <c r="Z1867" s="149"/>
      <c r="AA1867" s="149"/>
      <c r="AB1867" s="149"/>
      <c r="AC1867" s="149"/>
      <c r="AD1867" s="149"/>
      <c r="AE1867" s="149"/>
      <c r="AF1867" s="149"/>
      <c r="AG1867" s="149"/>
      <c r="AH1867" s="149"/>
      <c r="AI1867" s="149"/>
      <c r="AJ1867" s="149"/>
      <c r="AK1867" s="149"/>
      <c r="AL1867" s="149"/>
      <c r="AM1867" s="149"/>
      <c r="AN1867" s="149"/>
      <c r="AO1867" s="149"/>
      <c r="AP1867" s="149"/>
    </row>
    <row r="1868" ht="18.75" customHeight="1">
      <c r="A1868" s="149"/>
      <c r="B1868" s="149"/>
      <c r="C1868" s="304"/>
      <c r="D1868" s="149"/>
      <c r="E1868" s="149"/>
      <c r="F1868" s="149"/>
      <c r="G1868" s="149"/>
      <c r="H1868" s="149"/>
      <c r="I1868" s="149"/>
      <c r="J1868" s="149"/>
      <c r="K1868" s="149"/>
      <c r="L1868" s="149"/>
      <c r="M1868" s="149"/>
      <c r="N1868" s="149"/>
      <c r="O1868" s="149"/>
      <c r="P1868" s="149"/>
      <c r="Q1868" s="149"/>
      <c r="R1868" s="149"/>
      <c r="S1868" s="149"/>
      <c r="T1868" s="149"/>
      <c r="U1868" s="149"/>
      <c r="V1868" s="149"/>
      <c r="W1868" s="149"/>
      <c r="X1868" s="149"/>
      <c r="Y1868" s="149"/>
      <c r="Z1868" s="149"/>
      <c r="AA1868" s="149"/>
      <c r="AB1868" s="149"/>
      <c r="AC1868" s="149"/>
      <c r="AD1868" s="149"/>
      <c r="AE1868" s="149"/>
      <c r="AF1868" s="149"/>
      <c r="AG1868" s="149"/>
      <c r="AH1868" s="149"/>
      <c r="AI1868" s="149"/>
      <c r="AJ1868" s="149"/>
      <c r="AK1868" s="149"/>
      <c r="AL1868" s="149"/>
      <c r="AM1868" s="149"/>
      <c r="AN1868" s="149"/>
      <c r="AO1868" s="149"/>
      <c r="AP1868" s="149"/>
    </row>
    <row r="1869" ht="18.75" customHeight="1">
      <c r="A1869" s="149"/>
      <c r="B1869" s="149"/>
      <c r="C1869" s="304"/>
      <c r="D1869" s="149"/>
      <c r="E1869" s="149"/>
      <c r="F1869" s="149"/>
      <c r="G1869" s="149"/>
      <c r="H1869" s="149"/>
      <c r="I1869" s="149"/>
      <c r="J1869" s="149"/>
      <c r="K1869" s="149"/>
      <c r="L1869" s="149"/>
      <c r="M1869" s="149"/>
      <c r="N1869" s="149"/>
      <c r="O1869" s="149"/>
      <c r="P1869" s="149"/>
      <c r="Q1869" s="149"/>
      <c r="R1869" s="149"/>
      <c r="S1869" s="149"/>
      <c r="T1869" s="149"/>
      <c r="U1869" s="149"/>
      <c r="V1869" s="149"/>
      <c r="W1869" s="149"/>
      <c r="X1869" s="149"/>
      <c r="Y1869" s="149"/>
      <c r="Z1869" s="149"/>
      <c r="AA1869" s="149"/>
      <c r="AB1869" s="149"/>
      <c r="AC1869" s="149"/>
      <c r="AD1869" s="149"/>
      <c r="AE1869" s="149"/>
      <c r="AF1869" s="149"/>
      <c r="AG1869" s="149"/>
      <c r="AH1869" s="149"/>
      <c r="AI1869" s="149"/>
      <c r="AJ1869" s="149"/>
      <c r="AK1869" s="149"/>
      <c r="AL1869" s="149"/>
      <c r="AM1869" s="149"/>
      <c r="AN1869" s="149"/>
      <c r="AO1869" s="149"/>
      <c r="AP1869" s="149"/>
    </row>
    <row r="1870" ht="18.75" customHeight="1">
      <c r="A1870" s="149"/>
      <c r="B1870" s="149"/>
      <c r="C1870" s="304"/>
      <c r="D1870" s="149"/>
      <c r="E1870" s="149"/>
      <c r="F1870" s="149"/>
      <c r="G1870" s="149"/>
      <c r="H1870" s="149"/>
      <c r="I1870" s="149"/>
      <c r="J1870" s="149"/>
      <c r="K1870" s="149"/>
      <c r="L1870" s="149"/>
      <c r="M1870" s="149"/>
      <c r="N1870" s="149"/>
      <c r="O1870" s="149"/>
      <c r="P1870" s="149"/>
      <c r="Q1870" s="149"/>
      <c r="R1870" s="149"/>
      <c r="S1870" s="149"/>
      <c r="T1870" s="149"/>
      <c r="U1870" s="149"/>
      <c r="V1870" s="149"/>
      <c r="W1870" s="149"/>
      <c r="X1870" s="149"/>
      <c r="Y1870" s="149"/>
      <c r="Z1870" s="149"/>
      <c r="AA1870" s="149"/>
      <c r="AB1870" s="149"/>
      <c r="AC1870" s="149"/>
      <c r="AD1870" s="149"/>
      <c r="AE1870" s="149"/>
      <c r="AF1870" s="149"/>
      <c r="AG1870" s="149"/>
      <c r="AH1870" s="149"/>
      <c r="AI1870" s="149"/>
      <c r="AJ1870" s="149"/>
      <c r="AK1870" s="149"/>
      <c r="AL1870" s="149"/>
      <c r="AM1870" s="149"/>
      <c r="AN1870" s="149"/>
      <c r="AO1870" s="149"/>
      <c r="AP1870" s="149"/>
    </row>
    <row r="1871" ht="18.75" customHeight="1">
      <c r="A1871" s="149"/>
      <c r="B1871" s="149"/>
      <c r="C1871" s="304"/>
      <c r="D1871" s="149"/>
      <c r="E1871" s="149"/>
      <c r="F1871" s="149"/>
      <c r="G1871" s="149"/>
      <c r="H1871" s="149"/>
      <c r="I1871" s="149"/>
      <c r="J1871" s="149"/>
      <c r="K1871" s="149"/>
      <c r="L1871" s="149"/>
      <c r="M1871" s="149"/>
      <c r="N1871" s="149"/>
      <c r="O1871" s="149"/>
      <c r="P1871" s="149"/>
      <c r="Q1871" s="149"/>
      <c r="R1871" s="149"/>
      <c r="S1871" s="149"/>
      <c r="T1871" s="149"/>
      <c r="U1871" s="149"/>
      <c r="V1871" s="149"/>
      <c r="W1871" s="149"/>
      <c r="X1871" s="149"/>
      <c r="Y1871" s="149"/>
      <c r="Z1871" s="149"/>
      <c r="AA1871" s="149"/>
      <c r="AB1871" s="149"/>
      <c r="AC1871" s="149"/>
      <c r="AD1871" s="149"/>
      <c r="AE1871" s="149"/>
      <c r="AF1871" s="149"/>
      <c r="AG1871" s="149"/>
      <c r="AH1871" s="149"/>
      <c r="AI1871" s="149"/>
      <c r="AJ1871" s="149"/>
      <c r="AK1871" s="149"/>
      <c r="AL1871" s="149"/>
      <c r="AM1871" s="149"/>
      <c r="AN1871" s="149"/>
      <c r="AO1871" s="149"/>
      <c r="AP1871" s="149"/>
    </row>
    <row r="1872" ht="18.75" customHeight="1">
      <c r="A1872" s="149"/>
      <c r="B1872" s="149"/>
      <c r="C1872" s="304"/>
      <c r="D1872" s="149"/>
      <c r="E1872" s="149"/>
      <c r="F1872" s="149"/>
      <c r="G1872" s="149"/>
      <c r="H1872" s="149"/>
      <c r="I1872" s="149"/>
      <c r="J1872" s="149"/>
      <c r="K1872" s="149"/>
      <c r="L1872" s="149"/>
      <c r="M1872" s="149"/>
      <c r="N1872" s="149"/>
      <c r="O1872" s="149"/>
      <c r="P1872" s="149"/>
      <c r="Q1872" s="149"/>
      <c r="R1872" s="149"/>
      <c r="S1872" s="149"/>
      <c r="T1872" s="149"/>
      <c r="U1872" s="149"/>
      <c r="V1872" s="149"/>
      <c r="W1872" s="149"/>
      <c r="X1872" s="149"/>
      <c r="Y1872" s="149"/>
      <c r="Z1872" s="149"/>
      <c r="AA1872" s="149"/>
      <c r="AB1872" s="149"/>
      <c r="AC1872" s="149"/>
      <c r="AD1872" s="149"/>
      <c r="AE1872" s="149"/>
      <c r="AF1872" s="149"/>
      <c r="AG1872" s="149"/>
      <c r="AH1872" s="149"/>
      <c r="AI1872" s="149"/>
      <c r="AJ1872" s="149"/>
      <c r="AK1872" s="149"/>
      <c r="AL1872" s="149"/>
      <c r="AM1872" s="149"/>
      <c r="AN1872" s="149"/>
      <c r="AO1872" s="149"/>
      <c r="AP1872" s="149"/>
    </row>
    <row r="1873" ht="18.75" customHeight="1">
      <c r="A1873" s="149"/>
      <c r="B1873" s="149"/>
      <c r="C1873" s="304"/>
      <c r="D1873" s="149"/>
      <c r="E1873" s="149"/>
      <c r="F1873" s="149"/>
      <c r="G1873" s="149"/>
      <c r="H1873" s="149"/>
      <c r="I1873" s="149"/>
      <c r="J1873" s="149"/>
      <c r="K1873" s="149"/>
      <c r="L1873" s="149"/>
      <c r="M1873" s="149"/>
      <c r="N1873" s="149"/>
      <c r="O1873" s="149"/>
      <c r="P1873" s="149"/>
      <c r="Q1873" s="149"/>
      <c r="R1873" s="149"/>
      <c r="S1873" s="149"/>
      <c r="T1873" s="149"/>
      <c r="U1873" s="149"/>
      <c r="V1873" s="149"/>
      <c r="W1873" s="149"/>
      <c r="X1873" s="149"/>
      <c r="Y1873" s="149"/>
      <c r="Z1873" s="149"/>
      <c r="AA1873" s="149"/>
      <c r="AB1873" s="149"/>
      <c r="AC1873" s="149"/>
      <c r="AD1873" s="149"/>
      <c r="AE1873" s="149"/>
      <c r="AF1873" s="149"/>
      <c r="AG1873" s="149"/>
      <c r="AH1873" s="149"/>
      <c r="AI1873" s="149"/>
      <c r="AJ1873" s="149"/>
      <c r="AK1873" s="149"/>
      <c r="AL1873" s="149"/>
      <c r="AM1873" s="149"/>
      <c r="AN1873" s="149"/>
      <c r="AO1873" s="149"/>
      <c r="AP1873" s="149"/>
    </row>
    <row r="1874" ht="18.75" customHeight="1">
      <c r="A1874" s="149"/>
      <c r="B1874" s="149"/>
      <c r="C1874" s="304"/>
      <c r="D1874" s="149"/>
      <c r="E1874" s="149"/>
      <c r="F1874" s="149"/>
      <c r="G1874" s="149"/>
      <c r="H1874" s="149"/>
      <c r="I1874" s="149"/>
      <c r="J1874" s="149"/>
      <c r="K1874" s="149"/>
      <c r="L1874" s="149"/>
      <c r="M1874" s="149"/>
      <c r="N1874" s="149"/>
      <c r="O1874" s="149"/>
      <c r="P1874" s="149"/>
      <c r="Q1874" s="149"/>
      <c r="R1874" s="149"/>
      <c r="S1874" s="149"/>
      <c r="T1874" s="149"/>
      <c r="U1874" s="149"/>
      <c r="V1874" s="149"/>
      <c r="W1874" s="149"/>
      <c r="X1874" s="149"/>
      <c r="Y1874" s="149"/>
      <c r="Z1874" s="149"/>
      <c r="AA1874" s="149"/>
      <c r="AB1874" s="149"/>
      <c r="AC1874" s="149"/>
      <c r="AD1874" s="149"/>
      <c r="AE1874" s="149"/>
      <c r="AF1874" s="149"/>
      <c r="AG1874" s="149"/>
      <c r="AH1874" s="149"/>
      <c r="AI1874" s="149"/>
      <c r="AJ1874" s="149"/>
      <c r="AK1874" s="149"/>
      <c r="AL1874" s="149"/>
      <c r="AM1874" s="149"/>
      <c r="AN1874" s="149"/>
      <c r="AO1874" s="149"/>
      <c r="AP1874" s="149"/>
    </row>
    <row r="1875" ht="18.75" customHeight="1">
      <c r="A1875" s="149"/>
      <c r="B1875" s="149"/>
      <c r="C1875" s="304"/>
      <c r="D1875" s="149"/>
      <c r="E1875" s="149"/>
      <c r="F1875" s="149"/>
      <c r="G1875" s="149"/>
      <c r="H1875" s="149"/>
      <c r="I1875" s="149"/>
      <c r="J1875" s="149"/>
      <c r="K1875" s="149"/>
      <c r="L1875" s="149"/>
      <c r="M1875" s="149"/>
      <c r="N1875" s="149"/>
      <c r="O1875" s="149"/>
      <c r="P1875" s="149"/>
      <c r="Q1875" s="149"/>
      <c r="R1875" s="149"/>
      <c r="S1875" s="149"/>
      <c r="T1875" s="149"/>
      <c r="U1875" s="149"/>
      <c r="V1875" s="149"/>
      <c r="W1875" s="149"/>
      <c r="X1875" s="149"/>
      <c r="Y1875" s="149"/>
      <c r="Z1875" s="149"/>
      <c r="AA1875" s="149"/>
      <c r="AB1875" s="149"/>
      <c r="AC1875" s="149"/>
      <c r="AD1875" s="149"/>
      <c r="AE1875" s="149"/>
      <c r="AF1875" s="149"/>
      <c r="AG1875" s="149"/>
      <c r="AH1875" s="149"/>
      <c r="AI1875" s="149"/>
      <c r="AJ1875" s="149"/>
      <c r="AK1875" s="149"/>
      <c r="AL1875" s="149"/>
      <c r="AM1875" s="149"/>
      <c r="AN1875" s="149"/>
      <c r="AO1875" s="149"/>
      <c r="AP1875" s="149"/>
    </row>
    <row r="1876" ht="18.75" customHeight="1">
      <c r="A1876" s="149"/>
      <c r="B1876" s="149"/>
      <c r="C1876" s="304"/>
      <c r="D1876" s="149"/>
      <c r="E1876" s="149"/>
      <c r="F1876" s="149"/>
      <c r="G1876" s="149"/>
      <c r="H1876" s="149"/>
      <c r="I1876" s="149"/>
      <c r="J1876" s="149"/>
      <c r="K1876" s="149"/>
      <c r="L1876" s="149"/>
      <c r="M1876" s="149"/>
      <c r="N1876" s="149"/>
      <c r="O1876" s="149"/>
      <c r="P1876" s="149"/>
      <c r="Q1876" s="149"/>
      <c r="R1876" s="149"/>
      <c r="S1876" s="149"/>
      <c r="T1876" s="149"/>
      <c r="U1876" s="149"/>
      <c r="V1876" s="149"/>
      <c r="W1876" s="149"/>
      <c r="X1876" s="149"/>
      <c r="Y1876" s="149"/>
      <c r="Z1876" s="149"/>
      <c r="AA1876" s="149"/>
      <c r="AB1876" s="149"/>
      <c r="AC1876" s="149"/>
      <c r="AD1876" s="149"/>
      <c r="AE1876" s="149"/>
      <c r="AF1876" s="149"/>
      <c r="AG1876" s="149"/>
      <c r="AH1876" s="149"/>
      <c r="AI1876" s="149"/>
      <c r="AJ1876" s="149"/>
      <c r="AK1876" s="149"/>
      <c r="AL1876" s="149"/>
      <c r="AM1876" s="149"/>
      <c r="AN1876" s="149"/>
      <c r="AO1876" s="149"/>
      <c r="AP1876" s="149"/>
    </row>
    <row r="1877" ht="18.75" customHeight="1">
      <c r="A1877" s="149"/>
      <c r="B1877" s="149"/>
      <c r="C1877" s="304"/>
      <c r="D1877" s="149"/>
      <c r="E1877" s="149"/>
      <c r="F1877" s="149"/>
      <c r="G1877" s="149"/>
      <c r="H1877" s="149"/>
      <c r="I1877" s="149"/>
      <c r="J1877" s="149"/>
      <c r="K1877" s="149"/>
      <c r="L1877" s="149"/>
      <c r="M1877" s="149"/>
      <c r="N1877" s="149"/>
      <c r="O1877" s="149"/>
      <c r="P1877" s="149"/>
      <c r="Q1877" s="149"/>
      <c r="R1877" s="149"/>
      <c r="S1877" s="149"/>
      <c r="T1877" s="149"/>
      <c r="U1877" s="149"/>
      <c r="V1877" s="149"/>
      <c r="W1877" s="149"/>
      <c r="X1877" s="149"/>
      <c r="Y1877" s="149"/>
      <c r="Z1877" s="149"/>
      <c r="AA1877" s="149"/>
      <c r="AB1877" s="149"/>
      <c r="AC1877" s="149"/>
      <c r="AD1877" s="149"/>
      <c r="AE1877" s="149"/>
      <c r="AF1877" s="149"/>
      <c r="AG1877" s="149"/>
      <c r="AH1877" s="149"/>
      <c r="AI1877" s="149"/>
      <c r="AJ1877" s="149"/>
      <c r="AK1877" s="149"/>
      <c r="AL1877" s="149"/>
      <c r="AM1877" s="149"/>
      <c r="AN1877" s="149"/>
      <c r="AO1877" s="149"/>
      <c r="AP1877" s="149"/>
    </row>
    <row r="1878" ht="18.75" customHeight="1">
      <c r="A1878" s="149"/>
      <c r="B1878" s="149"/>
      <c r="C1878" s="304"/>
      <c r="D1878" s="149"/>
      <c r="E1878" s="149"/>
      <c r="F1878" s="149"/>
      <c r="G1878" s="149"/>
      <c r="H1878" s="149"/>
      <c r="I1878" s="149"/>
      <c r="J1878" s="149"/>
      <c r="K1878" s="149"/>
      <c r="L1878" s="149"/>
      <c r="M1878" s="149"/>
      <c r="N1878" s="149"/>
      <c r="O1878" s="149"/>
      <c r="P1878" s="149"/>
      <c r="Q1878" s="149"/>
      <c r="R1878" s="149"/>
      <c r="S1878" s="149"/>
      <c r="T1878" s="149"/>
      <c r="U1878" s="149"/>
      <c r="V1878" s="149"/>
      <c r="W1878" s="149"/>
      <c r="X1878" s="149"/>
      <c r="Y1878" s="149"/>
      <c r="Z1878" s="149"/>
      <c r="AA1878" s="149"/>
      <c r="AB1878" s="149"/>
      <c r="AC1878" s="149"/>
      <c r="AD1878" s="149"/>
      <c r="AE1878" s="149"/>
      <c r="AF1878" s="149"/>
      <c r="AG1878" s="149"/>
      <c r="AH1878" s="149"/>
      <c r="AI1878" s="149"/>
      <c r="AJ1878" s="149"/>
      <c r="AK1878" s="149"/>
      <c r="AL1878" s="149"/>
      <c r="AM1878" s="149"/>
      <c r="AN1878" s="149"/>
      <c r="AO1878" s="149"/>
      <c r="AP1878" s="149"/>
    </row>
    <row r="1879" ht="18.75" customHeight="1">
      <c r="A1879" s="149"/>
      <c r="B1879" s="149"/>
      <c r="C1879" s="304"/>
      <c r="D1879" s="149"/>
      <c r="E1879" s="149"/>
      <c r="F1879" s="149"/>
      <c r="G1879" s="149"/>
      <c r="H1879" s="149"/>
      <c r="I1879" s="149"/>
      <c r="J1879" s="149"/>
      <c r="K1879" s="149"/>
      <c r="L1879" s="149"/>
      <c r="M1879" s="149"/>
      <c r="N1879" s="149"/>
      <c r="O1879" s="149"/>
      <c r="P1879" s="149"/>
      <c r="Q1879" s="149"/>
      <c r="R1879" s="149"/>
      <c r="S1879" s="149"/>
      <c r="T1879" s="149"/>
      <c r="U1879" s="149"/>
      <c r="V1879" s="149"/>
      <c r="W1879" s="149"/>
      <c r="X1879" s="149"/>
      <c r="Y1879" s="149"/>
      <c r="Z1879" s="149"/>
      <c r="AA1879" s="149"/>
      <c r="AB1879" s="149"/>
      <c r="AC1879" s="149"/>
      <c r="AD1879" s="149"/>
      <c r="AE1879" s="149"/>
      <c r="AF1879" s="149"/>
      <c r="AG1879" s="149"/>
      <c r="AH1879" s="149"/>
      <c r="AI1879" s="149"/>
      <c r="AJ1879" s="149"/>
      <c r="AK1879" s="149"/>
      <c r="AL1879" s="149"/>
      <c r="AM1879" s="149"/>
      <c r="AN1879" s="149"/>
      <c r="AO1879" s="149"/>
      <c r="AP1879" s="149"/>
    </row>
    <row r="1880" ht="18.75" customHeight="1">
      <c r="A1880" s="149"/>
      <c r="B1880" s="149"/>
      <c r="C1880" s="304"/>
      <c r="D1880" s="149"/>
      <c r="E1880" s="149"/>
      <c r="F1880" s="149"/>
      <c r="G1880" s="149"/>
      <c r="H1880" s="149"/>
      <c r="I1880" s="149"/>
      <c r="J1880" s="149"/>
      <c r="K1880" s="149"/>
      <c r="L1880" s="149"/>
      <c r="M1880" s="149"/>
      <c r="N1880" s="149"/>
      <c r="O1880" s="149"/>
      <c r="P1880" s="149"/>
      <c r="Q1880" s="149"/>
      <c r="R1880" s="149"/>
      <c r="S1880" s="149"/>
      <c r="T1880" s="149"/>
      <c r="U1880" s="149"/>
      <c r="V1880" s="149"/>
      <c r="W1880" s="149"/>
      <c r="X1880" s="149"/>
      <c r="Y1880" s="149"/>
      <c r="Z1880" s="149"/>
      <c r="AA1880" s="149"/>
      <c r="AB1880" s="149"/>
      <c r="AC1880" s="149"/>
      <c r="AD1880" s="149"/>
      <c r="AE1880" s="149"/>
      <c r="AF1880" s="149"/>
      <c r="AG1880" s="149"/>
      <c r="AH1880" s="149"/>
      <c r="AI1880" s="149"/>
      <c r="AJ1880" s="149"/>
      <c r="AK1880" s="149"/>
      <c r="AL1880" s="149"/>
      <c r="AM1880" s="149"/>
      <c r="AN1880" s="149"/>
      <c r="AO1880" s="149"/>
      <c r="AP1880" s="149"/>
    </row>
    <row r="1881" ht="18.75" customHeight="1">
      <c r="A1881" s="149"/>
      <c r="B1881" s="149"/>
      <c r="C1881" s="304"/>
      <c r="D1881" s="149"/>
      <c r="E1881" s="149"/>
      <c r="F1881" s="149"/>
      <c r="G1881" s="149"/>
      <c r="H1881" s="149"/>
      <c r="I1881" s="149"/>
      <c r="J1881" s="149"/>
      <c r="K1881" s="149"/>
      <c r="L1881" s="149"/>
      <c r="M1881" s="149"/>
      <c r="N1881" s="149"/>
      <c r="O1881" s="149"/>
      <c r="P1881" s="149"/>
      <c r="Q1881" s="149"/>
      <c r="R1881" s="149"/>
      <c r="S1881" s="149"/>
      <c r="T1881" s="149"/>
      <c r="U1881" s="149"/>
      <c r="V1881" s="149"/>
      <c r="W1881" s="149"/>
      <c r="X1881" s="149"/>
      <c r="Y1881" s="149"/>
      <c r="Z1881" s="149"/>
      <c r="AA1881" s="149"/>
      <c r="AB1881" s="149"/>
      <c r="AC1881" s="149"/>
      <c r="AD1881" s="149"/>
      <c r="AE1881" s="149"/>
      <c r="AF1881" s="149"/>
      <c r="AG1881" s="149"/>
      <c r="AH1881" s="149"/>
      <c r="AI1881" s="149"/>
      <c r="AJ1881" s="149"/>
      <c r="AK1881" s="149"/>
      <c r="AL1881" s="149"/>
      <c r="AM1881" s="149"/>
      <c r="AN1881" s="149"/>
      <c r="AO1881" s="149"/>
      <c r="AP1881" s="149"/>
    </row>
    <row r="1882" ht="18.75" customHeight="1">
      <c r="A1882" s="149"/>
      <c r="B1882" s="149"/>
      <c r="C1882" s="304"/>
      <c r="D1882" s="149"/>
      <c r="E1882" s="149"/>
      <c r="F1882" s="149"/>
      <c r="G1882" s="149"/>
      <c r="H1882" s="149"/>
      <c r="I1882" s="149"/>
      <c r="J1882" s="149"/>
      <c r="K1882" s="149"/>
      <c r="L1882" s="149"/>
      <c r="M1882" s="149"/>
      <c r="N1882" s="149"/>
      <c r="O1882" s="149"/>
      <c r="P1882" s="149"/>
      <c r="Q1882" s="149"/>
      <c r="R1882" s="149"/>
      <c r="S1882" s="149"/>
      <c r="T1882" s="149"/>
      <c r="U1882" s="149"/>
      <c r="V1882" s="149"/>
      <c r="W1882" s="149"/>
      <c r="X1882" s="149"/>
      <c r="Y1882" s="149"/>
      <c r="Z1882" s="149"/>
      <c r="AA1882" s="149"/>
      <c r="AB1882" s="149"/>
      <c r="AC1882" s="149"/>
      <c r="AD1882" s="149"/>
      <c r="AE1882" s="149"/>
      <c r="AF1882" s="149"/>
      <c r="AG1882" s="149"/>
      <c r="AH1882" s="149"/>
      <c r="AI1882" s="149"/>
      <c r="AJ1882" s="149"/>
      <c r="AK1882" s="149"/>
      <c r="AL1882" s="149"/>
      <c r="AM1882" s="149"/>
      <c r="AN1882" s="149"/>
      <c r="AO1882" s="149"/>
      <c r="AP1882" s="149"/>
    </row>
    <row r="1883" ht="18.75" customHeight="1">
      <c r="A1883" s="149"/>
      <c r="B1883" s="149"/>
      <c r="C1883" s="304"/>
      <c r="D1883" s="149"/>
      <c r="E1883" s="149"/>
      <c r="F1883" s="149"/>
      <c r="G1883" s="149"/>
      <c r="H1883" s="149"/>
      <c r="I1883" s="149"/>
      <c r="J1883" s="149"/>
      <c r="K1883" s="149"/>
      <c r="L1883" s="149"/>
      <c r="M1883" s="149"/>
      <c r="N1883" s="149"/>
      <c r="O1883" s="149"/>
      <c r="P1883" s="149"/>
      <c r="Q1883" s="149"/>
      <c r="R1883" s="149"/>
      <c r="S1883" s="149"/>
      <c r="T1883" s="149"/>
      <c r="U1883" s="149"/>
      <c r="V1883" s="149"/>
      <c r="W1883" s="149"/>
      <c r="X1883" s="149"/>
      <c r="Y1883" s="149"/>
      <c r="Z1883" s="149"/>
      <c r="AA1883" s="149"/>
      <c r="AB1883" s="149"/>
      <c r="AC1883" s="149"/>
      <c r="AD1883" s="149"/>
      <c r="AE1883" s="149"/>
      <c r="AF1883" s="149"/>
      <c r="AG1883" s="149"/>
      <c r="AH1883" s="149"/>
      <c r="AI1883" s="149"/>
      <c r="AJ1883" s="149"/>
      <c r="AK1883" s="149"/>
      <c r="AL1883" s="149"/>
      <c r="AM1883" s="149"/>
      <c r="AN1883" s="149"/>
      <c r="AO1883" s="149"/>
      <c r="AP1883" s="149"/>
    </row>
    <row r="1884" ht="18.75" customHeight="1">
      <c r="A1884" s="149"/>
      <c r="B1884" s="149"/>
      <c r="C1884" s="304"/>
      <c r="D1884" s="149"/>
      <c r="E1884" s="149"/>
      <c r="F1884" s="149"/>
      <c r="G1884" s="149"/>
      <c r="H1884" s="149"/>
      <c r="I1884" s="149"/>
      <c r="J1884" s="149"/>
      <c r="K1884" s="149"/>
      <c r="L1884" s="149"/>
      <c r="M1884" s="149"/>
      <c r="N1884" s="149"/>
      <c r="O1884" s="149"/>
      <c r="P1884" s="149"/>
      <c r="Q1884" s="149"/>
      <c r="R1884" s="149"/>
      <c r="S1884" s="149"/>
      <c r="T1884" s="149"/>
      <c r="U1884" s="149"/>
      <c r="V1884" s="149"/>
      <c r="W1884" s="149"/>
      <c r="X1884" s="149"/>
      <c r="Y1884" s="149"/>
      <c r="Z1884" s="149"/>
      <c r="AA1884" s="149"/>
      <c r="AB1884" s="149"/>
      <c r="AC1884" s="149"/>
      <c r="AD1884" s="149"/>
      <c r="AE1884" s="149"/>
      <c r="AF1884" s="149"/>
      <c r="AG1884" s="149"/>
      <c r="AH1884" s="149"/>
      <c r="AI1884" s="149"/>
      <c r="AJ1884" s="149"/>
      <c r="AK1884" s="149"/>
      <c r="AL1884" s="149"/>
      <c r="AM1884" s="149"/>
      <c r="AN1884" s="149"/>
      <c r="AO1884" s="149"/>
      <c r="AP1884" s="149"/>
    </row>
    <row r="1885" ht="18.75" customHeight="1">
      <c r="A1885" s="149"/>
      <c r="B1885" s="149"/>
      <c r="C1885" s="304"/>
      <c r="D1885" s="149"/>
      <c r="E1885" s="149"/>
      <c r="F1885" s="149"/>
      <c r="G1885" s="149"/>
      <c r="H1885" s="149"/>
      <c r="I1885" s="149"/>
      <c r="J1885" s="149"/>
      <c r="K1885" s="149"/>
      <c r="L1885" s="149"/>
      <c r="M1885" s="149"/>
      <c r="N1885" s="149"/>
      <c r="O1885" s="149"/>
      <c r="P1885" s="149"/>
      <c r="Q1885" s="149"/>
      <c r="R1885" s="149"/>
      <c r="S1885" s="149"/>
      <c r="T1885" s="149"/>
      <c r="U1885" s="149"/>
      <c r="V1885" s="149"/>
      <c r="W1885" s="149"/>
      <c r="X1885" s="149"/>
      <c r="Y1885" s="149"/>
      <c r="Z1885" s="149"/>
      <c r="AA1885" s="149"/>
      <c r="AB1885" s="149"/>
      <c r="AC1885" s="149"/>
      <c r="AD1885" s="149"/>
      <c r="AE1885" s="149"/>
      <c r="AF1885" s="149"/>
      <c r="AG1885" s="149"/>
      <c r="AH1885" s="149"/>
      <c r="AI1885" s="149"/>
      <c r="AJ1885" s="149"/>
      <c r="AK1885" s="149"/>
      <c r="AL1885" s="149"/>
      <c r="AM1885" s="149"/>
      <c r="AN1885" s="149"/>
      <c r="AO1885" s="149"/>
      <c r="AP1885" s="149"/>
    </row>
    <row r="1886" ht="18.75" customHeight="1">
      <c r="A1886" s="149"/>
      <c r="B1886" s="149"/>
      <c r="C1886" s="304"/>
      <c r="D1886" s="149"/>
      <c r="E1886" s="149"/>
      <c r="F1886" s="149"/>
      <c r="G1886" s="149"/>
      <c r="H1886" s="149"/>
      <c r="I1886" s="149"/>
      <c r="J1886" s="149"/>
      <c r="K1886" s="149"/>
      <c r="L1886" s="149"/>
      <c r="M1886" s="149"/>
      <c r="N1886" s="149"/>
      <c r="O1886" s="149"/>
      <c r="P1886" s="149"/>
      <c r="Q1886" s="149"/>
      <c r="R1886" s="149"/>
      <c r="S1886" s="149"/>
      <c r="T1886" s="149"/>
      <c r="U1886" s="149"/>
      <c r="V1886" s="149"/>
      <c r="W1886" s="149"/>
      <c r="X1886" s="149"/>
      <c r="Y1886" s="149"/>
      <c r="Z1886" s="149"/>
      <c r="AA1886" s="149"/>
      <c r="AB1886" s="149"/>
      <c r="AC1886" s="149"/>
      <c r="AD1886" s="149"/>
      <c r="AE1886" s="149"/>
      <c r="AF1886" s="149"/>
      <c r="AG1886" s="149"/>
      <c r="AH1886" s="149"/>
      <c r="AI1886" s="149"/>
      <c r="AJ1886" s="149"/>
      <c r="AK1886" s="149"/>
      <c r="AL1886" s="149"/>
      <c r="AM1886" s="149"/>
      <c r="AN1886" s="149"/>
      <c r="AO1886" s="149"/>
      <c r="AP1886" s="149"/>
    </row>
    <row r="1887" ht="18.75" customHeight="1">
      <c r="A1887" s="149"/>
      <c r="B1887" s="149"/>
      <c r="C1887" s="304"/>
      <c r="D1887" s="149"/>
      <c r="E1887" s="149"/>
      <c r="F1887" s="149"/>
      <c r="G1887" s="149"/>
      <c r="H1887" s="149"/>
      <c r="I1887" s="149"/>
      <c r="J1887" s="149"/>
      <c r="K1887" s="149"/>
      <c r="L1887" s="149"/>
      <c r="M1887" s="149"/>
      <c r="N1887" s="149"/>
      <c r="O1887" s="149"/>
      <c r="P1887" s="149"/>
      <c r="Q1887" s="149"/>
      <c r="R1887" s="149"/>
      <c r="S1887" s="149"/>
      <c r="T1887" s="149"/>
      <c r="U1887" s="149"/>
      <c r="V1887" s="149"/>
      <c r="W1887" s="149"/>
      <c r="X1887" s="149"/>
      <c r="Y1887" s="149"/>
      <c r="Z1887" s="149"/>
      <c r="AA1887" s="149"/>
      <c r="AB1887" s="149"/>
      <c r="AC1887" s="149"/>
      <c r="AD1887" s="149"/>
      <c r="AE1887" s="149"/>
      <c r="AF1887" s="149"/>
      <c r="AG1887" s="149"/>
      <c r="AH1887" s="149"/>
      <c r="AI1887" s="149"/>
      <c r="AJ1887" s="149"/>
      <c r="AK1887" s="149"/>
      <c r="AL1887" s="149"/>
      <c r="AM1887" s="149"/>
      <c r="AN1887" s="149"/>
      <c r="AO1887" s="149"/>
      <c r="AP1887" s="149"/>
    </row>
    <row r="1888" ht="18.75" customHeight="1">
      <c r="A1888" s="149"/>
      <c r="B1888" s="149"/>
      <c r="C1888" s="304"/>
      <c r="D1888" s="149"/>
      <c r="E1888" s="149"/>
      <c r="F1888" s="149"/>
      <c r="G1888" s="149"/>
      <c r="H1888" s="149"/>
      <c r="I1888" s="149"/>
      <c r="J1888" s="149"/>
      <c r="K1888" s="149"/>
      <c r="L1888" s="149"/>
      <c r="M1888" s="149"/>
      <c r="N1888" s="149"/>
      <c r="O1888" s="149"/>
      <c r="P1888" s="149"/>
      <c r="Q1888" s="149"/>
      <c r="R1888" s="149"/>
      <c r="S1888" s="149"/>
      <c r="T1888" s="149"/>
      <c r="U1888" s="149"/>
      <c r="V1888" s="149"/>
      <c r="W1888" s="149"/>
      <c r="X1888" s="149"/>
      <c r="Y1888" s="149"/>
      <c r="Z1888" s="149"/>
      <c r="AA1888" s="149"/>
      <c r="AB1888" s="149"/>
      <c r="AC1888" s="149"/>
      <c r="AD1888" s="149"/>
      <c r="AE1888" s="149"/>
      <c r="AF1888" s="149"/>
      <c r="AG1888" s="149"/>
      <c r="AH1888" s="149"/>
      <c r="AI1888" s="149"/>
      <c r="AJ1888" s="149"/>
      <c r="AK1888" s="149"/>
      <c r="AL1888" s="149"/>
      <c r="AM1888" s="149"/>
      <c r="AN1888" s="149"/>
      <c r="AO1888" s="149"/>
      <c r="AP1888" s="149"/>
    </row>
    <row r="1889" ht="18.75" customHeight="1">
      <c r="A1889" s="149"/>
      <c r="B1889" s="149"/>
      <c r="C1889" s="304"/>
      <c r="D1889" s="149"/>
      <c r="E1889" s="149"/>
      <c r="F1889" s="149"/>
      <c r="G1889" s="149"/>
      <c r="H1889" s="149"/>
      <c r="I1889" s="149"/>
      <c r="J1889" s="149"/>
      <c r="K1889" s="149"/>
      <c r="L1889" s="149"/>
      <c r="M1889" s="149"/>
      <c r="N1889" s="149"/>
      <c r="O1889" s="149"/>
      <c r="P1889" s="149"/>
      <c r="Q1889" s="149"/>
      <c r="R1889" s="149"/>
      <c r="S1889" s="149"/>
      <c r="T1889" s="149"/>
      <c r="U1889" s="149"/>
      <c r="V1889" s="149"/>
      <c r="W1889" s="149"/>
      <c r="X1889" s="149"/>
      <c r="Y1889" s="149"/>
      <c r="Z1889" s="149"/>
      <c r="AA1889" s="149"/>
      <c r="AB1889" s="149"/>
      <c r="AC1889" s="149"/>
      <c r="AD1889" s="149"/>
      <c r="AE1889" s="149"/>
      <c r="AF1889" s="149"/>
      <c r="AG1889" s="149"/>
      <c r="AH1889" s="149"/>
      <c r="AI1889" s="149"/>
      <c r="AJ1889" s="149"/>
      <c r="AK1889" s="149"/>
      <c r="AL1889" s="149"/>
      <c r="AM1889" s="149"/>
      <c r="AN1889" s="149"/>
      <c r="AO1889" s="149"/>
      <c r="AP1889" s="149"/>
    </row>
    <row r="1890" ht="18.75" customHeight="1">
      <c r="A1890" s="149"/>
      <c r="B1890" s="149"/>
      <c r="C1890" s="304"/>
      <c r="D1890" s="149"/>
      <c r="E1890" s="149"/>
      <c r="F1890" s="149"/>
      <c r="G1890" s="149"/>
      <c r="H1890" s="149"/>
      <c r="I1890" s="149"/>
      <c r="J1890" s="149"/>
      <c r="K1890" s="149"/>
      <c r="L1890" s="149"/>
      <c r="M1890" s="149"/>
      <c r="N1890" s="149"/>
      <c r="O1890" s="149"/>
      <c r="P1890" s="149"/>
      <c r="Q1890" s="149"/>
      <c r="R1890" s="149"/>
      <c r="S1890" s="149"/>
      <c r="T1890" s="149"/>
      <c r="U1890" s="149"/>
      <c r="V1890" s="149"/>
      <c r="W1890" s="149"/>
      <c r="X1890" s="149"/>
      <c r="Y1890" s="149"/>
      <c r="Z1890" s="149"/>
      <c r="AA1890" s="149"/>
      <c r="AB1890" s="149"/>
      <c r="AC1890" s="149"/>
      <c r="AD1890" s="149"/>
      <c r="AE1890" s="149"/>
      <c r="AF1890" s="149"/>
      <c r="AG1890" s="149"/>
      <c r="AH1890" s="149"/>
      <c r="AI1890" s="149"/>
      <c r="AJ1890" s="149"/>
      <c r="AK1890" s="149"/>
      <c r="AL1890" s="149"/>
      <c r="AM1890" s="149"/>
      <c r="AN1890" s="149"/>
      <c r="AO1890" s="149"/>
      <c r="AP1890" s="149"/>
    </row>
    <row r="1891" ht="18.75" customHeight="1">
      <c r="A1891" s="149"/>
      <c r="B1891" s="149"/>
      <c r="C1891" s="304"/>
      <c r="D1891" s="149"/>
      <c r="E1891" s="149"/>
      <c r="F1891" s="149"/>
      <c r="G1891" s="149"/>
      <c r="H1891" s="149"/>
      <c r="I1891" s="149"/>
      <c r="J1891" s="149"/>
      <c r="K1891" s="149"/>
      <c r="L1891" s="149"/>
      <c r="M1891" s="149"/>
      <c r="N1891" s="149"/>
      <c r="O1891" s="149"/>
      <c r="P1891" s="149"/>
      <c r="Q1891" s="149"/>
      <c r="R1891" s="149"/>
      <c r="S1891" s="149"/>
      <c r="T1891" s="149"/>
      <c r="U1891" s="149"/>
      <c r="V1891" s="149"/>
      <c r="W1891" s="149"/>
      <c r="X1891" s="149"/>
      <c r="Y1891" s="149"/>
      <c r="Z1891" s="149"/>
      <c r="AA1891" s="149"/>
      <c r="AB1891" s="149"/>
      <c r="AC1891" s="149"/>
      <c r="AD1891" s="149"/>
      <c r="AE1891" s="149"/>
      <c r="AF1891" s="149"/>
      <c r="AG1891" s="149"/>
      <c r="AH1891" s="149"/>
      <c r="AI1891" s="149"/>
      <c r="AJ1891" s="149"/>
      <c r="AK1891" s="149"/>
      <c r="AL1891" s="149"/>
      <c r="AM1891" s="149"/>
      <c r="AN1891" s="149"/>
      <c r="AO1891" s="149"/>
      <c r="AP1891" s="149"/>
    </row>
    <row r="1892" ht="18.75" customHeight="1">
      <c r="A1892" s="149"/>
      <c r="B1892" s="149"/>
      <c r="C1892" s="304"/>
      <c r="D1892" s="149"/>
      <c r="E1892" s="149"/>
      <c r="F1892" s="149"/>
      <c r="G1892" s="149"/>
      <c r="H1892" s="149"/>
      <c r="I1892" s="149"/>
      <c r="J1892" s="149"/>
      <c r="K1892" s="149"/>
      <c r="L1892" s="149"/>
      <c r="M1892" s="149"/>
      <c r="N1892" s="149"/>
      <c r="O1892" s="149"/>
      <c r="P1892" s="149"/>
      <c r="Q1892" s="149"/>
      <c r="R1892" s="149"/>
      <c r="S1892" s="149"/>
      <c r="T1892" s="149"/>
      <c r="U1892" s="149"/>
      <c r="V1892" s="149"/>
      <c r="W1892" s="149"/>
      <c r="X1892" s="149"/>
      <c r="Y1892" s="149"/>
      <c r="Z1892" s="149"/>
      <c r="AA1892" s="149"/>
      <c r="AB1892" s="149"/>
      <c r="AC1892" s="149"/>
      <c r="AD1892" s="149"/>
      <c r="AE1892" s="149"/>
      <c r="AF1892" s="149"/>
      <c r="AG1892" s="149"/>
      <c r="AH1892" s="149"/>
      <c r="AI1892" s="149"/>
      <c r="AJ1892" s="149"/>
      <c r="AK1892" s="149"/>
      <c r="AL1892" s="149"/>
      <c r="AM1892" s="149"/>
      <c r="AN1892" s="149"/>
      <c r="AO1892" s="149"/>
      <c r="AP1892" s="149"/>
    </row>
    <row r="1893" ht="18.75" customHeight="1">
      <c r="A1893" s="149"/>
      <c r="B1893" s="149"/>
      <c r="C1893" s="304"/>
      <c r="D1893" s="149"/>
      <c r="E1893" s="149"/>
      <c r="F1893" s="149"/>
      <c r="G1893" s="149"/>
      <c r="H1893" s="149"/>
      <c r="I1893" s="149"/>
      <c r="J1893" s="149"/>
      <c r="K1893" s="149"/>
      <c r="L1893" s="149"/>
      <c r="M1893" s="149"/>
      <c r="N1893" s="149"/>
      <c r="O1893" s="149"/>
      <c r="P1893" s="149"/>
      <c r="Q1893" s="149"/>
      <c r="R1893" s="149"/>
      <c r="S1893" s="149"/>
      <c r="T1893" s="149"/>
      <c r="U1893" s="149"/>
      <c r="V1893" s="149"/>
      <c r="W1893" s="149"/>
      <c r="X1893" s="149"/>
      <c r="Y1893" s="149"/>
      <c r="Z1893" s="149"/>
      <c r="AA1893" s="149"/>
      <c r="AB1893" s="149"/>
      <c r="AC1893" s="149"/>
      <c r="AD1893" s="149"/>
      <c r="AE1893" s="149"/>
      <c r="AF1893" s="149"/>
      <c r="AG1893" s="149"/>
      <c r="AH1893" s="149"/>
      <c r="AI1893" s="149"/>
      <c r="AJ1893" s="149"/>
      <c r="AK1893" s="149"/>
      <c r="AL1893" s="149"/>
      <c r="AM1893" s="149"/>
      <c r="AN1893" s="149"/>
      <c r="AO1893" s="149"/>
      <c r="AP1893" s="149"/>
    </row>
    <row r="1894" ht="18.75" customHeight="1">
      <c r="A1894" s="149"/>
      <c r="B1894" s="149"/>
      <c r="C1894" s="304"/>
      <c r="D1894" s="149"/>
      <c r="E1894" s="149"/>
      <c r="F1894" s="149"/>
      <c r="G1894" s="149"/>
      <c r="H1894" s="149"/>
      <c r="I1894" s="149"/>
      <c r="J1894" s="149"/>
      <c r="K1894" s="149"/>
      <c r="L1894" s="149"/>
      <c r="M1894" s="149"/>
      <c r="N1894" s="149"/>
      <c r="O1894" s="149"/>
      <c r="P1894" s="149"/>
      <c r="Q1894" s="149"/>
      <c r="R1894" s="149"/>
      <c r="S1894" s="149"/>
      <c r="T1894" s="149"/>
      <c r="U1894" s="149"/>
      <c r="V1894" s="149"/>
      <c r="W1894" s="149"/>
      <c r="X1894" s="149"/>
      <c r="Y1894" s="149"/>
      <c r="Z1894" s="149"/>
      <c r="AA1894" s="149"/>
      <c r="AB1894" s="149"/>
      <c r="AC1894" s="149"/>
      <c r="AD1894" s="149"/>
      <c r="AE1894" s="149"/>
      <c r="AF1894" s="149"/>
      <c r="AG1894" s="149"/>
      <c r="AH1894" s="149"/>
      <c r="AI1894" s="149"/>
      <c r="AJ1894" s="149"/>
      <c r="AK1894" s="149"/>
      <c r="AL1894" s="149"/>
      <c r="AM1894" s="149"/>
      <c r="AN1894" s="149"/>
      <c r="AO1894" s="149"/>
      <c r="AP1894" s="149"/>
    </row>
    <row r="1895" ht="18.75" customHeight="1">
      <c r="A1895" s="149"/>
      <c r="B1895" s="149"/>
      <c r="C1895" s="304"/>
      <c r="D1895" s="149"/>
      <c r="E1895" s="149"/>
      <c r="F1895" s="149"/>
      <c r="G1895" s="149"/>
      <c r="H1895" s="149"/>
      <c r="I1895" s="149"/>
      <c r="J1895" s="149"/>
      <c r="K1895" s="149"/>
      <c r="L1895" s="149"/>
      <c r="M1895" s="149"/>
      <c r="N1895" s="149"/>
      <c r="O1895" s="149"/>
      <c r="P1895" s="149"/>
      <c r="Q1895" s="149"/>
      <c r="R1895" s="149"/>
      <c r="S1895" s="149"/>
      <c r="T1895" s="149"/>
      <c r="U1895" s="149"/>
      <c r="V1895" s="149"/>
      <c r="W1895" s="149"/>
      <c r="X1895" s="149"/>
      <c r="Y1895" s="149"/>
      <c r="Z1895" s="149"/>
      <c r="AA1895" s="149"/>
      <c r="AB1895" s="149"/>
      <c r="AC1895" s="149"/>
      <c r="AD1895" s="149"/>
      <c r="AE1895" s="149"/>
      <c r="AF1895" s="149"/>
      <c r="AG1895" s="149"/>
      <c r="AH1895" s="149"/>
      <c r="AI1895" s="149"/>
      <c r="AJ1895" s="149"/>
      <c r="AK1895" s="149"/>
      <c r="AL1895" s="149"/>
      <c r="AM1895" s="149"/>
      <c r="AN1895" s="149"/>
      <c r="AO1895" s="149"/>
      <c r="AP1895" s="149"/>
    </row>
    <row r="1896" ht="18.75" customHeight="1">
      <c r="A1896" s="149"/>
      <c r="B1896" s="149"/>
      <c r="C1896" s="304"/>
      <c r="D1896" s="149"/>
      <c r="E1896" s="149"/>
      <c r="F1896" s="149"/>
      <c r="G1896" s="149"/>
      <c r="H1896" s="149"/>
      <c r="I1896" s="149"/>
      <c r="J1896" s="149"/>
      <c r="K1896" s="149"/>
      <c r="L1896" s="149"/>
      <c r="M1896" s="149"/>
      <c r="N1896" s="149"/>
      <c r="O1896" s="149"/>
      <c r="P1896" s="149"/>
      <c r="Q1896" s="149"/>
      <c r="R1896" s="149"/>
      <c r="S1896" s="149"/>
      <c r="T1896" s="149"/>
      <c r="U1896" s="149"/>
      <c r="V1896" s="149"/>
      <c r="W1896" s="149"/>
      <c r="X1896" s="149"/>
      <c r="Y1896" s="149"/>
      <c r="Z1896" s="149"/>
      <c r="AA1896" s="149"/>
      <c r="AB1896" s="149"/>
      <c r="AC1896" s="149"/>
      <c r="AD1896" s="149"/>
      <c r="AE1896" s="149"/>
      <c r="AF1896" s="149"/>
      <c r="AG1896" s="149"/>
      <c r="AH1896" s="149"/>
      <c r="AI1896" s="149"/>
      <c r="AJ1896" s="149"/>
      <c r="AK1896" s="149"/>
      <c r="AL1896" s="149"/>
      <c r="AM1896" s="149"/>
      <c r="AN1896" s="149"/>
      <c r="AO1896" s="149"/>
      <c r="AP1896" s="149"/>
    </row>
    <row r="1897" ht="18.75" customHeight="1">
      <c r="A1897" s="149"/>
      <c r="B1897" s="149"/>
      <c r="C1897" s="304"/>
      <c r="D1897" s="149"/>
      <c r="E1897" s="149"/>
      <c r="F1897" s="149"/>
      <c r="G1897" s="149"/>
      <c r="H1897" s="149"/>
      <c r="I1897" s="149"/>
      <c r="J1897" s="149"/>
      <c r="K1897" s="149"/>
      <c r="L1897" s="149"/>
      <c r="M1897" s="149"/>
      <c r="N1897" s="149"/>
      <c r="O1897" s="149"/>
      <c r="P1897" s="149"/>
      <c r="Q1897" s="149"/>
      <c r="R1897" s="149"/>
      <c r="S1897" s="149"/>
      <c r="T1897" s="149"/>
      <c r="U1897" s="149"/>
      <c r="V1897" s="149"/>
      <c r="W1897" s="149"/>
      <c r="X1897" s="149"/>
      <c r="Y1897" s="149"/>
      <c r="Z1897" s="149"/>
      <c r="AA1897" s="149"/>
      <c r="AB1897" s="149"/>
      <c r="AC1897" s="149"/>
      <c r="AD1897" s="149"/>
      <c r="AE1897" s="149"/>
      <c r="AF1897" s="149"/>
      <c r="AG1897" s="149"/>
      <c r="AH1897" s="149"/>
      <c r="AI1897" s="149"/>
      <c r="AJ1897" s="149"/>
      <c r="AK1897" s="149"/>
      <c r="AL1897" s="149"/>
      <c r="AM1897" s="149"/>
      <c r="AN1897" s="149"/>
      <c r="AO1897" s="149"/>
      <c r="AP1897" s="149"/>
    </row>
    <row r="1898" ht="18.75" customHeight="1">
      <c r="A1898" s="149"/>
      <c r="B1898" s="149"/>
      <c r="C1898" s="304"/>
      <c r="D1898" s="149"/>
      <c r="E1898" s="149"/>
      <c r="F1898" s="149"/>
      <c r="G1898" s="149"/>
      <c r="H1898" s="149"/>
      <c r="I1898" s="149"/>
      <c r="J1898" s="149"/>
      <c r="K1898" s="149"/>
      <c r="L1898" s="149"/>
      <c r="M1898" s="149"/>
      <c r="N1898" s="149"/>
      <c r="O1898" s="149"/>
      <c r="P1898" s="149"/>
      <c r="Q1898" s="149"/>
      <c r="R1898" s="149"/>
      <c r="S1898" s="149"/>
      <c r="T1898" s="149"/>
      <c r="U1898" s="149"/>
      <c r="V1898" s="149"/>
      <c r="W1898" s="149"/>
      <c r="X1898" s="149"/>
      <c r="Y1898" s="149"/>
      <c r="Z1898" s="149"/>
      <c r="AA1898" s="149"/>
      <c r="AB1898" s="149"/>
      <c r="AC1898" s="149"/>
      <c r="AD1898" s="149"/>
      <c r="AE1898" s="149"/>
      <c r="AF1898" s="149"/>
      <c r="AG1898" s="149"/>
      <c r="AH1898" s="149"/>
      <c r="AI1898" s="149"/>
      <c r="AJ1898" s="149"/>
      <c r="AK1898" s="149"/>
      <c r="AL1898" s="149"/>
      <c r="AM1898" s="149"/>
      <c r="AN1898" s="149"/>
      <c r="AO1898" s="149"/>
      <c r="AP1898" s="149"/>
    </row>
    <row r="1899" ht="18.75" customHeight="1">
      <c r="A1899" s="149"/>
      <c r="B1899" s="149"/>
      <c r="C1899" s="304"/>
      <c r="D1899" s="149"/>
      <c r="E1899" s="149"/>
      <c r="F1899" s="149"/>
      <c r="G1899" s="149"/>
      <c r="H1899" s="149"/>
      <c r="I1899" s="149"/>
      <c r="J1899" s="149"/>
      <c r="K1899" s="149"/>
      <c r="L1899" s="149"/>
      <c r="M1899" s="149"/>
      <c r="N1899" s="149"/>
      <c r="O1899" s="149"/>
      <c r="P1899" s="149"/>
      <c r="Q1899" s="149"/>
      <c r="R1899" s="149"/>
      <c r="S1899" s="149"/>
      <c r="T1899" s="149"/>
      <c r="U1899" s="149"/>
      <c r="V1899" s="149"/>
      <c r="W1899" s="149"/>
      <c r="X1899" s="149"/>
      <c r="Y1899" s="149"/>
      <c r="Z1899" s="149"/>
      <c r="AA1899" s="149"/>
      <c r="AB1899" s="149"/>
      <c r="AC1899" s="149"/>
      <c r="AD1899" s="149"/>
      <c r="AE1899" s="149"/>
      <c r="AF1899" s="149"/>
      <c r="AG1899" s="149"/>
      <c r="AH1899" s="149"/>
      <c r="AI1899" s="149"/>
      <c r="AJ1899" s="149"/>
      <c r="AK1899" s="149"/>
      <c r="AL1899" s="149"/>
      <c r="AM1899" s="149"/>
      <c r="AN1899" s="149"/>
      <c r="AO1899" s="149"/>
      <c r="AP1899" s="149"/>
    </row>
    <row r="1900" ht="18.75" customHeight="1">
      <c r="A1900" s="149"/>
      <c r="B1900" s="149"/>
      <c r="C1900" s="304"/>
      <c r="D1900" s="149"/>
      <c r="E1900" s="149"/>
      <c r="F1900" s="149"/>
      <c r="G1900" s="149"/>
      <c r="H1900" s="149"/>
      <c r="I1900" s="149"/>
      <c r="J1900" s="149"/>
      <c r="K1900" s="149"/>
      <c r="L1900" s="149"/>
      <c r="M1900" s="149"/>
      <c r="N1900" s="149"/>
      <c r="O1900" s="149"/>
      <c r="P1900" s="149"/>
      <c r="Q1900" s="149"/>
      <c r="R1900" s="149"/>
      <c r="S1900" s="149"/>
      <c r="T1900" s="149"/>
      <c r="U1900" s="149"/>
      <c r="V1900" s="149"/>
      <c r="W1900" s="149"/>
      <c r="X1900" s="149"/>
      <c r="Y1900" s="149"/>
      <c r="Z1900" s="149"/>
      <c r="AA1900" s="149"/>
      <c r="AB1900" s="149"/>
      <c r="AC1900" s="149"/>
      <c r="AD1900" s="149"/>
      <c r="AE1900" s="149"/>
      <c r="AF1900" s="149"/>
      <c r="AG1900" s="149"/>
      <c r="AH1900" s="149"/>
      <c r="AI1900" s="149"/>
      <c r="AJ1900" s="149"/>
      <c r="AK1900" s="149"/>
      <c r="AL1900" s="149"/>
      <c r="AM1900" s="149"/>
      <c r="AN1900" s="149"/>
      <c r="AO1900" s="149"/>
      <c r="AP1900" s="149"/>
    </row>
    <row r="1901" ht="18.75" customHeight="1">
      <c r="A1901" s="149"/>
      <c r="B1901" s="149"/>
      <c r="C1901" s="304"/>
      <c r="D1901" s="149"/>
      <c r="E1901" s="149"/>
      <c r="F1901" s="149"/>
      <c r="G1901" s="149"/>
      <c r="H1901" s="149"/>
      <c r="I1901" s="149"/>
      <c r="J1901" s="149"/>
      <c r="K1901" s="149"/>
      <c r="L1901" s="149"/>
      <c r="M1901" s="149"/>
      <c r="N1901" s="149"/>
      <c r="O1901" s="149"/>
      <c r="P1901" s="149"/>
      <c r="Q1901" s="149"/>
      <c r="R1901" s="149"/>
      <c r="S1901" s="149"/>
      <c r="T1901" s="149"/>
      <c r="U1901" s="149"/>
      <c r="V1901" s="149"/>
      <c r="W1901" s="149"/>
      <c r="X1901" s="149"/>
      <c r="Y1901" s="149"/>
      <c r="Z1901" s="149"/>
      <c r="AA1901" s="149"/>
      <c r="AB1901" s="149"/>
      <c r="AC1901" s="149"/>
      <c r="AD1901" s="149"/>
      <c r="AE1901" s="149"/>
      <c r="AF1901" s="149"/>
      <c r="AG1901" s="149"/>
      <c r="AH1901" s="149"/>
      <c r="AI1901" s="149"/>
      <c r="AJ1901" s="149"/>
      <c r="AK1901" s="149"/>
      <c r="AL1901" s="149"/>
      <c r="AM1901" s="149"/>
      <c r="AN1901" s="149"/>
      <c r="AO1901" s="149"/>
      <c r="AP1901" s="149"/>
    </row>
    <row r="1902" ht="18.75" customHeight="1">
      <c r="A1902" s="149"/>
      <c r="B1902" s="149"/>
      <c r="C1902" s="304"/>
      <c r="D1902" s="149"/>
      <c r="E1902" s="149"/>
      <c r="F1902" s="149"/>
      <c r="G1902" s="149"/>
      <c r="H1902" s="149"/>
      <c r="I1902" s="149"/>
      <c r="J1902" s="149"/>
      <c r="K1902" s="149"/>
      <c r="L1902" s="149"/>
      <c r="M1902" s="149"/>
      <c r="N1902" s="149"/>
      <c r="O1902" s="149"/>
      <c r="P1902" s="149"/>
      <c r="Q1902" s="149"/>
      <c r="R1902" s="149"/>
      <c r="S1902" s="149"/>
      <c r="T1902" s="149"/>
      <c r="U1902" s="149"/>
      <c r="V1902" s="149"/>
      <c r="W1902" s="149"/>
      <c r="X1902" s="149"/>
      <c r="Y1902" s="149"/>
      <c r="Z1902" s="149"/>
      <c r="AA1902" s="149"/>
      <c r="AB1902" s="149"/>
      <c r="AC1902" s="149"/>
      <c r="AD1902" s="149"/>
      <c r="AE1902" s="149"/>
      <c r="AF1902" s="149"/>
      <c r="AG1902" s="149"/>
      <c r="AH1902" s="149"/>
      <c r="AI1902" s="149"/>
      <c r="AJ1902" s="149"/>
      <c r="AK1902" s="149"/>
      <c r="AL1902" s="149"/>
      <c r="AM1902" s="149"/>
      <c r="AN1902" s="149"/>
      <c r="AO1902" s="149"/>
      <c r="AP1902" s="149"/>
    </row>
    <row r="1903" ht="18.75" customHeight="1">
      <c r="A1903" s="149"/>
      <c r="B1903" s="149"/>
      <c r="C1903" s="304"/>
      <c r="D1903" s="149"/>
      <c r="E1903" s="149"/>
      <c r="F1903" s="149"/>
      <c r="G1903" s="149"/>
      <c r="H1903" s="149"/>
      <c r="I1903" s="149"/>
      <c r="J1903" s="149"/>
      <c r="K1903" s="149"/>
      <c r="L1903" s="149"/>
      <c r="M1903" s="149"/>
      <c r="N1903" s="149"/>
      <c r="O1903" s="149"/>
      <c r="P1903" s="149"/>
      <c r="Q1903" s="149"/>
      <c r="R1903" s="149"/>
      <c r="S1903" s="149"/>
      <c r="T1903" s="149"/>
      <c r="U1903" s="149"/>
      <c r="V1903" s="149"/>
      <c r="W1903" s="149"/>
      <c r="X1903" s="149"/>
      <c r="Y1903" s="149"/>
      <c r="Z1903" s="149"/>
      <c r="AA1903" s="149"/>
      <c r="AB1903" s="149"/>
      <c r="AC1903" s="149"/>
      <c r="AD1903" s="149"/>
      <c r="AE1903" s="149"/>
      <c r="AF1903" s="149"/>
      <c r="AG1903" s="149"/>
      <c r="AH1903" s="149"/>
      <c r="AI1903" s="149"/>
      <c r="AJ1903" s="149"/>
      <c r="AK1903" s="149"/>
      <c r="AL1903" s="149"/>
      <c r="AM1903" s="149"/>
      <c r="AN1903" s="149"/>
      <c r="AO1903" s="149"/>
      <c r="AP1903" s="149"/>
    </row>
    <row r="1904" ht="18.75" customHeight="1">
      <c r="A1904" s="149"/>
      <c r="B1904" s="149"/>
      <c r="C1904" s="304"/>
      <c r="D1904" s="149"/>
      <c r="E1904" s="149"/>
      <c r="F1904" s="149"/>
      <c r="G1904" s="149"/>
      <c r="H1904" s="149"/>
      <c r="I1904" s="149"/>
      <c r="J1904" s="149"/>
      <c r="K1904" s="149"/>
      <c r="L1904" s="149"/>
      <c r="M1904" s="149"/>
      <c r="N1904" s="149"/>
      <c r="O1904" s="149"/>
      <c r="P1904" s="149"/>
      <c r="Q1904" s="149"/>
      <c r="R1904" s="149"/>
      <c r="S1904" s="149"/>
      <c r="T1904" s="149"/>
      <c r="U1904" s="149"/>
      <c r="V1904" s="149"/>
      <c r="W1904" s="149"/>
      <c r="X1904" s="149"/>
      <c r="Y1904" s="149"/>
      <c r="Z1904" s="149"/>
      <c r="AA1904" s="149"/>
      <c r="AB1904" s="149"/>
      <c r="AC1904" s="149"/>
      <c r="AD1904" s="149"/>
      <c r="AE1904" s="149"/>
      <c r="AF1904" s="149"/>
      <c r="AG1904" s="149"/>
      <c r="AH1904" s="149"/>
      <c r="AI1904" s="149"/>
      <c r="AJ1904" s="149"/>
      <c r="AK1904" s="149"/>
      <c r="AL1904" s="149"/>
      <c r="AM1904" s="149"/>
      <c r="AN1904" s="149"/>
      <c r="AO1904" s="149"/>
      <c r="AP1904" s="149"/>
    </row>
    <row r="1905" ht="18.75" customHeight="1">
      <c r="A1905" s="149"/>
      <c r="B1905" s="149"/>
      <c r="C1905" s="304"/>
      <c r="D1905" s="149"/>
      <c r="E1905" s="149"/>
      <c r="F1905" s="149"/>
      <c r="G1905" s="149"/>
      <c r="H1905" s="149"/>
      <c r="I1905" s="149"/>
      <c r="J1905" s="149"/>
      <c r="K1905" s="149"/>
      <c r="L1905" s="149"/>
      <c r="M1905" s="149"/>
      <c r="N1905" s="149"/>
      <c r="O1905" s="149"/>
      <c r="P1905" s="149"/>
      <c r="Q1905" s="149"/>
      <c r="R1905" s="149"/>
      <c r="S1905" s="149"/>
      <c r="T1905" s="149"/>
      <c r="U1905" s="149"/>
      <c r="V1905" s="149"/>
      <c r="W1905" s="149"/>
      <c r="X1905" s="149"/>
      <c r="Y1905" s="149"/>
      <c r="Z1905" s="149"/>
      <c r="AA1905" s="149"/>
      <c r="AB1905" s="149"/>
      <c r="AC1905" s="149"/>
      <c r="AD1905" s="149"/>
      <c r="AE1905" s="149"/>
      <c r="AF1905" s="149"/>
      <c r="AG1905" s="149"/>
      <c r="AH1905" s="149"/>
      <c r="AI1905" s="149"/>
      <c r="AJ1905" s="149"/>
      <c r="AK1905" s="149"/>
      <c r="AL1905" s="149"/>
      <c r="AM1905" s="149"/>
      <c r="AN1905" s="149"/>
      <c r="AO1905" s="149"/>
      <c r="AP1905" s="149"/>
    </row>
    <row r="1906" ht="18.75" customHeight="1">
      <c r="A1906" s="149"/>
      <c r="B1906" s="149"/>
      <c r="C1906" s="304"/>
      <c r="D1906" s="149"/>
      <c r="E1906" s="149"/>
      <c r="F1906" s="149"/>
      <c r="G1906" s="149"/>
      <c r="H1906" s="149"/>
      <c r="I1906" s="149"/>
      <c r="J1906" s="149"/>
      <c r="K1906" s="149"/>
      <c r="L1906" s="149"/>
      <c r="M1906" s="149"/>
      <c r="N1906" s="149"/>
      <c r="O1906" s="149"/>
      <c r="P1906" s="149"/>
      <c r="Q1906" s="149"/>
      <c r="R1906" s="149"/>
      <c r="S1906" s="149"/>
      <c r="T1906" s="149"/>
      <c r="U1906" s="149"/>
      <c r="V1906" s="149"/>
      <c r="W1906" s="149"/>
      <c r="X1906" s="149"/>
      <c r="Y1906" s="149"/>
      <c r="Z1906" s="149"/>
      <c r="AA1906" s="149"/>
      <c r="AB1906" s="149"/>
      <c r="AC1906" s="149"/>
      <c r="AD1906" s="149"/>
      <c r="AE1906" s="149"/>
      <c r="AF1906" s="149"/>
      <c r="AG1906" s="149"/>
      <c r="AH1906" s="149"/>
      <c r="AI1906" s="149"/>
      <c r="AJ1906" s="149"/>
      <c r="AK1906" s="149"/>
      <c r="AL1906" s="149"/>
      <c r="AM1906" s="149"/>
      <c r="AN1906" s="149"/>
      <c r="AO1906" s="149"/>
      <c r="AP1906" s="149"/>
    </row>
    <row r="1907" ht="18.75" customHeight="1">
      <c r="A1907" s="149"/>
      <c r="B1907" s="149"/>
      <c r="C1907" s="304"/>
      <c r="D1907" s="149"/>
      <c r="E1907" s="149"/>
      <c r="F1907" s="149"/>
      <c r="G1907" s="149"/>
      <c r="H1907" s="149"/>
      <c r="I1907" s="149"/>
      <c r="J1907" s="149"/>
      <c r="K1907" s="149"/>
      <c r="L1907" s="149"/>
      <c r="M1907" s="149"/>
      <c r="N1907" s="149"/>
      <c r="O1907" s="149"/>
      <c r="P1907" s="149"/>
      <c r="Q1907" s="149"/>
      <c r="R1907" s="149"/>
      <c r="S1907" s="149"/>
      <c r="T1907" s="149"/>
      <c r="U1907" s="149"/>
      <c r="V1907" s="149"/>
      <c r="W1907" s="149"/>
      <c r="X1907" s="149"/>
      <c r="Y1907" s="149"/>
      <c r="Z1907" s="149"/>
      <c r="AA1907" s="149"/>
      <c r="AB1907" s="149"/>
      <c r="AC1907" s="149"/>
      <c r="AD1907" s="149"/>
      <c r="AE1907" s="149"/>
      <c r="AF1907" s="149"/>
      <c r="AG1907" s="149"/>
      <c r="AH1907" s="149"/>
      <c r="AI1907" s="149"/>
      <c r="AJ1907" s="149"/>
      <c r="AK1907" s="149"/>
      <c r="AL1907" s="149"/>
      <c r="AM1907" s="149"/>
      <c r="AN1907" s="149"/>
      <c r="AO1907" s="149"/>
      <c r="AP1907" s="149"/>
    </row>
    <row r="1908" ht="18.75" customHeight="1">
      <c r="A1908" s="149"/>
      <c r="B1908" s="149"/>
      <c r="C1908" s="304"/>
      <c r="D1908" s="149"/>
      <c r="E1908" s="149"/>
      <c r="F1908" s="149"/>
      <c r="G1908" s="149"/>
      <c r="H1908" s="149"/>
      <c r="I1908" s="149"/>
      <c r="J1908" s="149"/>
      <c r="K1908" s="149"/>
      <c r="L1908" s="149"/>
      <c r="M1908" s="149"/>
      <c r="N1908" s="149"/>
      <c r="O1908" s="149"/>
      <c r="P1908" s="149"/>
      <c r="Q1908" s="149"/>
      <c r="R1908" s="149"/>
      <c r="S1908" s="149"/>
      <c r="T1908" s="149"/>
      <c r="U1908" s="149"/>
      <c r="V1908" s="149"/>
      <c r="W1908" s="149"/>
      <c r="X1908" s="149"/>
      <c r="Y1908" s="149"/>
      <c r="Z1908" s="149"/>
      <c r="AA1908" s="149"/>
      <c r="AB1908" s="149"/>
      <c r="AC1908" s="149"/>
      <c r="AD1908" s="149"/>
      <c r="AE1908" s="149"/>
      <c r="AF1908" s="149"/>
      <c r="AG1908" s="149"/>
      <c r="AH1908" s="149"/>
      <c r="AI1908" s="149"/>
      <c r="AJ1908" s="149"/>
      <c r="AK1908" s="149"/>
      <c r="AL1908" s="149"/>
      <c r="AM1908" s="149"/>
      <c r="AN1908" s="149"/>
      <c r="AO1908" s="149"/>
      <c r="AP1908" s="149"/>
    </row>
    <row r="1909" ht="18.75" customHeight="1">
      <c r="A1909" s="149"/>
      <c r="B1909" s="149"/>
      <c r="C1909" s="304"/>
      <c r="D1909" s="149"/>
      <c r="E1909" s="149"/>
      <c r="F1909" s="149"/>
      <c r="G1909" s="149"/>
      <c r="H1909" s="149"/>
      <c r="I1909" s="149"/>
      <c r="J1909" s="149"/>
      <c r="K1909" s="149"/>
      <c r="L1909" s="149"/>
      <c r="M1909" s="149"/>
      <c r="N1909" s="149"/>
      <c r="O1909" s="149"/>
      <c r="P1909" s="149"/>
      <c r="Q1909" s="149"/>
      <c r="R1909" s="149"/>
      <c r="S1909" s="149"/>
      <c r="T1909" s="149"/>
      <c r="U1909" s="149"/>
      <c r="V1909" s="149"/>
      <c r="W1909" s="149"/>
      <c r="X1909" s="149"/>
      <c r="Y1909" s="149"/>
      <c r="Z1909" s="149"/>
      <c r="AA1909" s="149"/>
      <c r="AB1909" s="149"/>
      <c r="AC1909" s="149"/>
      <c r="AD1909" s="149"/>
      <c r="AE1909" s="149"/>
      <c r="AF1909" s="149"/>
      <c r="AG1909" s="149"/>
      <c r="AH1909" s="149"/>
      <c r="AI1909" s="149"/>
      <c r="AJ1909" s="149"/>
      <c r="AK1909" s="149"/>
      <c r="AL1909" s="149"/>
      <c r="AM1909" s="149"/>
      <c r="AN1909" s="149"/>
      <c r="AO1909" s="149"/>
      <c r="AP1909" s="149"/>
    </row>
    <row r="1910" ht="18.75" customHeight="1">
      <c r="A1910" s="149"/>
      <c r="B1910" s="149"/>
      <c r="C1910" s="304"/>
      <c r="D1910" s="149"/>
      <c r="E1910" s="149"/>
      <c r="F1910" s="149"/>
      <c r="G1910" s="149"/>
      <c r="H1910" s="149"/>
      <c r="I1910" s="149"/>
      <c r="J1910" s="149"/>
      <c r="K1910" s="149"/>
      <c r="L1910" s="149"/>
      <c r="M1910" s="149"/>
      <c r="N1910" s="149"/>
      <c r="O1910" s="149"/>
      <c r="P1910" s="149"/>
      <c r="Q1910" s="149"/>
      <c r="R1910" s="149"/>
      <c r="S1910" s="149"/>
      <c r="T1910" s="149"/>
      <c r="U1910" s="149"/>
      <c r="V1910" s="149"/>
      <c r="W1910" s="149"/>
      <c r="X1910" s="149"/>
      <c r="Y1910" s="149"/>
      <c r="Z1910" s="149"/>
      <c r="AA1910" s="149"/>
      <c r="AB1910" s="149"/>
      <c r="AC1910" s="149"/>
      <c r="AD1910" s="149"/>
      <c r="AE1910" s="149"/>
      <c r="AF1910" s="149"/>
      <c r="AG1910" s="149"/>
      <c r="AH1910" s="149"/>
      <c r="AI1910" s="149"/>
      <c r="AJ1910" s="149"/>
      <c r="AK1910" s="149"/>
      <c r="AL1910" s="149"/>
      <c r="AM1910" s="149"/>
      <c r="AN1910" s="149"/>
      <c r="AO1910" s="149"/>
      <c r="AP1910" s="149"/>
    </row>
    <row r="1911" ht="18.75" customHeight="1">
      <c r="A1911" s="149"/>
      <c r="B1911" s="149"/>
      <c r="C1911" s="304"/>
      <c r="D1911" s="149"/>
      <c r="E1911" s="149"/>
      <c r="F1911" s="149"/>
      <c r="G1911" s="149"/>
      <c r="H1911" s="149"/>
      <c r="I1911" s="149"/>
      <c r="J1911" s="149"/>
      <c r="K1911" s="149"/>
      <c r="L1911" s="149"/>
      <c r="M1911" s="149"/>
      <c r="N1911" s="149"/>
      <c r="O1911" s="149"/>
      <c r="P1911" s="149"/>
      <c r="Q1911" s="149"/>
      <c r="R1911" s="149"/>
      <c r="S1911" s="149"/>
      <c r="T1911" s="149"/>
      <c r="U1911" s="149"/>
      <c r="V1911" s="149"/>
      <c r="W1911" s="149"/>
      <c r="X1911" s="149"/>
      <c r="Y1911" s="149"/>
      <c r="Z1911" s="149"/>
      <c r="AA1911" s="149"/>
      <c r="AB1911" s="149"/>
      <c r="AC1911" s="149"/>
      <c r="AD1911" s="149"/>
      <c r="AE1911" s="149"/>
      <c r="AF1911" s="149"/>
      <c r="AG1911" s="149"/>
      <c r="AH1911" s="149"/>
      <c r="AI1911" s="149"/>
      <c r="AJ1911" s="149"/>
      <c r="AK1911" s="149"/>
      <c r="AL1911" s="149"/>
      <c r="AM1911" s="149"/>
      <c r="AN1911" s="149"/>
      <c r="AO1911" s="149"/>
      <c r="AP1911" s="149"/>
    </row>
    <row r="1912" ht="18.75" customHeight="1">
      <c r="A1912" s="149"/>
      <c r="B1912" s="149"/>
      <c r="C1912" s="304"/>
      <c r="D1912" s="149"/>
      <c r="E1912" s="149"/>
      <c r="F1912" s="149"/>
      <c r="G1912" s="149"/>
      <c r="H1912" s="149"/>
      <c r="I1912" s="149"/>
      <c r="J1912" s="149"/>
      <c r="K1912" s="149"/>
      <c r="L1912" s="149"/>
      <c r="M1912" s="149"/>
      <c r="N1912" s="149"/>
      <c r="O1912" s="149"/>
      <c r="P1912" s="149"/>
      <c r="Q1912" s="149"/>
      <c r="R1912" s="149"/>
      <c r="S1912" s="149"/>
      <c r="T1912" s="149"/>
      <c r="U1912" s="149"/>
      <c r="V1912" s="149"/>
      <c r="W1912" s="149"/>
      <c r="X1912" s="149"/>
      <c r="Y1912" s="149"/>
      <c r="Z1912" s="149"/>
      <c r="AA1912" s="149"/>
      <c r="AB1912" s="149"/>
      <c r="AC1912" s="149"/>
      <c r="AD1912" s="149"/>
      <c r="AE1912" s="149"/>
      <c r="AF1912" s="149"/>
      <c r="AG1912" s="149"/>
      <c r="AH1912" s="149"/>
      <c r="AI1912" s="149"/>
      <c r="AJ1912" s="149"/>
      <c r="AK1912" s="149"/>
      <c r="AL1912" s="149"/>
      <c r="AM1912" s="149"/>
      <c r="AN1912" s="149"/>
      <c r="AO1912" s="149"/>
      <c r="AP1912" s="149"/>
    </row>
    <row r="1913" ht="18.75" customHeight="1">
      <c r="A1913" s="149"/>
      <c r="B1913" s="149"/>
      <c r="C1913" s="304"/>
      <c r="D1913" s="149"/>
      <c r="E1913" s="149"/>
      <c r="F1913" s="149"/>
      <c r="G1913" s="149"/>
      <c r="H1913" s="149"/>
      <c r="I1913" s="149"/>
      <c r="J1913" s="149"/>
      <c r="K1913" s="149"/>
      <c r="L1913" s="149"/>
      <c r="M1913" s="149"/>
      <c r="N1913" s="149"/>
      <c r="O1913" s="149"/>
      <c r="P1913" s="149"/>
      <c r="Q1913" s="149"/>
      <c r="R1913" s="149"/>
      <c r="S1913" s="149"/>
      <c r="T1913" s="149"/>
      <c r="U1913" s="149"/>
      <c r="V1913" s="149"/>
      <c r="W1913" s="149"/>
      <c r="X1913" s="149"/>
      <c r="Y1913" s="149"/>
      <c r="Z1913" s="149"/>
      <c r="AA1913" s="149"/>
      <c r="AB1913" s="149"/>
      <c r="AC1913" s="149"/>
      <c r="AD1913" s="149"/>
      <c r="AE1913" s="149"/>
      <c r="AF1913" s="149"/>
      <c r="AG1913" s="149"/>
      <c r="AH1913" s="149"/>
      <c r="AI1913" s="149"/>
      <c r="AJ1913" s="149"/>
      <c r="AK1913" s="149"/>
      <c r="AL1913" s="149"/>
      <c r="AM1913" s="149"/>
      <c r="AN1913" s="149"/>
      <c r="AO1913" s="149"/>
      <c r="AP1913" s="149"/>
    </row>
    <row r="1914" ht="18.75" customHeight="1">
      <c r="A1914" s="149"/>
      <c r="B1914" s="149"/>
      <c r="C1914" s="304"/>
      <c r="D1914" s="149"/>
      <c r="E1914" s="149"/>
      <c r="F1914" s="149"/>
      <c r="G1914" s="149"/>
      <c r="H1914" s="149"/>
      <c r="I1914" s="149"/>
      <c r="J1914" s="149"/>
      <c r="K1914" s="149"/>
      <c r="L1914" s="149"/>
      <c r="M1914" s="149"/>
      <c r="N1914" s="149"/>
      <c r="O1914" s="149"/>
      <c r="P1914" s="149"/>
      <c r="Q1914" s="149"/>
      <c r="R1914" s="149"/>
      <c r="S1914" s="149"/>
      <c r="T1914" s="149"/>
      <c r="U1914" s="149"/>
      <c r="V1914" s="149"/>
      <c r="W1914" s="149"/>
      <c r="X1914" s="149"/>
      <c r="Y1914" s="149"/>
      <c r="Z1914" s="149"/>
      <c r="AA1914" s="149"/>
      <c r="AB1914" s="149"/>
      <c r="AC1914" s="149"/>
      <c r="AD1914" s="149"/>
      <c r="AE1914" s="149"/>
      <c r="AF1914" s="149"/>
      <c r="AG1914" s="149"/>
      <c r="AH1914" s="149"/>
      <c r="AI1914" s="149"/>
      <c r="AJ1914" s="149"/>
      <c r="AK1914" s="149"/>
      <c r="AL1914" s="149"/>
      <c r="AM1914" s="149"/>
      <c r="AN1914" s="149"/>
      <c r="AO1914" s="149"/>
      <c r="AP1914" s="149"/>
    </row>
    <row r="1915" ht="18.75" customHeight="1">
      <c r="A1915" s="149"/>
      <c r="B1915" s="149"/>
      <c r="C1915" s="304"/>
      <c r="D1915" s="149"/>
      <c r="E1915" s="149"/>
      <c r="F1915" s="149"/>
      <c r="G1915" s="149"/>
      <c r="H1915" s="149"/>
      <c r="I1915" s="149"/>
      <c r="J1915" s="149"/>
      <c r="K1915" s="149"/>
      <c r="L1915" s="149"/>
      <c r="M1915" s="149"/>
      <c r="N1915" s="149"/>
      <c r="O1915" s="149"/>
      <c r="P1915" s="149"/>
      <c r="Q1915" s="149"/>
      <c r="R1915" s="149"/>
      <c r="S1915" s="149"/>
      <c r="T1915" s="149"/>
      <c r="U1915" s="149"/>
      <c r="V1915" s="149"/>
      <c r="W1915" s="149"/>
      <c r="X1915" s="149"/>
      <c r="Y1915" s="149"/>
      <c r="Z1915" s="149"/>
      <c r="AA1915" s="149"/>
      <c r="AB1915" s="149"/>
      <c r="AC1915" s="149"/>
      <c r="AD1915" s="149"/>
      <c r="AE1915" s="149"/>
      <c r="AF1915" s="149"/>
      <c r="AG1915" s="149"/>
      <c r="AH1915" s="149"/>
      <c r="AI1915" s="149"/>
      <c r="AJ1915" s="149"/>
      <c r="AK1915" s="149"/>
      <c r="AL1915" s="149"/>
      <c r="AM1915" s="149"/>
      <c r="AN1915" s="149"/>
      <c r="AO1915" s="149"/>
      <c r="AP1915" s="149"/>
    </row>
    <row r="1916" ht="18.75" customHeight="1">
      <c r="A1916" s="149"/>
      <c r="B1916" s="149"/>
      <c r="C1916" s="304"/>
      <c r="D1916" s="149"/>
      <c r="E1916" s="149"/>
      <c r="F1916" s="149"/>
      <c r="G1916" s="149"/>
      <c r="H1916" s="149"/>
      <c r="I1916" s="149"/>
      <c r="J1916" s="149"/>
      <c r="K1916" s="149"/>
      <c r="L1916" s="149"/>
      <c r="M1916" s="149"/>
      <c r="N1916" s="149"/>
      <c r="O1916" s="149"/>
      <c r="P1916" s="149"/>
      <c r="Q1916" s="149"/>
      <c r="R1916" s="149"/>
      <c r="S1916" s="149"/>
      <c r="T1916" s="149"/>
      <c r="U1916" s="149"/>
      <c r="V1916" s="149"/>
      <c r="W1916" s="149"/>
      <c r="X1916" s="149"/>
      <c r="Y1916" s="149"/>
      <c r="Z1916" s="149"/>
      <c r="AA1916" s="149"/>
      <c r="AB1916" s="149"/>
      <c r="AC1916" s="149"/>
      <c r="AD1916" s="149"/>
      <c r="AE1916" s="149"/>
      <c r="AF1916" s="149"/>
      <c r="AG1916" s="149"/>
      <c r="AH1916" s="149"/>
      <c r="AI1916" s="149"/>
      <c r="AJ1916" s="149"/>
      <c r="AK1916" s="149"/>
      <c r="AL1916" s="149"/>
      <c r="AM1916" s="149"/>
      <c r="AN1916" s="149"/>
      <c r="AO1916" s="149"/>
      <c r="AP1916" s="149"/>
    </row>
    <row r="1917" ht="18.75" customHeight="1">
      <c r="A1917" s="149"/>
      <c r="B1917" s="149"/>
      <c r="C1917" s="304"/>
      <c r="D1917" s="149"/>
      <c r="E1917" s="149"/>
      <c r="F1917" s="149"/>
      <c r="G1917" s="149"/>
      <c r="H1917" s="149"/>
      <c r="I1917" s="149"/>
      <c r="J1917" s="149"/>
      <c r="K1917" s="149"/>
      <c r="L1917" s="149"/>
      <c r="M1917" s="149"/>
      <c r="N1917" s="149"/>
      <c r="O1917" s="149"/>
      <c r="P1917" s="149"/>
      <c r="Q1917" s="149"/>
      <c r="R1917" s="149"/>
      <c r="S1917" s="149"/>
      <c r="T1917" s="149"/>
      <c r="U1917" s="149"/>
      <c r="V1917" s="149"/>
      <c r="W1917" s="149"/>
      <c r="X1917" s="149"/>
      <c r="Y1917" s="149"/>
      <c r="Z1917" s="149"/>
      <c r="AA1917" s="149"/>
      <c r="AB1917" s="149"/>
      <c r="AC1917" s="149"/>
      <c r="AD1917" s="149"/>
      <c r="AE1917" s="149"/>
      <c r="AF1917" s="149"/>
      <c r="AG1917" s="149"/>
      <c r="AH1917" s="149"/>
      <c r="AI1917" s="149"/>
      <c r="AJ1917" s="149"/>
      <c r="AK1917" s="149"/>
      <c r="AL1917" s="149"/>
      <c r="AM1917" s="149"/>
      <c r="AN1917" s="149"/>
      <c r="AO1917" s="149"/>
      <c r="AP1917" s="149"/>
    </row>
    <row r="1918" ht="18.75" customHeight="1">
      <c r="A1918" s="149"/>
      <c r="B1918" s="149"/>
      <c r="C1918" s="304"/>
      <c r="D1918" s="149"/>
      <c r="E1918" s="149"/>
      <c r="F1918" s="149"/>
      <c r="G1918" s="149"/>
      <c r="H1918" s="149"/>
      <c r="I1918" s="149"/>
      <c r="J1918" s="149"/>
      <c r="K1918" s="149"/>
      <c r="L1918" s="149"/>
      <c r="M1918" s="149"/>
      <c r="N1918" s="149"/>
      <c r="O1918" s="149"/>
      <c r="P1918" s="149"/>
      <c r="Q1918" s="149"/>
      <c r="R1918" s="149"/>
      <c r="S1918" s="149"/>
      <c r="T1918" s="149"/>
      <c r="U1918" s="149"/>
      <c r="V1918" s="149"/>
      <c r="W1918" s="149"/>
      <c r="X1918" s="149"/>
      <c r="Y1918" s="149"/>
      <c r="Z1918" s="149"/>
      <c r="AA1918" s="149"/>
      <c r="AB1918" s="149"/>
      <c r="AC1918" s="149"/>
      <c r="AD1918" s="149"/>
      <c r="AE1918" s="149"/>
      <c r="AF1918" s="149"/>
      <c r="AG1918" s="149"/>
      <c r="AH1918" s="149"/>
      <c r="AI1918" s="149"/>
      <c r="AJ1918" s="149"/>
      <c r="AK1918" s="149"/>
      <c r="AL1918" s="149"/>
      <c r="AM1918" s="149"/>
      <c r="AN1918" s="149"/>
      <c r="AO1918" s="149"/>
      <c r="AP1918" s="149"/>
    </row>
    <row r="1919" ht="18.75" customHeight="1">
      <c r="A1919" s="149"/>
      <c r="B1919" s="149"/>
      <c r="C1919" s="304"/>
      <c r="D1919" s="149"/>
      <c r="E1919" s="149"/>
      <c r="F1919" s="149"/>
      <c r="G1919" s="149"/>
      <c r="H1919" s="149"/>
      <c r="I1919" s="149"/>
      <c r="J1919" s="149"/>
      <c r="K1919" s="149"/>
      <c r="L1919" s="149"/>
      <c r="M1919" s="149"/>
      <c r="N1919" s="149"/>
      <c r="O1919" s="149"/>
      <c r="P1919" s="149"/>
      <c r="Q1919" s="149"/>
      <c r="R1919" s="149"/>
      <c r="S1919" s="149"/>
      <c r="T1919" s="149"/>
      <c r="U1919" s="149"/>
      <c r="V1919" s="149"/>
      <c r="W1919" s="149"/>
      <c r="X1919" s="149"/>
      <c r="Y1919" s="149"/>
      <c r="Z1919" s="149"/>
      <c r="AA1919" s="149"/>
      <c r="AB1919" s="149"/>
      <c r="AC1919" s="149"/>
      <c r="AD1919" s="149"/>
      <c r="AE1919" s="149"/>
      <c r="AF1919" s="149"/>
      <c r="AG1919" s="149"/>
      <c r="AH1919" s="149"/>
      <c r="AI1919" s="149"/>
      <c r="AJ1919" s="149"/>
      <c r="AK1919" s="149"/>
      <c r="AL1919" s="149"/>
      <c r="AM1919" s="149"/>
      <c r="AN1919" s="149"/>
      <c r="AO1919" s="149"/>
      <c r="AP1919" s="149"/>
    </row>
    <row r="1920" ht="18.75" customHeight="1">
      <c r="A1920" s="149"/>
      <c r="B1920" s="149"/>
      <c r="C1920" s="304"/>
      <c r="D1920" s="149"/>
      <c r="E1920" s="149"/>
      <c r="F1920" s="149"/>
      <c r="G1920" s="149"/>
      <c r="H1920" s="149"/>
      <c r="I1920" s="149"/>
      <c r="J1920" s="149"/>
      <c r="K1920" s="149"/>
      <c r="L1920" s="149"/>
      <c r="M1920" s="149"/>
      <c r="N1920" s="149"/>
      <c r="O1920" s="149"/>
      <c r="P1920" s="149"/>
      <c r="Q1920" s="149"/>
      <c r="R1920" s="149"/>
      <c r="S1920" s="149"/>
      <c r="T1920" s="149"/>
      <c r="U1920" s="149"/>
      <c r="V1920" s="149"/>
      <c r="W1920" s="149"/>
      <c r="X1920" s="149"/>
      <c r="Y1920" s="149"/>
      <c r="Z1920" s="149"/>
      <c r="AA1920" s="149"/>
      <c r="AB1920" s="149"/>
      <c r="AC1920" s="149"/>
      <c r="AD1920" s="149"/>
      <c r="AE1920" s="149"/>
      <c r="AF1920" s="149"/>
      <c r="AG1920" s="149"/>
      <c r="AH1920" s="149"/>
      <c r="AI1920" s="149"/>
      <c r="AJ1920" s="149"/>
      <c r="AK1920" s="149"/>
      <c r="AL1920" s="149"/>
      <c r="AM1920" s="149"/>
      <c r="AN1920" s="149"/>
      <c r="AO1920" s="149"/>
      <c r="AP1920" s="149"/>
    </row>
    <row r="1921" ht="18.75" customHeight="1">
      <c r="A1921" s="149"/>
      <c r="B1921" s="149"/>
      <c r="C1921" s="304"/>
      <c r="D1921" s="149"/>
      <c r="E1921" s="149"/>
      <c r="F1921" s="149"/>
      <c r="G1921" s="149"/>
      <c r="H1921" s="149"/>
      <c r="I1921" s="149"/>
      <c r="J1921" s="149"/>
      <c r="K1921" s="149"/>
      <c r="L1921" s="149"/>
      <c r="M1921" s="149"/>
      <c r="N1921" s="149"/>
      <c r="O1921" s="149"/>
      <c r="P1921" s="149"/>
      <c r="Q1921" s="149"/>
      <c r="R1921" s="149"/>
      <c r="S1921" s="149"/>
      <c r="T1921" s="149"/>
      <c r="U1921" s="149"/>
      <c r="V1921" s="149"/>
      <c r="W1921" s="149"/>
      <c r="X1921" s="149"/>
      <c r="Y1921" s="149"/>
      <c r="Z1921" s="149"/>
      <c r="AA1921" s="149"/>
      <c r="AB1921" s="149"/>
      <c r="AC1921" s="149"/>
      <c r="AD1921" s="149"/>
      <c r="AE1921" s="149"/>
      <c r="AF1921" s="149"/>
      <c r="AG1921" s="149"/>
      <c r="AH1921" s="149"/>
      <c r="AI1921" s="149"/>
      <c r="AJ1921" s="149"/>
      <c r="AK1921" s="149"/>
      <c r="AL1921" s="149"/>
      <c r="AM1921" s="149"/>
      <c r="AN1921" s="149"/>
      <c r="AO1921" s="149"/>
      <c r="AP1921" s="149"/>
    </row>
    <row r="1922" ht="18.75" customHeight="1">
      <c r="A1922" s="149"/>
      <c r="B1922" s="149"/>
      <c r="C1922" s="304"/>
      <c r="D1922" s="149"/>
      <c r="E1922" s="149"/>
      <c r="F1922" s="149"/>
      <c r="G1922" s="149"/>
      <c r="H1922" s="149"/>
      <c r="I1922" s="149"/>
      <c r="J1922" s="149"/>
      <c r="K1922" s="149"/>
      <c r="L1922" s="149"/>
      <c r="M1922" s="149"/>
      <c r="N1922" s="149"/>
      <c r="O1922" s="149"/>
      <c r="P1922" s="149"/>
      <c r="Q1922" s="149"/>
      <c r="R1922" s="149"/>
      <c r="S1922" s="149"/>
      <c r="T1922" s="149"/>
      <c r="U1922" s="149"/>
      <c r="V1922" s="149"/>
      <c r="W1922" s="149"/>
      <c r="X1922" s="149"/>
      <c r="Y1922" s="149"/>
      <c r="Z1922" s="149"/>
      <c r="AA1922" s="149"/>
      <c r="AB1922" s="149"/>
      <c r="AC1922" s="149"/>
      <c r="AD1922" s="149"/>
      <c r="AE1922" s="149"/>
      <c r="AF1922" s="149"/>
      <c r="AG1922" s="149"/>
      <c r="AH1922" s="149"/>
      <c r="AI1922" s="149"/>
      <c r="AJ1922" s="149"/>
      <c r="AK1922" s="149"/>
      <c r="AL1922" s="149"/>
      <c r="AM1922" s="149"/>
      <c r="AN1922" s="149"/>
      <c r="AO1922" s="149"/>
      <c r="AP1922" s="149"/>
    </row>
    <row r="1923" ht="18.75" customHeight="1">
      <c r="A1923" s="149"/>
      <c r="B1923" s="149"/>
      <c r="C1923" s="304"/>
      <c r="D1923" s="149"/>
      <c r="E1923" s="149"/>
      <c r="F1923" s="149"/>
      <c r="G1923" s="149"/>
      <c r="H1923" s="149"/>
      <c r="I1923" s="149"/>
      <c r="J1923" s="149"/>
      <c r="K1923" s="149"/>
      <c r="L1923" s="149"/>
      <c r="M1923" s="149"/>
      <c r="N1923" s="149"/>
      <c r="O1923" s="149"/>
      <c r="P1923" s="149"/>
      <c r="Q1923" s="149"/>
      <c r="R1923" s="149"/>
      <c r="S1923" s="149"/>
      <c r="T1923" s="149"/>
      <c r="U1923" s="149"/>
      <c r="V1923" s="149"/>
      <c r="W1923" s="149"/>
      <c r="X1923" s="149"/>
      <c r="Y1923" s="149"/>
      <c r="Z1923" s="149"/>
      <c r="AA1923" s="149"/>
      <c r="AB1923" s="149"/>
      <c r="AC1923" s="149"/>
      <c r="AD1923" s="149"/>
      <c r="AE1923" s="149"/>
      <c r="AF1923" s="149"/>
      <c r="AG1923" s="149"/>
      <c r="AH1923" s="149"/>
      <c r="AI1923" s="149"/>
      <c r="AJ1923" s="149"/>
      <c r="AK1923" s="149"/>
      <c r="AL1923" s="149"/>
      <c r="AM1923" s="149"/>
      <c r="AN1923" s="149"/>
      <c r="AO1923" s="149"/>
      <c r="AP1923" s="149"/>
    </row>
    <row r="1924" ht="18.75" customHeight="1">
      <c r="A1924" s="149"/>
      <c r="B1924" s="149"/>
      <c r="C1924" s="304"/>
      <c r="D1924" s="149"/>
      <c r="E1924" s="149"/>
      <c r="F1924" s="149"/>
      <c r="G1924" s="149"/>
      <c r="H1924" s="149"/>
      <c r="I1924" s="149"/>
      <c r="J1924" s="149"/>
      <c r="K1924" s="149"/>
      <c r="L1924" s="149"/>
      <c r="M1924" s="149"/>
      <c r="N1924" s="149"/>
      <c r="O1924" s="149"/>
      <c r="P1924" s="149"/>
      <c r="Q1924" s="149"/>
      <c r="R1924" s="149"/>
      <c r="S1924" s="149"/>
      <c r="T1924" s="149"/>
      <c r="U1924" s="149"/>
      <c r="V1924" s="149"/>
      <c r="W1924" s="149"/>
      <c r="X1924" s="149"/>
      <c r="Y1924" s="149"/>
      <c r="Z1924" s="149"/>
      <c r="AA1924" s="149"/>
      <c r="AB1924" s="149"/>
      <c r="AC1924" s="149"/>
      <c r="AD1924" s="149"/>
      <c r="AE1924" s="149"/>
      <c r="AF1924" s="149"/>
      <c r="AG1924" s="149"/>
      <c r="AH1924" s="149"/>
      <c r="AI1924" s="149"/>
      <c r="AJ1924" s="149"/>
      <c r="AK1924" s="149"/>
      <c r="AL1924" s="149"/>
      <c r="AM1924" s="149"/>
      <c r="AN1924" s="149"/>
      <c r="AO1924" s="149"/>
      <c r="AP1924" s="149"/>
    </row>
    <row r="1925" ht="18.75" customHeight="1">
      <c r="A1925" s="149"/>
      <c r="B1925" s="149"/>
      <c r="C1925" s="304"/>
      <c r="D1925" s="149"/>
      <c r="E1925" s="149"/>
      <c r="F1925" s="149"/>
      <c r="G1925" s="149"/>
      <c r="H1925" s="149"/>
      <c r="I1925" s="149"/>
      <c r="J1925" s="149"/>
      <c r="K1925" s="149"/>
      <c r="L1925" s="149"/>
      <c r="M1925" s="149"/>
      <c r="N1925" s="149"/>
      <c r="O1925" s="149"/>
      <c r="P1925" s="149"/>
      <c r="Q1925" s="149"/>
      <c r="R1925" s="149"/>
      <c r="S1925" s="149"/>
      <c r="T1925" s="149"/>
      <c r="U1925" s="149"/>
      <c r="V1925" s="149"/>
      <c r="W1925" s="149"/>
      <c r="X1925" s="149"/>
      <c r="Y1925" s="149"/>
      <c r="Z1925" s="149"/>
      <c r="AA1925" s="149"/>
      <c r="AB1925" s="149"/>
      <c r="AC1925" s="149"/>
      <c r="AD1925" s="149"/>
      <c r="AE1925" s="149"/>
      <c r="AF1925" s="149"/>
      <c r="AG1925" s="149"/>
      <c r="AH1925" s="149"/>
      <c r="AI1925" s="149"/>
      <c r="AJ1925" s="149"/>
      <c r="AK1925" s="149"/>
      <c r="AL1925" s="149"/>
      <c r="AM1925" s="149"/>
      <c r="AN1925" s="149"/>
      <c r="AO1925" s="149"/>
      <c r="AP1925" s="149"/>
    </row>
    <row r="1926" ht="18.75" customHeight="1">
      <c r="A1926" s="149"/>
      <c r="B1926" s="149"/>
      <c r="C1926" s="304"/>
      <c r="D1926" s="149"/>
      <c r="E1926" s="149"/>
      <c r="F1926" s="149"/>
      <c r="G1926" s="149"/>
      <c r="H1926" s="149"/>
      <c r="I1926" s="149"/>
      <c r="J1926" s="149"/>
      <c r="K1926" s="149"/>
      <c r="L1926" s="149"/>
      <c r="M1926" s="149"/>
      <c r="N1926" s="149"/>
      <c r="O1926" s="149"/>
      <c r="P1926" s="149"/>
      <c r="Q1926" s="149"/>
      <c r="R1926" s="149"/>
      <c r="S1926" s="149"/>
      <c r="T1926" s="149"/>
      <c r="U1926" s="149"/>
      <c r="V1926" s="149"/>
      <c r="W1926" s="149"/>
      <c r="X1926" s="149"/>
      <c r="Y1926" s="149"/>
      <c r="Z1926" s="149"/>
      <c r="AA1926" s="149"/>
      <c r="AB1926" s="149"/>
      <c r="AC1926" s="149"/>
      <c r="AD1926" s="149"/>
      <c r="AE1926" s="149"/>
      <c r="AF1926" s="149"/>
      <c r="AG1926" s="149"/>
      <c r="AH1926" s="149"/>
      <c r="AI1926" s="149"/>
      <c r="AJ1926" s="149"/>
      <c r="AK1926" s="149"/>
      <c r="AL1926" s="149"/>
      <c r="AM1926" s="149"/>
      <c r="AN1926" s="149"/>
      <c r="AO1926" s="149"/>
      <c r="AP1926" s="149"/>
    </row>
    <row r="1927" ht="18.75" customHeight="1">
      <c r="A1927" s="149"/>
      <c r="B1927" s="149"/>
      <c r="C1927" s="304"/>
      <c r="D1927" s="149"/>
      <c r="E1927" s="149"/>
      <c r="F1927" s="149"/>
      <c r="G1927" s="149"/>
      <c r="H1927" s="149"/>
      <c r="I1927" s="149"/>
      <c r="J1927" s="149"/>
      <c r="K1927" s="149"/>
      <c r="L1927" s="149"/>
      <c r="M1927" s="149"/>
      <c r="N1927" s="149"/>
      <c r="O1927" s="149"/>
      <c r="P1927" s="149"/>
      <c r="Q1927" s="149"/>
      <c r="R1927" s="149"/>
      <c r="S1927" s="149"/>
      <c r="T1927" s="149"/>
      <c r="U1927" s="149"/>
      <c r="V1927" s="149"/>
      <c r="W1927" s="149"/>
      <c r="X1927" s="149"/>
      <c r="Y1927" s="149"/>
      <c r="Z1927" s="149"/>
      <c r="AA1927" s="149"/>
      <c r="AB1927" s="149"/>
      <c r="AC1927" s="149"/>
      <c r="AD1927" s="149"/>
      <c r="AE1927" s="149"/>
      <c r="AF1927" s="149"/>
      <c r="AG1927" s="149"/>
      <c r="AH1927" s="149"/>
      <c r="AI1927" s="149"/>
      <c r="AJ1927" s="149"/>
      <c r="AK1927" s="149"/>
      <c r="AL1927" s="149"/>
      <c r="AM1927" s="149"/>
      <c r="AN1927" s="149"/>
      <c r="AO1927" s="149"/>
      <c r="AP1927" s="149"/>
    </row>
    <row r="1928" ht="18.75" customHeight="1">
      <c r="A1928" s="149"/>
      <c r="B1928" s="149"/>
      <c r="C1928" s="304"/>
      <c r="D1928" s="149"/>
      <c r="E1928" s="149"/>
      <c r="F1928" s="149"/>
      <c r="G1928" s="149"/>
      <c r="H1928" s="149"/>
      <c r="I1928" s="149"/>
      <c r="J1928" s="149"/>
      <c r="K1928" s="149"/>
      <c r="L1928" s="149"/>
      <c r="M1928" s="149"/>
      <c r="N1928" s="149"/>
      <c r="O1928" s="149"/>
      <c r="P1928" s="149"/>
      <c r="Q1928" s="149"/>
      <c r="R1928" s="149"/>
      <c r="S1928" s="149"/>
      <c r="T1928" s="149"/>
      <c r="U1928" s="149"/>
      <c r="V1928" s="149"/>
      <c r="W1928" s="149"/>
      <c r="X1928" s="149"/>
      <c r="Y1928" s="149"/>
      <c r="Z1928" s="149"/>
      <c r="AA1928" s="149"/>
      <c r="AB1928" s="149"/>
      <c r="AC1928" s="149"/>
      <c r="AD1928" s="149"/>
      <c r="AE1928" s="149"/>
      <c r="AF1928" s="149"/>
      <c r="AG1928" s="149"/>
      <c r="AH1928" s="149"/>
      <c r="AI1928" s="149"/>
      <c r="AJ1928" s="149"/>
      <c r="AK1928" s="149"/>
      <c r="AL1928" s="149"/>
      <c r="AM1928" s="149"/>
      <c r="AN1928" s="149"/>
      <c r="AO1928" s="149"/>
      <c r="AP1928" s="149"/>
    </row>
    <row r="1929" ht="18.75" customHeight="1">
      <c r="A1929" s="149"/>
      <c r="B1929" s="149"/>
      <c r="C1929" s="304"/>
      <c r="D1929" s="149"/>
      <c r="E1929" s="149"/>
      <c r="F1929" s="149"/>
      <c r="G1929" s="149"/>
      <c r="H1929" s="149"/>
      <c r="I1929" s="149"/>
      <c r="J1929" s="149"/>
      <c r="K1929" s="149"/>
      <c r="L1929" s="149"/>
      <c r="M1929" s="149"/>
      <c r="N1929" s="149"/>
      <c r="O1929" s="149"/>
      <c r="P1929" s="149"/>
      <c r="Q1929" s="149"/>
      <c r="R1929" s="149"/>
      <c r="S1929" s="149"/>
      <c r="T1929" s="149"/>
      <c r="U1929" s="149"/>
      <c r="V1929" s="149"/>
      <c r="W1929" s="149"/>
      <c r="X1929" s="149"/>
      <c r="Y1929" s="149"/>
      <c r="Z1929" s="149"/>
      <c r="AA1929" s="149"/>
      <c r="AB1929" s="149"/>
      <c r="AC1929" s="149"/>
      <c r="AD1929" s="149"/>
      <c r="AE1929" s="149"/>
      <c r="AF1929" s="149"/>
      <c r="AG1929" s="149"/>
      <c r="AH1929" s="149"/>
      <c r="AI1929" s="149"/>
      <c r="AJ1929" s="149"/>
      <c r="AK1929" s="149"/>
      <c r="AL1929" s="149"/>
      <c r="AM1929" s="149"/>
      <c r="AN1929" s="149"/>
      <c r="AO1929" s="149"/>
      <c r="AP1929" s="149"/>
    </row>
    <row r="1930" ht="18.75" customHeight="1">
      <c r="A1930" s="149"/>
      <c r="B1930" s="149"/>
      <c r="C1930" s="304"/>
      <c r="D1930" s="149"/>
      <c r="E1930" s="149"/>
      <c r="F1930" s="149"/>
      <c r="G1930" s="149"/>
      <c r="H1930" s="149"/>
      <c r="I1930" s="149"/>
      <c r="J1930" s="149"/>
      <c r="K1930" s="149"/>
      <c r="L1930" s="149"/>
      <c r="M1930" s="149"/>
      <c r="N1930" s="149"/>
      <c r="O1930" s="149"/>
      <c r="P1930" s="149"/>
      <c r="Q1930" s="149"/>
      <c r="R1930" s="149"/>
      <c r="S1930" s="149"/>
      <c r="T1930" s="149"/>
      <c r="U1930" s="149"/>
      <c r="V1930" s="149"/>
      <c r="W1930" s="149"/>
      <c r="X1930" s="149"/>
      <c r="Y1930" s="149"/>
      <c r="Z1930" s="149"/>
      <c r="AA1930" s="149"/>
      <c r="AB1930" s="149"/>
      <c r="AC1930" s="149"/>
      <c r="AD1930" s="149"/>
      <c r="AE1930" s="149"/>
      <c r="AF1930" s="149"/>
      <c r="AG1930" s="149"/>
      <c r="AH1930" s="149"/>
      <c r="AI1930" s="149"/>
      <c r="AJ1930" s="149"/>
      <c r="AK1930" s="149"/>
      <c r="AL1930" s="149"/>
      <c r="AM1930" s="149"/>
      <c r="AN1930" s="149"/>
      <c r="AO1930" s="149"/>
      <c r="AP1930" s="149"/>
    </row>
    <row r="1931" ht="18.75" customHeight="1">
      <c r="A1931" s="149"/>
      <c r="B1931" s="149"/>
      <c r="C1931" s="304"/>
      <c r="D1931" s="149"/>
      <c r="E1931" s="149"/>
      <c r="F1931" s="149"/>
      <c r="G1931" s="149"/>
      <c r="H1931" s="149"/>
      <c r="I1931" s="149"/>
      <c r="J1931" s="149"/>
      <c r="K1931" s="149"/>
      <c r="L1931" s="149"/>
      <c r="M1931" s="149"/>
      <c r="N1931" s="149"/>
      <c r="O1931" s="149"/>
      <c r="P1931" s="149"/>
      <c r="Q1931" s="149"/>
      <c r="R1931" s="149"/>
      <c r="S1931" s="149"/>
      <c r="T1931" s="149"/>
      <c r="U1931" s="149"/>
      <c r="V1931" s="149"/>
      <c r="W1931" s="149"/>
      <c r="X1931" s="149"/>
      <c r="Y1931" s="149"/>
      <c r="Z1931" s="149"/>
      <c r="AA1931" s="149"/>
      <c r="AB1931" s="149"/>
      <c r="AC1931" s="149"/>
      <c r="AD1931" s="149"/>
      <c r="AE1931" s="149"/>
      <c r="AF1931" s="149"/>
      <c r="AG1931" s="149"/>
      <c r="AH1931" s="149"/>
      <c r="AI1931" s="149"/>
      <c r="AJ1931" s="149"/>
      <c r="AK1931" s="149"/>
      <c r="AL1931" s="149"/>
      <c r="AM1931" s="149"/>
      <c r="AN1931" s="149"/>
      <c r="AO1931" s="149"/>
      <c r="AP1931" s="149"/>
    </row>
    <row r="1932" ht="18.75" customHeight="1">
      <c r="A1932" s="149"/>
      <c r="B1932" s="149"/>
      <c r="C1932" s="304"/>
      <c r="D1932" s="149"/>
      <c r="E1932" s="149"/>
      <c r="F1932" s="149"/>
      <c r="G1932" s="149"/>
      <c r="H1932" s="149"/>
      <c r="I1932" s="149"/>
      <c r="J1932" s="149"/>
      <c r="K1932" s="149"/>
      <c r="L1932" s="149"/>
      <c r="M1932" s="149"/>
      <c r="N1932" s="149"/>
      <c r="O1932" s="149"/>
      <c r="P1932" s="149"/>
      <c r="Q1932" s="149"/>
      <c r="R1932" s="149"/>
      <c r="S1932" s="149"/>
      <c r="T1932" s="149"/>
      <c r="U1932" s="149"/>
      <c r="V1932" s="149"/>
      <c r="W1932" s="149"/>
      <c r="X1932" s="149"/>
      <c r="Y1932" s="149"/>
      <c r="Z1932" s="149"/>
      <c r="AA1932" s="149"/>
      <c r="AB1932" s="149"/>
      <c r="AC1932" s="149"/>
      <c r="AD1932" s="149"/>
      <c r="AE1932" s="149"/>
      <c r="AF1932" s="149"/>
      <c r="AG1932" s="149"/>
      <c r="AH1932" s="149"/>
      <c r="AI1932" s="149"/>
      <c r="AJ1932" s="149"/>
      <c r="AK1932" s="149"/>
      <c r="AL1932" s="149"/>
      <c r="AM1932" s="149"/>
      <c r="AN1932" s="149"/>
      <c r="AO1932" s="149"/>
      <c r="AP1932" s="149"/>
    </row>
    <row r="1933" ht="18.75" customHeight="1">
      <c r="A1933" s="149"/>
      <c r="B1933" s="149"/>
      <c r="C1933" s="304"/>
      <c r="D1933" s="149"/>
      <c r="E1933" s="149"/>
      <c r="F1933" s="149"/>
      <c r="G1933" s="149"/>
      <c r="H1933" s="149"/>
      <c r="I1933" s="149"/>
      <c r="J1933" s="149"/>
      <c r="K1933" s="149"/>
      <c r="L1933" s="149"/>
      <c r="M1933" s="149"/>
      <c r="N1933" s="149"/>
      <c r="O1933" s="149"/>
      <c r="P1933" s="149"/>
      <c r="Q1933" s="149"/>
      <c r="R1933" s="149"/>
      <c r="S1933" s="149"/>
      <c r="T1933" s="149"/>
      <c r="U1933" s="149"/>
      <c r="V1933" s="149"/>
      <c r="W1933" s="149"/>
      <c r="X1933" s="149"/>
      <c r="Y1933" s="149"/>
      <c r="Z1933" s="149"/>
      <c r="AA1933" s="149"/>
      <c r="AB1933" s="149"/>
      <c r="AC1933" s="149"/>
      <c r="AD1933" s="149"/>
      <c r="AE1933" s="149"/>
      <c r="AF1933" s="149"/>
      <c r="AG1933" s="149"/>
      <c r="AH1933" s="149"/>
      <c r="AI1933" s="149"/>
      <c r="AJ1933" s="149"/>
      <c r="AK1933" s="149"/>
      <c r="AL1933" s="149"/>
      <c r="AM1933" s="149"/>
      <c r="AN1933" s="149"/>
      <c r="AO1933" s="149"/>
      <c r="AP1933" s="149"/>
    </row>
    <row r="1934" ht="18.75" customHeight="1">
      <c r="A1934" s="149"/>
      <c r="B1934" s="149"/>
      <c r="C1934" s="304"/>
      <c r="D1934" s="149"/>
      <c r="E1934" s="149"/>
      <c r="F1934" s="149"/>
      <c r="G1934" s="149"/>
      <c r="H1934" s="149"/>
      <c r="I1934" s="149"/>
      <c r="J1934" s="149"/>
      <c r="K1934" s="149"/>
      <c r="L1934" s="149"/>
      <c r="M1934" s="149"/>
      <c r="N1934" s="149"/>
      <c r="O1934" s="149"/>
      <c r="P1934" s="149"/>
      <c r="Q1934" s="149"/>
      <c r="R1934" s="149"/>
      <c r="S1934" s="149"/>
      <c r="T1934" s="149"/>
      <c r="U1934" s="149"/>
      <c r="V1934" s="149"/>
      <c r="W1934" s="149"/>
      <c r="X1934" s="149"/>
      <c r="Y1934" s="149"/>
      <c r="Z1934" s="149"/>
      <c r="AA1934" s="149"/>
      <c r="AB1934" s="149"/>
      <c r="AC1934" s="149"/>
      <c r="AD1934" s="149"/>
      <c r="AE1934" s="149"/>
      <c r="AF1934" s="149"/>
      <c r="AG1934" s="149"/>
      <c r="AH1934" s="149"/>
      <c r="AI1934" s="149"/>
      <c r="AJ1934" s="149"/>
      <c r="AK1934" s="149"/>
      <c r="AL1934" s="149"/>
      <c r="AM1934" s="149"/>
      <c r="AN1934" s="149"/>
      <c r="AO1934" s="149"/>
      <c r="AP1934" s="149"/>
    </row>
    <row r="1935" ht="18.75" customHeight="1">
      <c r="A1935" s="149"/>
      <c r="B1935" s="149"/>
      <c r="C1935" s="304"/>
      <c r="D1935" s="149"/>
      <c r="E1935" s="149"/>
      <c r="F1935" s="149"/>
      <c r="G1935" s="149"/>
      <c r="H1935" s="149"/>
      <c r="I1935" s="149"/>
      <c r="J1935" s="149"/>
      <c r="K1935" s="149"/>
      <c r="L1935" s="149"/>
      <c r="M1935" s="149"/>
      <c r="N1935" s="149"/>
      <c r="O1935" s="149"/>
      <c r="P1935" s="149"/>
      <c r="Q1935" s="149"/>
      <c r="R1935" s="149"/>
      <c r="S1935" s="149"/>
      <c r="T1935" s="149"/>
      <c r="U1935" s="149"/>
      <c r="V1935" s="149"/>
      <c r="W1935" s="149"/>
      <c r="X1935" s="149"/>
      <c r="Y1935" s="149"/>
      <c r="Z1935" s="149"/>
      <c r="AA1935" s="149"/>
      <c r="AB1935" s="149"/>
      <c r="AC1935" s="149"/>
      <c r="AD1935" s="149"/>
      <c r="AE1935" s="149"/>
      <c r="AF1935" s="149"/>
      <c r="AG1935" s="149"/>
      <c r="AH1935" s="149"/>
      <c r="AI1935" s="149"/>
      <c r="AJ1935" s="149"/>
      <c r="AK1935" s="149"/>
      <c r="AL1935" s="149"/>
      <c r="AM1935" s="149"/>
      <c r="AN1935" s="149"/>
      <c r="AO1935" s="149"/>
      <c r="AP1935" s="149"/>
    </row>
    <row r="1936" ht="18.75" customHeight="1">
      <c r="A1936" s="149"/>
      <c r="B1936" s="149"/>
      <c r="C1936" s="304"/>
      <c r="D1936" s="149"/>
      <c r="E1936" s="149"/>
      <c r="F1936" s="149"/>
      <c r="G1936" s="149"/>
      <c r="H1936" s="149"/>
      <c r="I1936" s="149"/>
      <c r="J1936" s="149"/>
      <c r="K1936" s="149"/>
      <c r="L1936" s="149"/>
      <c r="M1936" s="149"/>
      <c r="N1936" s="149"/>
      <c r="O1936" s="149"/>
      <c r="P1936" s="149"/>
      <c r="Q1936" s="149"/>
      <c r="R1936" s="149"/>
      <c r="S1936" s="149"/>
      <c r="T1936" s="149"/>
      <c r="U1936" s="149"/>
      <c r="V1936" s="149"/>
      <c r="W1936" s="149"/>
      <c r="X1936" s="149"/>
      <c r="Y1936" s="149"/>
      <c r="Z1936" s="149"/>
      <c r="AA1936" s="149"/>
      <c r="AB1936" s="149"/>
      <c r="AC1936" s="149"/>
      <c r="AD1936" s="149"/>
      <c r="AE1936" s="149"/>
      <c r="AF1936" s="149"/>
      <c r="AG1936" s="149"/>
      <c r="AH1936" s="149"/>
      <c r="AI1936" s="149"/>
      <c r="AJ1936" s="149"/>
      <c r="AK1936" s="149"/>
      <c r="AL1936" s="149"/>
      <c r="AM1936" s="149"/>
      <c r="AN1936" s="149"/>
      <c r="AO1936" s="149"/>
      <c r="AP1936" s="149"/>
    </row>
    <row r="1937" ht="18.75" customHeight="1">
      <c r="A1937" s="149"/>
      <c r="B1937" s="149"/>
      <c r="C1937" s="304"/>
      <c r="D1937" s="149"/>
      <c r="E1937" s="149"/>
      <c r="F1937" s="149"/>
      <c r="G1937" s="149"/>
      <c r="H1937" s="149"/>
      <c r="I1937" s="149"/>
      <c r="J1937" s="149"/>
      <c r="K1937" s="149"/>
      <c r="L1937" s="149"/>
      <c r="M1937" s="149"/>
      <c r="N1937" s="149"/>
      <c r="O1937" s="149"/>
      <c r="P1937" s="149"/>
      <c r="Q1937" s="149"/>
      <c r="R1937" s="149"/>
      <c r="S1937" s="149"/>
      <c r="T1937" s="149"/>
      <c r="U1937" s="149"/>
      <c r="V1937" s="149"/>
      <c r="W1937" s="149"/>
      <c r="X1937" s="149"/>
      <c r="Y1937" s="149"/>
      <c r="Z1937" s="149"/>
      <c r="AA1937" s="149"/>
      <c r="AB1937" s="149"/>
      <c r="AC1937" s="149"/>
      <c r="AD1937" s="149"/>
      <c r="AE1937" s="149"/>
      <c r="AF1937" s="149"/>
      <c r="AG1937" s="149"/>
      <c r="AH1937" s="149"/>
      <c r="AI1937" s="149"/>
      <c r="AJ1937" s="149"/>
      <c r="AK1937" s="149"/>
      <c r="AL1937" s="149"/>
      <c r="AM1937" s="149"/>
      <c r="AN1937" s="149"/>
      <c r="AO1937" s="149"/>
      <c r="AP1937" s="149"/>
    </row>
    <row r="1938" ht="18.75" customHeight="1">
      <c r="A1938" s="149"/>
      <c r="B1938" s="149"/>
      <c r="C1938" s="304"/>
      <c r="D1938" s="149"/>
      <c r="E1938" s="149"/>
      <c r="F1938" s="149"/>
      <c r="G1938" s="149"/>
      <c r="H1938" s="149"/>
      <c r="I1938" s="149"/>
      <c r="J1938" s="149"/>
      <c r="K1938" s="149"/>
      <c r="L1938" s="149"/>
      <c r="M1938" s="149"/>
      <c r="N1938" s="149"/>
      <c r="O1938" s="149"/>
      <c r="P1938" s="149"/>
      <c r="Q1938" s="149"/>
      <c r="R1938" s="149"/>
      <c r="S1938" s="149"/>
      <c r="T1938" s="149"/>
      <c r="U1938" s="149"/>
      <c r="V1938" s="149"/>
      <c r="W1938" s="149"/>
      <c r="X1938" s="149"/>
      <c r="Y1938" s="149"/>
      <c r="Z1938" s="149"/>
      <c r="AA1938" s="149"/>
      <c r="AB1938" s="149"/>
      <c r="AC1938" s="149"/>
      <c r="AD1938" s="149"/>
      <c r="AE1938" s="149"/>
      <c r="AF1938" s="149"/>
      <c r="AG1938" s="149"/>
      <c r="AH1938" s="149"/>
      <c r="AI1938" s="149"/>
      <c r="AJ1938" s="149"/>
      <c r="AK1938" s="149"/>
      <c r="AL1938" s="149"/>
      <c r="AM1938" s="149"/>
      <c r="AN1938" s="149"/>
      <c r="AO1938" s="149"/>
      <c r="AP1938" s="149"/>
    </row>
    <row r="1939" ht="18.75" customHeight="1">
      <c r="A1939" s="149"/>
      <c r="B1939" s="149"/>
      <c r="C1939" s="304"/>
      <c r="D1939" s="149"/>
      <c r="E1939" s="149"/>
      <c r="F1939" s="149"/>
      <c r="G1939" s="149"/>
      <c r="H1939" s="149"/>
      <c r="I1939" s="149"/>
      <c r="J1939" s="149"/>
      <c r="K1939" s="149"/>
      <c r="L1939" s="149"/>
      <c r="M1939" s="149"/>
      <c r="N1939" s="149"/>
      <c r="O1939" s="149"/>
      <c r="P1939" s="149"/>
      <c r="Q1939" s="149"/>
      <c r="R1939" s="149"/>
      <c r="S1939" s="149"/>
      <c r="T1939" s="149"/>
      <c r="U1939" s="149"/>
      <c r="V1939" s="149"/>
      <c r="W1939" s="149"/>
      <c r="X1939" s="149"/>
      <c r="Y1939" s="149"/>
      <c r="Z1939" s="149"/>
      <c r="AA1939" s="149"/>
      <c r="AB1939" s="149"/>
      <c r="AC1939" s="149"/>
      <c r="AD1939" s="149"/>
      <c r="AE1939" s="149"/>
      <c r="AF1939" s="149"/>
      <c r="AG1939" s="149"/>
      <c r="AH1939" s="149"/>
      <c r="AI1939" s="149"/>
      <c r="AJ1939" s="149"/>
      <c r="AK1939" s="149"/>
      <c r="AL1939" s="149"/>
      <c r="AM1939" s="149"/>
      <c r="AN1939" s="149"/>
      <c r="AO1939" s="149"/>
      <c r="AP1939" s="149"/>
    </row>
    <row r="1940" ht="18.75" customHeight="1">
      <c r="A1940" s="149"/>
      <c r="B1940" s="149"/>
      <c r="C1940" s="304"/>
      <c r="D1940" s="149"/>
      <c r="E1940" s="149"/>
      <c r="F1940" s="149"/>
      <c r="G1940" s="149"/>
      <c r="H1940" s="149"/>
      <c r="I1940" s="149"/>
      <c r="J1940" s="149"/>
      <c r="K1940" s="149"/>
      <c r="L1940" s="149"/>
      <c r="M1940" s="149"/>
      <c r="N1940" s="149"/>
      <c r="O1940" s="149"/>
      <c r="P1940" s="149"/>
      <c r="Q1940" s="149"/>
      <c r="R1940" s="149"/>
      <c r="S1940" s="149"/>
      <c r="T1940" s="149"/>
      <c r="U1940" s="149"/>
      <c r="V1940" s="149"/>
      <c r="W1940" s="149"/>
      <c r="X1940" s="149"/>
      <c r="Y1940" s="149"/>
      <c r="Z1940" s="149"/>
      <c r="AA1940" s="149"/>
      <c r="AB1940" s="149"/>
      <c r="AC1940" s="149"/>
      <c r="AD1940" s="149"/>
      <c r="AE1940" s="149"/>
      <c r="AF1940" s="149"/>
      <c r="AG1940" s="149"/>
      <c r="AH1940" s="149"/>
      <c r="AI1940" s="149"/>
      <c r="AJ1940" s="149"/>
      <c r="AK1940" s="149"/>
      <c r="AL1940" s="149"/>
      <c r="AM1940" s="149"/>
      <c r="AN1940" s="149"/>
      <c r="AO1940" s="149"/>
      <c r="AP1940" s="149"/>
    </row>
    <row r="1941" ht="18.75" customHeight="1">
      <c r="A1941" s="149"/>
      <c r="B1941" s="149"/>
      <c r="C1941" s="304"/>
      <c r="D1941" s="149"/>
      <c r="E1941" s="149"/>
      <c r="F1941" s="149"/>
      <c r="G1941" s="149"/>
      <c r="H1941" s="149"/>
      <c r="I1941" s="149"/>
      <c r="J1941" s="149"/>
      <c r="K1941" s="149"/>
      <c r="L1941" s="149"/>
      <c r="M1941" s="149"/>
      <c r="N1941" s="149"/>
      <c r="O1941" s="149"/>
      <c r="P1941" s="149"/>
      <c r="Q1941" s="149"/>
      <c r="R1941" s="149"/>
      <c r="S1941" s="149"/>
      <c r="T1941" s="149"/>
      <c r="U1941" s="149"/>
      <c r="V1941" s="149"/>
      <c r="W1941" s="149"/>
      <c r="X1941" s="149"/>
      <c r="Y1941" s="149"/>
      <c r="Z1941" s="149"/>
      <c r="AA1941" s="149"/>
      <c r="AB1941" s="149"/>
      <c r="AC1941" s="149"/>
      <c r="AD1941" s="149"/>
      <c r="AE1941" s="149"/>
      <c r="AF1941" s="149"/>
      <c r="AG1941" s="149"/>
      <c r="AH1941" s="149"/>
      <c r="AI1941" s="149"/>
      <c r="AJ1941" s="149"/>
      <c r="AK1941" s="149"/>
      <c r="AL1941" s="149"/>
      <c r="AM1941" s="149"/>
      <c r="AN1941" s="149"/>
      <c r="AO1941" s="149"/>
      <c r="AP1941" s="149"/>
    </row>
    <row r="1942" ht="18.75" customHeight="1">
      <c r="A1942" s="149"/>
      <c r="B1942" s="149"/>
      <c r="C1942" s="304"/>
      <c r="D1942" s="149"/>
      <c r="E1942" s="149"/>
      <c r="F1942" s="149"/>
      <c r="G1942" s="149"/>
      <c r="H1942" s="149"/>
      <c r="I1942" s="149"/>
      <c r="J1942" s="149"/>
      <c r="K1942" s="149"/>
      <c r="L1942" s="149"/>
      <c r="M1942" s="149"/>
      <c r="N1942" s="149"/>
      <c r="O1942" s="149"/>
      <c r="P1942" s="149"/>
      <c r="Q1942" s="149"/>
      <c r="R1942" s="149"/>
      <c r="S1942" s="149"/>
      <c r="T1942" s="149"/>
      <c r="U1942" s="149"/>
      <c r="V1942" s="149"/>
      <c r="W1942" s="149"/>
      <c r="X1942" s="149"/>
      <c r="Y1942" s="149"/>
      <c r="Z1942" s="149"/>
      <c r="AA1942" s="149"/>
      <c r="AB1942" s="149"/>
      <c r="AC1942" s="149"/>
      <c r="AD1942" s="149"/>
      <c r="AE1942" s="149"/>
      <c r="AF1942" s="149"/>
      <c r="AG1942" s="149"/>
      <c r="AH1942" s="149"/>
      <c r="AI1942" s="149"/>
      <c r="AJ1942" s="149"/>
      <c r="AK1942" s="149"/>
      <c r="AL1942" s="149"/>
      <c r="AM1942" s="149"/>
      <c r="AN1942" s="149"/>
      <c r="AO1942" s="149"/>
      <c r="AP1942" s="149"/>
    </row>
    <row r="1943" ht="18.75" customHeight="1">
      <c r="A1943" s="149"/>
      <c r="B1943" s="149"/>
      <c r="C1943" s="304"/>
      <c r="D1943" s="149"/>
      <c r="E1943" s="149"/>
      <c r="F1943" s="149"/>
      <c r="G1943" s="149"/>
      <c r="H1943" s="149"/>
      <c r="I1943" s="149"/>
      <c r="J1943" s="149"/>
      <c r="K1943" s="149"/>
      <c r="L1943" s="149"/>
      <c r="M1943" s="149"/>
      <c r="N1943" s="149"/>
      <c r="O1943" s="149"/>
      <c r="P1943" s="149"/>
      <c r="Q1943" s="149"/>
      <c r="R1943" s="149"/>
      <c r="S1943" s="149"/>
      <c r="T1943" s="149"/>
      <c r="U1943" s="149"/>
      <c r="V1943" s="149"/>
      <c r="W1943" s="149"/>
      <c r="X1943" s="149"/>
      <c r="Y1943" s="149"/>
      <c r="Z1943" s="149"/>
      <c r="AA1943" s="149"/>
      <c r="AB1943" s="149"/>
      <c r="AC1943" s="149"/>
      <c r="AD1943" s="149"/>
      <c r="AE1943" s="149"/>
      <c r="AF1943" s="149"/>
      <c r="AG1943" s="149"/>
      <c r="AH1943" s="149"/>
      <c r="AI1943" s="149"/>
      <c r="AJ1943" s="149"/>
      <c r="AK1943" s="149"/>
      <c r="AL1943" s="149"/>
      <c r="AM1943" s="149"/>
      <c r="AN1943" s="149"/>
      <c r="AO1943" s="149"/>
      <c r="AP1943" s="149"/>
    </row>
    <row r="1944" ht="18.75" customHeight="1">
      <c r="A1944" s="149"/>
      <c r="B1944" s="149"/>
      <c r="C1944" s="304"/>
      <c r="D1944" s="149"/>
      <c r="E1944" s="149"/>
      <c r="F1944" s="149"/>
      <c r="G1944" s="149"/>
      <c r="H1944" s="149"/>
      <c r="I1944" s="149"/>
      <c r="J1944" s="149"/>
      <c r="K1944" s="149"/>
      <c r="L1944" s="149"/>
      <c r="M1944" s="149"/>
      <c r="N1944" s="149"/>
      <c r="O1944" s="149"/>
      <c r="P1944" s="149"/>
      <c r="Q1944" s="149"/>
      <c r="R1944" s="149"/>
      <c r="S1944" s="149"/>
      <c r="T1944" s="149"/>
      <c r="U1944" s="149"/>
      <c r="V1944" s="149"/>
      <c r="W1944" s="149"/>
      <c r="X1944" s="149"/>
      <c r="Y1944" s="149"/>
      <c r="Z1944" s="149"/>
      <c r="AA1944" s="149"/>
      <c r="AB1944" s="149"/>
      <c r="AC1944" s="149"/>
      <c r="AD1944" s="149"/>
      <c r="AE1944" s="149"/>
      <c r="AF1944" s="149"/>
      <c r="AG1944" s="149"/>
      <c r="AH1944" s="149"/>
      <c r="AI1944" s="149"/>
      <c r="AJ1944" s="149"/>
      <c r="AK1944" s="149"/>
      <c r="AL1944" s="149"/>
      <c r="AM1944" s="149"/>
      <c r="AN1944" s="149"/>
      <c r="AO1944" s="149"/>
      <c r="AP1944" s="149"/>
    </row>
    <row r="1945" ht="18.75" customHeight="1">
      <c r="A1945" s="149"/>
      <c r="B1945" s="149"/>
      <c r="C1945" s="304"/>
      <c r="D1945" s="149"/>
      <c r="E1945" s="149"/>
      <c r="F1945" s="149"/>
      <c r="G1945" s="149"/>
      <c r="H1945" s="149"/>
      <c r="I1945" s="149"/>
      <c r="J1945" s="149"/>
      <c r="K1945" s="149"/>
      <c r="L1945" s="149"/>
      <c r="M1945" s="149"/>
      <c r="N1945" s="149"/>
      <c r="O1945" s="149"/>
      <c r="P1945" s="149"/>
      <c r="Q1945" s="149"/>
      <c r="R1945" s="149"/>
      <c r="S1945" s="149"/>
      <c r="T1945" s="149"/>
      <c r="U1945" s="149"/>
      <c r="V1945" s="149"/>
      <c r="W1945" s="149"/>
      <c r="X1945" s="149"/>
      <c r="Y1945" s="149"/>
      <c r="Z1945" s="149"/>
      <c r="AA1945" s="149"/>
      <c r="AB1945" s="149"/>
      <c r="AC1945" s="149"/>
      <c r="AD1945" s="149"/>
      <c r="AE1945" s="149"/>
      <c r="AF1945" s="149"/>
      <c r="AG1945" s="149"/>
      <c r="AH1945" s="149"/>
      <c r="AI1945" s="149"/>
      <c r="AJ1945" s="149"/>
      <c r="AK1945" s="149"/>
      <c r="AL1945" s="149"/>
      <c r="AM1945" s="149"/>
      <c r="AN1945" s="149"/>
      <c r="AO1945" s="149"/>
      <c r="AP1945" s="149"/>
    </row>
    <row r="1946" ht="18.75" customHeight="1">
      <c r="A1946" s="149"/>
      <c r="B1946" s="149"/>
      <c r="C1946" s="304"/>
      <c r="D1946" s="149"/>
      <c r="E1946" s="149"/>
      <c r="F1946" s="149"/>
      <c r="G1946" s="149"/>
      <c r="H1946" s="149"/>
      <c r="I1946" s="149"/>
      <c r="J1946" s="149"/>
      <c r="K1946" s="149"/>
      <c r="L1946" s="149"/>
      <c r="M1946" s="149"/>
      <c r="N1946" s="149"/>
      <c r="O1946" s="149"/>
      <c r="P1946" s="149"/>
      <c r="Q1946" s="149"/>
      <c r="R1946" s="149"/>
      <c r="S1946" s="149"/>
      <c r="T1946" s="149"/>
      <c r="U1946" s="149"/>
      <c r="V1946" s="149"/>
      <c r="W1946" s="149"/>
      <c r="X1946" s="149"/>
      <c r="Y1946" s="149"/>
      <c r="Z1946" s="149"/>
      <c r="AA1946" s="149"/>
      <c r="AB1946" s="149"/>
      <c r="AC1946" s="149"/>
      <c r="AD1946" s="149"/>
      <c r="AE1946" s="149"/>
      <c r="AF1946" s="149"/>
      <c r="AG1946" s="149"/>
      <c r="AH1946" s="149"/>
      <c r="AI1946" s="149"/>
      <c r="AJ1946" s="149"/>
      <c r="AK1946" s="149"/>
      <c r="AL1946" s="149"/>
      <c r="AM1946" s="149"/>
      <c r="AN1946" s="149"/>
      <c r="AO1946" s="149"/>
      <c r="AP1946" s="149"/>
    </row>
    <row r="1947" ht="18.75" customHeight="1">
      <c r="A1947" s="149"/>
      <c r="B1947" s="149"/>
      <c r="C1947" s="304"/>
      <c r="D1947" s="149"/>
      <c r="E1947" s="149"/>
      <c r="F1947" s="149"/>
      <c r="G1947" s="149"/>
      <c r="H1947" s="149"/>
      <c r="I1947" s="149"/>
      <c r="J1947" s="149"/>
      <c r="K1947" s="149"/>
      <c r="L1947" s="149"/>
      <c r="M1947" s="149"/>
      <c r="N1947" s="149"/>
      <c r="O1947" s="149"/>
      <c r="P1947" s="149"/>
      <c r="Q1947" s="149"/>
      <c r="R1947" s="149"/>
      <c r="S1947" s="149"/>
      <c r="T1947" s="149"/>
      <c r="U1947" s="149"/>
      <c r="V1947" s="149"/>
      <c r="W1947" s="149"/>
      <c r="X1947" s="149"/>
      <c r="Y1947" s="149"/>
      <c r="Z1947" s="149"/>
      <c r="AA1947" s="149"/>
      <c r="AB1947" s="149"/>
      <c r="AC1947" s="149"/>
      <c r="AD1947" s="149"/>
      <c r="AE1947" s="149"/>
      <c r="AF1947" s="149"/>
      <c r="AG1947" s="149"/>
      <c r="AH1947" s="149"/>
      <c r="AI1947" s="149"/>
      <c r="AJ1947" s="149"/>
      <c r="AK1947" s="149"/>
      <c r="AL1947" s="149"/>
      <c r="AM1947" s="149"/>
      <c r="AN1947" s="149"/>
      <c r="AO1947" s="149"/>
      <c r="AP1947" s="149"/>
    </row>
  </sheetData>
  <customSheetViews>
    <customSheetView guid="{F9FB2EFA-76B7-4C7A-9EDC-542652D89E08}" filter="1" showAutoFilter="1">
      <autoFilter ref="$A$1:$W$850">
        <filterColumn colId="7">
          <filters>
            <filter val="Part-Time Internships"/>
            <filter val="Recruiting Platform Costs/Funding - Infrastructure"/>
            <filter val="Clinical Intern"/>
            <filter val="College to County Intern"/>
          </filters>
        </filterColumn>
        <filterColumn colId="0">
          <filters>
            <filter val="CANCELLED"/>
            <filter val="Pending QM Approval"/>
            <filter val="Denied"/>
            <filter val="Approved"/>
            <filter val="HOLD"/>
          </filters>
        </filterColumn>
      </autoFilter>
    </customSheetView>
    <customSheetView guid="{B4A65218-A55F-4A0B-AC2E-C1FCB425E57B}" filter="1" showAutoFilter="1">
      <autoFilter ref="$A$1:$W$850">
        <filterColumn colId="7">
          <filters>
            <filter val="Staff Training Subsidies (Training, CEU, Conferences, Retreats)"/>
            <filter val="General Training/Conference/Certificate Program"/>
            <filter val="General Training/Conference"/>
            <filter val="Training or Conference for any CEUs required for any position in BHD"/>
            <filter val="Staff Training Subsidies (Training, CEU, Books, Conferences, Retreats)"/>
            <filter val="Recruiting Platform Costs/Funding - Infrastructure"/>
            <filter val="Culturally Specific Training or Conference"/>
            <filter val="Culturally Specific/Equity Specific Training, CEUs or Conferences"/>
            <filter val="Staff Retreat"/>
          </filters>
        </filterColumn>
        <filterColumn colId="0">
          <filters>
            <filter val="CANCELLED"/>
            <filter val="Approved"/>
          </filters>
        </filterColumn>
        <filterColumn colId="13">
          <filters blank="1">
            <filter val="Regular Represented"/>
            <filter val="Union Staff/Represented Staff"/>
          </filters>
        </filterColumn>
      </autoFilter>
    </customSheetView>
    <customSheetView guid="{8F843500-1080-4E9E-B709-740A31FE7148}" filter="1" showAutoFilter="1">
      <autoFilter ref="$H$1:$H$947">
        <filterColumn colId="0">
          <filters>
            <filter val="Payment for CEUs - Clinical Supervision"/>
            <filter val="Payment for CEUs to become a Clinical Supervisor"/>
            <filter val="Payment for external Clinical Supervisor Sessions"/>
            <filter val="Recruiting Platform Costs/Funding - BH Sup/Manager"/>
            <filter val="Recruiting Platform Costs/Funding - Infrastructure"/>
            <filter val="Payment/reimbursement for CEUs to become a Clinical Supervisor"/>
            <filter val="Recruiting Platform Costs/Funding - Provider"/>
            <filter val="5% Lead Pay to provide Clinical Supervision"/>
            <filter val="Recruiting Platform Costs/Funding - infrastructure"/>
            <filter val="Clinical Supervision (Training or Payment for Supervision)"/>
          </filters>
        </filterColumn>
      </autoFilter>
    </customSheetView>
    <customSheetView guid="{8832D4C9-7D16-4C33-AB9A-815EA6A77A2C}" filter="1" showAutoFilter="1">
      <autoFilter ref="$A$1:$X$850">
        <filterColumn colId="7">
          <filters>
            <filter val="Part-Time Internships"/>
            <filter val="Recruiting Platform Costs/Funding - Infrastructure"/>
          </filters>
        </filterColumn>
      </autoFilter>
    </customSheetView>
    <customSheetView guid="{A93F8831-129F-46AD-9FCB-5A095467D80D}" filter="1" showAutoFilter="1">
      <autoFilter ref="$A$1:$X$850">
        <filterColumn colId="0">
          <filters>
            <filter val="HOLD"/>
          </filters>
        </filterColumn>
      </autoFilter>
    </customSheetView>
    <customSheetView guid="{EC4C39CA-1C67-4ED0-A039-4B3BCFAECB4E}" filter="1" showAutoFilter="1">
      <autoFilter ref="$C$1:$C$1947">
        <filterColumn colId="0">
          <filters>
            <filter val="sara.ashback@multco.us"/>
            <filter val="hailey.chamberlain@multco.us"/>
            <filter val="jen.rankin@multco.us"/>
            <filter val="james.r.dixon@multco.us"/>
            <filter val="maria.robles@multco.us"/>
            <filter val="markayla.shattuck@multco.us"/>
            <filter val="scott.vu@multco.us"/>
            <filter val="mario.cardenas@multco.us"/>
            <filter val="nathaniel.lopez@multco.us"/>
          </filters>
        </filterColumn>
      </autoFilter>
    </customSheetView>
    <customSheetView guid="{477118C7-6748-4281-843E-499925D6E6E6}" filter="1" showAutoFilter="1">
      <autoFilter ref="$H$1:$H$1947">
        <filterColumn colId="0">
          <filters>
            <filter val="Recruiting Platform Costs/Funding - BH Sup/Manager"/>
            <filter val="Recruiting Platform Costs/Funding - Infrastructure"/>
            <filter val="Recruiting Platform Costs/Funding - Provider"/>
            <filter val="Recruiting Platform Costs/Funding - infrastructure"/>
            <filter val="Recruiting Platform Costs/Funding"/>
          </filters>
        </filterColumn>
      </autoFilter>
    </customSheetView>
    <customSheetView guid="{5CC34CC7-1557-46D9-BC6E-10ADD13FE040}" filter="1" showAutoFilter="1">
      <autoFilter ref="$A$1:$W$850"/>
    </customSheetView>
  </customSheetViews>
  <conditionalFormatting sqref="A1:A1947">
    <cfRule type="notContainsBlanks" dxfId="0" priority="1">
      <formula>LEN(TRIM(A1))&gt;0</formula>
    </cfRule>
  </conditionalFormatting>
  <dataValidations>
    <dataValidation type="list" allowBlank="1" showErrorMessage="1" sqref="A686">
      <formula1>"Approved,Denied,Pending Program Supervisor Approval,Pending QM Approval,Pending Director's Office Approval,Staff Cancellation,HOLD,CANCELLED"</formula1>
    </dataValidation>
    <dataValidation type="list" allowBlank="1" showErrorMessage="1" sqref="A2:A94 A96:A685 A687:A1947">
      <formula1>"Approved,Denied,Pending Program Supervisor Approval,Pending QM Approval,Pending Director's Office Approval,Staff Cancellation,HOLD"</formula1>
    </dataValidation>
    <dataValidation type="list" allowBlank="1" showErrorMessage="1" sqref="AN2:AN1947">
      <formula1>"Yes,No,?,Partial,Intern,Admin - Recruiting"</formula1>
    </dataValidation>
  </dataValidations>
  <hyperlinks>
    <hyperlink r:id="rId2" ref="L6"/>
    <hyperlink r:id="rId3" ref="K7"/>
    <hyperlink r:id="rId4" ref="K8"/>
    <hyperlink r:id="rId5" ref="L10"/>
    <hyperlink r:id="rId6" ref="K12"/>
    <hyperlink r:id="rId7" ref="K13"/>
    <hyperlink r:id="rId8" ref="L14"/>
    <hyperlink r:id="rId9" ref="K18"/>
    <hyperlink r:id="rId10" ref="L18"/>
    <hyperlink r:id="rId11" ref="K20"/>
    <hyperlink r:id="rId12" ref="K21"/>
    <hyperlink r:id="rId13" ref="K22"/>
    <hyperlink r:id="rId14" ref="K24"/>
    <hyperlink r:id="rId15" ref="K26"/>
    <hyperlink r:id="rId16" ref="K28"/>
    <hyperlink r:id="rId17" ref="K31"/>
    <hyperlink r:id="rId18" ref="K32"/>
    <hyperlink r:id="rId19" ref="L33"/>
    <hyperlink r:id="rId20" ref="K34"/>
    <hyperlink r:id="rId21" ref="K36"/>
    <hyperlink r:id="rId22" ref="L37"/>
    <hyperlink r:id="rId23" ref="K39"/>
    <hyperlink r:id="rId24" ref="L40"/>
    <hyperlink r:id="rId25" ref="K41"/>
    <hyperlink r:id="rId26" ref="K42"/>
    <hyperlink r:id="rId27" ref="K43"/>
    <hyperlink r:id="rId28" ref="L44"/>
    <hyperlink r:id="rId29" ref="L45"/>
    <hyperlink r:id="rId30" ref="L46"/>
    <hyperlink r:id="rId31" ref="L47"/>
    <hyperlink r:id="rId32" ref="K49"/>
    <hyperlink r:id="rId33" ref="K53"/>
    <hyperlink r:id="rId34" ref="K54"/>
    <hyperlink r:id="rId35" ref="L55"/>
    <hyperlink r:id="rId36" ref="K56"/>
    <hyperlink r:id="rId37" ref="K60"/>
    <hyperlink r:id="rId38" ref="K61"/>
    <hyperlink r:id="rId39" ref="K62"/>
    <hyperlink r:id="rId40" ref="L63"/>
    <hyperlink r:id="rId41" ref="K69"/>
    <hyperlink r:id="rId42" ref="L74"/>
    <hyperlink r:id="rId43" ref="K76"/>
    <hyperlink r:id="rId44" ref="K77"/>
    <hyperlink r:id="rId45" ref="K79"/>
    <hyperlink r:id="rId46" ref="L80"/>
    <hyperlink r:id="rId47" ref="K83"/>
    <hyperlink r:id="rId48" ref="K84"/>
    <hyperlink r:id="rId49" ref="K85"/>
    <hyperlink r:id="rId50" ref="I87"/>
    <hyperlink r:id="rId51" ref="L87"/>
    <hyperlink r:id="rId52" ref="K88"/>
    <hyperlink r:id="rId53" ref="K89"/>
    <hyperlink r:id="rId54" ref="L89"/>
    <hyperlink r:id="rId55" ref="L90"/>
    <hyperlink r:id="rId56" ref="L91"/>
    <hyperlink r:id="rId57" ref="K93"/>
    <hyperlink r:id="rId58" ref="K94"/>
    <hyperlink r:id="rId59" ref="L96"/>
    <hyperlink r:id="rId60" location="cta" ref="L97"/>
    <hyperlink r:id="rId61" ref="L100"/>
    <hyperlink r:id="rId62" ref="K102"/>
    <hyperlink r:id="rId63" ref="L105"/>
    <hyperlink r:id="rId64" ref="K108"/>
    <hyperlink r:id="rId65" ref="L108"/>
    <hyperlink r:id="rId66" ref="K109"/>
    <hyperlink r:id="rId67" ref="L109"/>
    <hyperlink r:id="rId68" ref="K110"/>
    <hyperlink r:id="rId69" ref="L110"/>
    <hyperlink r:id="rId70" ref="K113"/>
    <hyperlink r:id="rId71" ref="L116"/>
    <hyperlink r:id="rId72" ref="K117"/>
    <hyperlink r:id="rId73" ref="K119"/>
    <hyperlink r:id="rId74" ref="L122"/>
    <hyperlink r:id="rId75" ref="K124"/>
    <hyperlink r:id="rId76" ref="L127"/>
    <hyperlink r:id="rId77" ref="K128"/>
    <hyperlink r:id="rId78" ref="L130"/>
    <hyperlink r:id="rId79" ref="K132"/>
    <hyperlink r:id="rId80" ref="L132"/>
    <hyperlink r:id="rId81" ref="L134"/>
    <hyperlink r:id="rId82" ref="K135"/>
    <hyperlink r:id="rId83" ref="L135"/>
    <hyperlink r:id="rId84" ref="L136"/>
    <hyperlink r:id="rId85" ref="K139"/>
    <hyperlink r:id="rId86" ref="L140"/>
    <hyperlink r:id="rId87" ref="L143"/>
    <hyperlink r:id="rId88" ref="L144"/>
    <hyperlink r:id="rId89" ref="K147"/>
    <hyperlink r:id="rId90" ref="K150"/>
    <hyperlink r:id="rId91" ref="L151"/>
    <hyperlink r:id="rId92" ref="K153"/>
    <hyperlink r:id="rId93" ref="L153"/>
    <hyperlink r:id="rId94" location="anchor-training-info" ref="L156"/>
    <hyperlink r:id="rId95" ref="K158"/>
    <hyperlink r:id="rId96" location="hotelTmpl" ref="I164"/>
    <hyperlink r:id="rId97" ref="L164"/>
    <hyperlink r:id="rId98" location="hotelTmpl" ref="I165"/>
    <hyperlink r:id="rId99" location="hotelTmpl" ref="I166"/>
    <hyperlink r:id="rId100" ref="L167"/>
    <hyperlink r:id="rId101" ref="K168"/>
    <hyperlink r:id="rId102" ref="L169"/>
    <hyperlink r:id="rId103" ref="L170"/>
    <hyperlink r:id="rId104" ref="K171"/>
    <hyperlink r:id="rId105" ref="L173"/>
    <hyperlink r:id="rId106" ref="K174"/>
    <hyperlink r:id="rId107" ref="K175"/>
    <hyperlink r:id="rId108" ref="K176"/>
    <hyperlink r:id="rId109" ref="L176"/>
    <hyperlink r:id="rId110" ref="K180"/>
    <hyperlink r:id="rId111" ref="L183"/>
    <hyperlink r:id="rId112" ref="L184"/>
    <hyperlink r:id="rId113" ref="L187"/>
    <hyperlink r:id="rId114" ref="K188"/>
    <hyperlink r:id="rId115" ref="K190"/>
    <hyperlink r:id="rId116" location="tabCredit" ref="L193"/>
    <hyperlink r:id="rId117" location="tabCredit" ref="L194"/>
    <hyperlink r:id="rId118" location="tabCredit" ref="L195"/>
    <hyperlink r:id="rId119" location="tabCredit" ref="L196"/>
    <hyperlink r:id="rId120" ref="L197"/>
    <hyperlink r:id="rId121" ref="L198"/>
    <hyperlink r:id="rId122" ref="K199"/>
    <hyperlink r:id="rId123" ref="L200"/>
    <hyperlink r:id="rId124" ref="K202"/>
    <hyperlink r:id="rId125" ref="K204"/>
    <hyperlink r:id="rId126" ref="K205"/>
    <hyperlink r:id="rId127" ref="L206"/>
    <hyperlink r:id="rId128" ref="K208"/>
    <hyperlink r:id="rId129" ref="K209"/>
    <hyperlink r:id="rId130" ref="L210"/>
    <hyperlink r:id="rId131" ref="K213"/>
    <hyperlink r:id="rId132" ref="L214"/>
    <hyperlink r:id="rId133" ref="L215"/>
    <hyperlink r:id="rId134" ref="L216"/>
    <hyperlink r:id="rId135" ref="K217"/>
    <hyperlink r:id="rId136" ref="L217"/>
    <hyperlink r:id="rId137" ref="K219"/>
    <hyperlink r:id="rId138" ref="K220"/>
    <hyperlink r:id="rId139" ref="K222"/>
    <hyperlink r:id="rId140" ref="K223"/>
    <hyperlink r:id="rId141" ref="L224"/>
    <hyperlink r:id="rId142" location="advanced-search/from=hilary.gray%40multco.us&amp;subset=all&amp;within=1d&amp;sizeoperator=s_sl&amp;sizeunit=s_smb&amp;query=from%3A(hilary.gray%40multco.us)/WhctKKZWpprTwFQjzDfgNChSnrpcrPrHncSQqTwZpRRNstrwVNCGnQrJjBTXDSHpQlqHBWl?compose=HrrBHlnsJdcrprQFTdwQhzKxHNDjhTCJLgfQRxMBLVlTMMsnCHmMPwTnnpRlNCtTcxGSffsrNSnHXhLdWcjCQsvmfPQtvJqTdTRwWTtpsKQNkBcxB&amp;projector=1&amp;messagePartId=0.1" ref="L225"/>
    <hyperlink r:id="rId143" ref="K226"/>
    <hyperlink r:id="rId144" ref="K227"/>
    <hyperlink r:id="rId145" ref="L230"/>
    <hyperlink r:id="rId146" ref="K231"/>
    <hyperlink r:id="rId147" ref="L232"/>
    <hyperlink r:id="rId148" ref="K236"/>
    <hyperlink r:id="rId149" ref="L239"/>
    <hyperlink r:id="rId150" ref="L241"/>
    <hyperlink r:id="rId151" ref="L242"/>
    <hyperlink r:id="rId152" ref="K244"/>
    <hyperlink r:id="rId153" ref="K246"/>
    <hyperlink r:id="rId154" ref="L249"/>
    <hyperlink r:id="rId155" ref="K256"/>
    <hyperlink r:id="rId156" ref="I257"/>
    <hyperlink r:id="rId157" ref="L257"/>
    <hyperlink r:id="rId158" ref="L258"/>
    <hyperlink r:id="rId159" ref="K259"/>
    <hyperlink r:id="rId160" ref="L261"/>
    <hyperlink r:id="rId161" ref="K262"/>
    <hyperlink r:id="rId162" ref="L262"/>
    <hyperlink r:id="rId163" ref="L264"/>
    <hyperlink r:id="rId164" ref="K265"/>
    <hyperlink r:id="rId165" ref="K266"/>
    <hyperlink r:id="rId166" ref="K267"/>
    <hyperlink r:id="rId167" ref="K269"/>
    <hyperlink r:id="rId168" ref="K270"/>
    <hyperlink r:id="rId169" ref="L271"/>
    <hyperlink r:id="rId170" ref="K272"/>
    <hyperlink r:id="rId171" ref="L274"/>
    <hyperlink r:id="rId172" ref="L275"/>
    <hyperlink r:id="rId173" ref="L276"/>
    <hyperlink r:id="rId174" ref="L280"/>
    <hyperlink r:id="rId175" ref="L281"/>
    <hyperlink r:id="rId176" ref="L283"/>
    <hyperlink r:id="rId177" ref="L285"/>
    <hyperlink r:id="rId178" ref="L286"/>
    <hyperlink r:id="rId179" ref="K287"/>
    <hyperlink r:id="rId180" ref="K288"/>
    <hyperlink r:id="rId181" ref="L288"/>
    <hyperlink r:id="rId182" ref="K289"/>
    <hyperlink r:id="rId183" ref="K290"/>
    <hyperlink r:id="rId184" ref="L290"/>
    <hyperlink r:id="rId185" ref="L291"/>
    <hyperlink r:id="rId186" ref="L292"/>
    <hyperlink r:id="rId187" ref="K293"/>
    <hyperlink r:id="rId188" ref="L293"/>
    <hyperlink r:id="rId189" ref="K294"/>
    <hyperlink r:id="rId190" ref="K295"/>
    <hyperlink r:id="rId191" ref="L295"/>
    <hyperlink r:id="rId192" ref="L296"/>
    <hyperlink r:id="rId193" ref="L297"/>
    <hyperlink r:id="rId194" ref="K298"/>
    <hyperlink r:id="rId195" ref="L299"/>
    <hyperlink r:id="rId196" location="/registration" ref="K301"/>
    <hyperlink r:id="rId197" ref="K303"/>
    <hyperlink r:id="rId198" ref="L304"/>
    <hyperlink r:id="rId199" ref="K308"/>
    <hyperlink r:id="rId200" ref="L308"/>
    <hyperlink r:id="rId201" ref="L310"/>
    <hyperlink r:id="rId202" ref="K311"/>
    <hyperlink r:id="rId203" ref="L313"/>
    <hyperlink r:id="rId204" ref="L315"/>
    <hyperlink r:id="rId205" ref="K316"/>
    <hyperlink r:id="rId206" ref="L317"/>
    <hyperlink r:id="rId207" ref="K318"/>
    <hyperlink r:id="rId208" ref="L323"/>
    <hyperlink r:id="rId209" ref="K325"/>
    <hyperlink r:id="rId210" location="/renewal/66ab9b56bb45a7b771b4dadb/step-payment" ref="L329"/>
    <hyperlink r:id="rId211" ref="L330"/>
    <hyperlink r:id="rId212" ref="L331"/>
    <hyperlink r:id="rId213" ref="K333"/>
    <hyperlink r:id="rId214" ref="L334"/>
    <hyperlink r:id="rId215" ref="K337"/>
    <hyperlink r:id="rId216" ref="L338"/>
    <hyperlink r:id="rId217" ref="K342"/>
    <hyperlink r:id="rId218" ref="L343"/>
    <hyperlink r:id="rId219" ref="K344"/>
    <hyperlink r:id="rId220" ref="L347"/>
    <hyperlink r:id="rId221" ref="K349"/>
    <hyperlink r:id="rId222" ref="K352"/>
    <hyperlink r:id="rId223" ref="K353"/>
    <hyperlink r:id="rId224" ref="L354"/>
    <hyperlink r:id="rId225" ref="K355"/>
    <hyperlink r:id="rId226" ref="K357"/>
    <hyperlink r:id="rId227" location="chat/dm/2jKBdIAAAAE?compose=DmwnWrRlRjGCQpJqMWzLCsrvQlWNjrfFkWWHmzZldmDNKxkfmzHQpVbqVdPBjStlPjrTBBBPZbwG" ref="L360"/>
    <hyperlink r:id="rId228" ref="K361"/>
    <hyperlink r:id="rId229" ref="K362"/>
    <hyperlink r:id="rId230" ref="K363"/>
    <hyperlink r:id="rId231" ref="K364"/>
    <hyperlink r:id="rId232" ref="L366"/>
    <hyperlink r:id="rId233" ref="L367"/>
    <hyperlink r:id="rId234" ref="L368"/>
    <hyperlink r:id="rId235" ref="K370"/>
    <hyperlink r:id="rId236" ref="K374"/>
    <hyperlink r:id="rId237" ref="K375"/>
    <hyperlink r:id="rId238" ref="L376"/>
    <hyperlink r:id="rId239" ref="K377"/>
    <hyperlink r:id="rId240" ref="L377"/>
    <hyperlink r:id="rId241" ref="K378"/>
    <hyperlink r:id="rId242" ref="L379"/>
    <hyperlink r:id="rId243" ref="K380"/>
    <hyperlink r:id="rId244" ref="K381"/>
    <hyperlink r:id="rId245" ref="L382"/>
    <hyperlink r:id="rId246" ref="L387"/>
    <hyperlink r:id="rId247" ref="L389"/>
    <hyperlink r:id="rId248" ref="K393"/>
    <hyperlink r:id="rId249" ref="K395"/>
    <hyperlink r:id="rId250" ref="L398"/>
    <hyperlink r:id="rId251" ref="L407"/>
    <hyperlink r:id="rId252" ref="K408"/>
    <hyperlink r:id="rId253" ref="K410"/>
    <hyperlink r:id="rId254" ref="K411"/>
    <hyperlink r:id="rId255" ref="K412"/>
    <hyperlink r:id="rId256" ref="K413"/>
    <hyperlink r:id="rId257" ref="K414"/>
    <hyperlink r:id="rId258" ref="L415"/>
    <hyperlink r:id="rId259" ref="K418"/>
    <hyperlink r:id="rId260" ref="AK418"/>
    <hyperlink r:id="rId261" ref="K419"/>
    <hyperlink r:id="rId262" ref="K420"/>
    <hyperlink r:id="rId263" ref="L420"/>
    <hyperlink r:id="rId264" ref="K421"/>
    <hyperlink r:id="rId265" ref="L421"/>
    <hyperlink r:id="rId266" ref="K422"/>
    <hyperlink r:id="rId267" ref="K423"/>
    <hyperlink r:id="rId268" ref="L423"/>
    <hyperlink r:id="rId269" ref="L424"/>
    <hyperlink r:id="rId270" ref="L426"/>
    <hyperlink r:id="rId271" ref="K427"/>
    <hyperlink r:id="rId272" ref="L427"/>
    <hyperlink r:id="rId273" ref="K429"/>
    <hyperlink r:id="rId274" ref="L430"/>
    <hyperlink r:id="rId275" ref="K431"/>
    <hyperlink r:id="rId276" ref="L431"/>
    <hyperlink r:id="rId277" ref="K432"/>
    <hyperlink r:id="rId278" ref="K433"/>
    <hyperlink r:id="rId279" ref="K434"/>
    <hyperlink r:id="rId280" ref="L435"/>
    <hyperlink r:id="rId281" ref="L436"/>
    <hyperlink r:id="rId282" ref="K437"/>
    <hyperlink r:id="rId283" ref="L437"/>
    <hyperlink r:id="rId284" ref="L438"/>
    <hyperlink r:id="rId285" ref="K439"/>
    <hyperlink r:id="rId286" ref="L440"/>
    <hyperlink r:id="rId287" ref="K441"/>
    <hyperlink r:id="rId288" ref="K442"/>
    <hyperlink r:id="rId289" ref="L442"/>
    <hyperlink r:id="rId290" ref="L443"/>
    <hyperlink r:id="rId291" ref="K444"/>
    <hyperlink r:id="rId292" ref="K445"/>
    <hyperlink r:id="rId293" ref="L446"/>
    <hyperlink r:id="rId294" ref="L447"/>
    <hyperlink r:id="rId295" ref="K450"/>
    <hyperlink r:id="rId296" ref="L451"/>
    <hyperlink r:id="rId297" ref="L452"/>
    <hyperlink r:id="rId298" ref="K457"/>
    <hyperlink r:id="rId299" ref="L459"/>
    <hyperlink r:id="rId300" ref="K461"/>
    <hyperlink r:id="rId301" ref="L463"/>
    <hyperlink r:id="rId302" ref="L464"/>
    <hyperlink r:id="rId303" ref="L465"/>
    <hyperlink r:id="rId304" ref="L468"/>
    <hyperlink r:id="rId305" ref="L469"/>
    <hyperlink r:id="rId306" ref="L470"/>
    <hyperlink r:id="rId307" ref="L472"/>
    <hyperlink r:id="rId308" ref="L474"/>
    <hyperlink r:id="rId309" ref="L476"/>
    <hyperlink r:id="rId310" location="/registration" ref="K478"/>
    <hyperlink r:id="rId311" ref="L480"/>
    <hyperlink r:id="rId312" ref="K481"/>
    <hyperlink r:id="rId313" ref="K482"/>
    <hyperlink r:id="rId314" ref="K484"/>
    <hyperlink r:id="rId315" ref="K485"/>
    <hyperlink r:id="rId316" ref="K486"/>
    <hyperlink r:id="rId317" ref="K487"/>
    <hyperlink r:id="rId318" location="gid=0" ref="K488"/>
    <hyperlink r:id="rId319" ref="K490"/>
    <hyperlink r:id="rId320" ref="K491"/>
    <hyperlink r:id="rId321" ref="L493"/>
    <hyperlink r:id="rId322" ref="I496"/>
    <hyperlink r:id="rId323" ref="AK498"/>
    <hyperlink r:id="rId324" ref="K499"/>
    <hyperlink r:id="rId325" ref="L501"/>
    <hyperlink r:id="rId326" ref="L502"/>
    <hyperlink r:id="rId327" location="chat/dm/mx-JrsAAAAE" ref="L503"/>
    <hyperlink r:id="rId328" ref="L506"/>
    <hyperlink r:id="rId329" ref="L507"/>
    <hyperlink r:id="rId330" ref="L508"/>
    <hyperlink r:id="rId331" ref="L509"/>
    <hyperlink r:id="rId332" ref="L511"/>
    <hyperlink r:id="rId333" ref="L512"/>
    <hyperlink r:id="rId334" ref="K513"/>
    <hyperlink r:id="rId335" ref="L513"/>
    <hyperlink r:id="rId336" ref="L515"/>
    <hyperlink r:id="rId337" ref="K516"/>
    <hyperlink r:id="rId338" ref="L517"/>
    <hyperlink r:id="rId339" ref="L518"/>
    <hyperlink r:id="rId340" ref="L519"/>
    <hyperlink r:id="rId341" ref="L520"/>
    <hyperlink r:id="rId342" ref="K521"/>
    <hyperlink r:id="rId343" ref="L522"/>
    <hyperlink r:id="rId344" ref="L523"/>
    <hyperlink r:id="rId345" ref="L524"/>
    <hyperlink r:id="rId346" ref="L525"/>
    <hyperlink r:id="rId347" ref="L526"/>
    <hyperlink r:id="rId348" ref="P526"/>
    <hyperlink r:id="rId349" ref="L527"/>
    <hyperlink r:id="rId350" ref="K528"/>
    <hyperlink r:id="rId351" ref="K529"/>
    <hyperlink r:id="rId352" ref="L531"/>
    <hyperlink r:id="rId353" ref="L533"/>
    <hyperlink r:id="rId354" ref="K534"/>
    <hyperlink r:id="rId355" ref="L535"/>
    <hyperlink r:id="rId356" ref="K537"/>
    <hyperlink r:id="rId357" ref="L537"/>
    <hyperlink r:id="rId358" ref="L539"/>
    <hyperlink r:id="rId359" ref="K540"/>
    <hyperlink r:id="rId360" ref="K541"/>
    <hyperlink r:id="rId361" ref="L542"/>
    <hyperlink r:id="rId362" ref="L543"/>
    <hyperlink r:id="rId363" ref="K545"/>
    <hyperlink r:id="rId364" ref="AK545"/>
    <hyperlink r:id="rId365" ref="K546"/>
    <hyperlink r:id="rId366" ref="L548"/>
    <hyperlink r:id="rId367" ref="L550"/>
    <hyperlink r:id="rId368" ref="L555"/>
    <hyperlink r:id="rId369" ref="K556"/>
    <hyperlink r:id="rId370" ref="L557"/>
    <hyperlink r:id="rId371" ref="L558"/>
    <hyperlink r:id="rId372" ref="K559"/>
    <hyperlink r:id="rId373" ref="L560"/>
    <hyperlink r:id="rId374" ref="K561"/>
    <hyperlink r:id="rId375" ref="L564"/>
    <hyperlink r:id="rId376" ref="K569"/>
    <hyperlink r:id="rId377" ref="L570"/>
    <hyperlink r:id="rId378" ref="K571"/>
    <hyperlink r:id="rId379" ref="L571"/>
    <hyperlink r:id="rId380" ref="L575"/>
    <hyperlink r:id="rId381" ref="K576"/>
    <hyperlink r:id="rId382" ref="K577"/>
    <hyperlink r:id="rId383" ref="K578"/>
    <hyperlink r:id="rId384" ref="L579"/>
    <hyperlink r:id="rId385" ref="K580"/>
    <hyperlink r:id="rId386" ref="L580"/>
    <hyperlink r:id="rId387" ref="K581"/>
    <hyperlink r:id="rId388" ref="L583"/>
    <hyperlink r:id="rId389" ref="L584"/>
    <hyperlink r:id="rId390" ref="L585"/>
    <hyperlink r:id="rId391" ref="L587"/>
    <hyperlink r:id="rId392" ref="L588"/>
    <hyperlink r:id="rId393" ref="L589"/>
    <hyperlink r:id="rId394" ref="L590"/>
    <hyperlink r:id="rId395" ref="K591"/>
    <hyperlink r:id="rId396" ref="L592"/>
    <hyperlink r:id="rId397" ref="K593"/>
    <hyperlink r:id="rId398" ref="K594"/>
    <hyperlink r:id="rId399" ref="L594"/>
    <hyperlink r:id="rId400" ref="K595"/>
    <hyperlink r:id="rId401" ref="L596"/>
    <hyperlink r:id="rId402" ref="K600"/>
    <hyperlink r:id="rId403" ref="L601"/>
    <hyperlink r:id="rId404" ref="K603"/>
    <hyperlink r:id="rId405" ref="K604"/>
    <hyperlink r:id="rId406" ref="K605"/>
    <hyperlink r:id="rId407" ref="K606"/>
    <hyperlink r:id="rId408" ref="L606"/>
    <hyperlink r:id="rId409" ref="K607"/>
    <hyperlink r:id="rId410" ref="L608"/>
    <hyperlink r:id="rId411" ref="L610"/>
    <hyperlink r:id="rId412" ref="K611"/>
    <hyperlink r:id="rId413" ref="L611"/>
    <hyperlink r:id="rId414" ref="L614"/>
    <hyperlink r:id="rId415" ref="L618"/>
    <hyperlink r:id="rId416" ref="K619"/>
    <hyperlink r:id="rId417" ref="L619"/>
    <hyperlink r:id="rId418" ref="K620"/>
    <hyperlink r:id="rId419" ref="L620"/>
    <hyperlink r:id="rId420" ref="L621"/>
    <hyperlink r:id="rId421" ref="L622"/>
    <hyperlink r:id="rId422" ref="L626"/>
    <hyperlink r:id="rId423" ref="L627"/>
    <hyperlink r:id="rId424" ref="L628"/>
    <hyperlink r:id="rId425" ref="L629"/>
    <hyperlink r:id="rId426" ref="K631"/>
    <hyperlink r:id="rId427" ref="I633"/>
    <hyperlink r:id="rId428" ref="K634"/>
    <hyperlink r:id="rId429" ref="K638"/>
    <hyperlink r:id="rId430" ref="L641"/>
    <hyperlink r:id="rId431" ref="K642"/>
    <hyperlink r:id="rId432" ref="K643"/>
    <hyperlink r:id="rId433" ref="L644"/>
    <hyperlink r:id="rId434" ref="K646"/>
    <hyperlink r:id="rId435" ref="L646"/>
    <hyperlink r:id="rId436" ref="L647"/>
    <hyperlink r:id="rId437" ref="K649"/>
    <hyperlink r:id="rId438" ref="K651"/>
    <hyperlink r:id="rId439" ref="L658"/>
    <hyperlink r:id="rId440" ref="K659"/>
    <hyperlink r:id="rId441" ref="L660"/>
    <hyperlink r:id="rId442" location="registration" ref="L662"/>
    <hyperlink r:id="rId443" ref="L663"/>
    <hyperlink r:id="rId444" ref="L666"/>
    <hyperlink r:id="rId445" ref="L669"/>
    <hyperlink r:id="rId446" ref="K672"/>
    <hyperlink r:id="rId447" ref="L672"/>
    <hyperlink r:id="rId448" ref="L673"/>
    <hyperlink r:id="rId449" ref="K674"/>
    <hyperlink r:id="rId450" ref="K675"/>
    <hyperlink r:id="rId451" ref="K676"/>
    <hyperlink r:id="rId452" ref="K677"/>
    <hyperlink r:id="rId453" ref="K678"/>
    <hyperlink r:id="rId454" ref="L681"/>
    <hyperlink r:id="rId455" ref="L683"/>
    <hyperlink r:id="rId456" ref="L685"/>
    <hyperlink r:id="rId457" ref="K688"/>
    <hyperlink r:id="rId458" ref="K689"/>
    <hyperlink r:id="rId459" ref="K692"/>
    <hyperlink r:id="rId460" ref="K693"/>
    <hyperlink r:id="rId461" ref="K694"/>
    <hyperlink r:id="rId462" ref="L694"/>
    <hyperlink r:id="rId463" ref="L695"/>
    <hyperlink r:id="rId464" ref="K698"/>
    <hyperlink r:id="rId465" ref="K699"/>
    <hyperlink r:id="rId466" ref="K700"/>
    <hyperlink r:id="rId467" ref="L702"/>
    <hyperlink r:id="rId468" ref="K703"/>
    <hyperlink r:id="rId469" ref="K704"/>
    <hyperlink r:id="rId470" ref="L705"/>
    <hyperlink r:id="rId471" ref="K708"/>
    <hyperlink r:id="rId472" ref="K710"/>
    <hyperlink r:id="rId473" ref="K711"/>
    <hyperlink r:id="rId474" ref="L711"/>
    <hyperlink r:id="rId475" ref="L712"/>
    <hyperlink r:id="rId476" ref="L713"/>
    <hyperlink r:id="rId477" ref="L715"/>
    <hyperlink r:id="rId478" ref="L716"/>
    <hyperlink r:id="rId479" ref="L720"/>
    <hyperlink r:id="rId480" ref="K721"/>
    <hyperlink r:id="rId481" ref="L723"/>
    <hyperlink r:id="rId482" ref="K724"/>
    <hyperlink r:id="rId483" ref="L726"/>
    <hyperlink r:id="rId484" ref="K727"/>
    <hyperlink r:id="rId485" ref="K728"/>
    <hyperlink r:id="rId486" ref="K730"/>
    <hyperlink r:id="rId487" ref="L731"/>
    <hyperlink r:id="rId488" ref="K734"/>
    <hyperlink r:id="rId489" ref="L734"/>
    <hyperlink r:id="rId490" ref="K736"/>
    <hyperlink r:id="rId491" ref="L737"/>
    <hyperlink r:id="rId492" ref="K739"/>
    <hyperlink r:id="rId493" ref="L741"/>
    <hyperlink r:id="rId494" ref="K742"/>
    <hyperlink r:id="rId495" ref="K743"/>
    <hyperlink r:id="rId496" ref="K745"/>
    <hyperlink r:id="rId497" ref="L746"/>
    <hyperlink r:id="rId498" ref="K747"/>
    <hyperlink r:id="rId499" ref="L748"/>
    <hyperlink r:id="rId500" ref="AK749"/>
    <hyperlink r:id="rId501" ref="K751"/>
    <hyperlink r:id="rId502" ref="L753"/>
    <hyperlink r:id="rId503" ref="K754"/>
    <hyperlink r:id="rId504" ref="K757"/>
    <hyperlink r:id="rId505" ref="L757"/>
    <hyperlink r:id="rId506" ref="L758"/>
    <hyperlink r:id="rId507" ref="L761"/>
    <hyperlink r:id="rId508" ref="K762"/>
    <hyperlink r:id="rId509" ref="K763"/>
    <hyperlink r:id="rId510" ref="K764"/>
    <hyperlink r:id="rId511" ref="K765"/>
    <hyperlink r:id="rId512" ref="K766"/>
    <hyperlink r:id="rId513" ref="K767"/>
    <hyperlink r:id="rId514" ref="K768"/>
    <hyperlink r:id="rId515" location="trainings" ref="K769"/>
    <hyperlink r:id="rId516" ref="L770"/>
    <hyperlink r:id="rId517" ref="K771"/>
    <hyperlink r:id="rId518" ref="K773"/>
    <hyperlink r:id="rId519" ref="K777"/>
    <hyperlink r:id="rId520" ref="K778"/>
    <hyperlink r:id="rId521" ref="K779"/>
    <hyperlink r:id="rId522" ref="K780"/>
    <hyperlink r:id="rId523" ref="K781"/>
    <hyperlink r:id="rId524" ref="K782"/>
    <hyperlink r:id="rId525" ref="L782"/>
    <hyperlink r:id="rId526" ref="K784"/>
    <hyperlink r:id="rId527" ref="L785"/>
    <hyperlink r:id="rId528" ref="L789"/>
    <hyperlink r:id="rId529" ref="K790"/>
    <hyperlink r:id="rId530" ref="L791"/>
    <hyperlink r:id="rId531" ref="K797"/>
    <hyperlink r:id="rId532" ref="K798"/>
    <hyperlink r:id="rId533" ref="K799"/>
    <hyperlink r:id="rId534" ref="L801"/>
    <hyperlink r:id="rId535" ref="L803"/>
    <hyperlink r:id="rId536" ref="L804"/>
    <hyperlink r:id="rId537" ref="K805"/>
    <hyperlink r:id="rId538" ref="L806"/>
    <hyperlink r:id="rId539" ref="L807"/>
    <hyperlink r:id="rId540" ref="L808"/>
    <hyperlink r:id="rId541" ref="K809"/>
    <hyperlink r:id="rId542" ref="K811"/>
    <hyperlink r:id="rId543" ref="L813"/>
    <hyperlink r:id="rId544" ref="K814"/>
    <hyperlink r:id="rId545" ref="L814"/>
    <hyperlink r:id="rId546" ref="K816"/>
    <hyperlink r:id="rId547" ref="K819"/>
    <hyperlink r:id="rId548" ref="K821"/>
    <hyperlink r:id="rId549" ref="K823"/>
    <hyperlink r:id="rId550" ref="K824"/>
    <hyperlink r:id="rId551" ref="L824"/>
    <hyperlink r:id="rId552" ref="K825"/>
    <hyperlink r:id="rId553" ref="L825"/>
    <hyperlink r:id="rId554" ref="K826"/>
    <hyperlink r:id="rId555" ref="K828"/>
    <hyperlink r:id="rId556" ref="L828"/>
    <hyperlink r:id="rId557" ref="L830"/>
    <hyperlink r:id="rId558" ref="K832"/>
    <hyperlink r:id="rId559" ref="L833"/>
    <hyperlink r:id="rId560" ref="L834"/>
    <hyperlink r:id="rId561" ref="K835"/>
    <hyperlink r:id="rId562" ref="K837"/>
    <hyperlink r:id="rId563" ref="K839"/>
    <hyperlink r:id="rId564" ref="K840"/>
    <hyperlink r:id="rId565" location="multilingual-training-section" ref="L841"/>
    <hyperlink r:id="rId566" ref="L842"/>
    <hyperlink r:id="rId567" ref="L843"/>
    <hyperlink r:id="rId568" ref="L844"/>
    <hyperlink r:id="rId569" ref="K845"/>
    <hyperlink r:id="rId570" ref="L845"/>
    <hyperlink r:id="rId571" ref="L848"/>
    <hyperlink r:id="rId572" ref="L849"/>
    <hyperlink r:id="rId573" ref="K850"/>
  </hyperlinks>
  <drawing r:id="rId574"/>
  <legacyDrawing r:id="rId57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6.0" topLeftCell="F7" activePane="bottomRight" state="frozen"/>
      <selection activeCell="F1" sqref="F1" pane="topRight"/>
      <selection activeCell="A7" sqref="A7" pane="bottomLeft"/>
      <selection activeCell="F7" sqref="F7" pane="bottomRight"/>
    </sheetView>
  </sheetViews>
  <sheetFormatPr customHeight="1" defaultColWidth="12.63" defaultRowHeight="15.75"/>
  <cols>
    <col customWidth="1" min="1" max="1" width="11.88"/>
    <col customWidth="1" min="2" max="2" width="28.38"/>
    <col customWidth="1" min="3" max="3" width="15.0"/>
    <col customWidth="1" min="4" max="4" width="22.88"/>
    <col customWidth="1" min="5" max="5" width="10.5"/>
    <col customWidth="1" min="6" max="7" width="10.88"/>
    <col customWidth="1" min="8" max="8" width="14.63"/>
    <col customWidth="1" min="9" max="9" width="12.88"/>
    <col customWidth="1" min="10" max="10" width="15.63"/>
    <col customWidth="1" min="11" max="11" width="13.38"/>
    <col customWidth="1" min="12" max="12" width="16.0"/>
    <col customWidth="1" min="20" max="20" width="21.75"/>
    <col customWidth="1" min="21" max="21" width="11.5"/>
  </cols>
  <sheetData>
    <row r="1">
      <c r="A1" s="305" t="s">
        <v>2874</v>
      </c>
      <c r="B1" s="306"/>
      <c r="C1" s="306"/>
      <c r="D1" s="306"/>
      <c r="E1" s="306"/>
      <c r="F1" s="307"/>
      <c r="G1" s="307"/>
      <c r="H1" s="307"/>
      <c r="I1" s="306" t="s">
        <v>2875</v>
      </c>
      <c r="T1" s="306" t="s">
        <v>2876</v>
      </c>
      <c r="U1" s="306" t="s">
        <v>2877</v>
      </c>
      <c r="V1" s="308"/>
      <c r="W1" s="308"/>
      <c r="X1" s="308"/>
      <c r="Y1" s="308"/>
      <c r="Z1" s="309"/>
      <c r="AA1" s="309"/>
      <c r="AB1" s="308"/>
      <c r="AC1" s="308"/>
    </row>
    <row r="2" hidden="1">
      <c r="A2" s="310">
        <f>SUM(I2:S2)</f>
        <v>1004118</v>
      </c>
      <c r="B2" s="311"/>
      <c r="C2" s="311"/>
      <c r="D2" s="311"/>
      <c r="E2" s="311"/>
      <c r="F2" s="306" t="s">
        <v>2878</v>
      </c>
      <c r="I2" s="312">
        <v>253333.0</v>
      </c>
      <c r="M2" s="313">
        <v>183596.0</v>
      </c>
      <c r="O2" s="314">
        <v>183596.0</v>
      </c>
      <c r="Q2" s="315">
        <v>171093.0</v>
      </c>
      <c r="R2" s="316">
        <v>12500.0</v>
      </c>
      <c r="S2" s="317">
        <v>200000.0</v>
      </c>
      <c r="T2" s="318">
        <f t="shared" ref="T2:T4" si="2">SUM(I2:S2)</f>
        <v>1004118</v>
      </c>
      <c r="U2" s="319"/>
      <c r="V2" s="308"/>
      <c r="W2" s="308"/>
      <c r="X2" s="308"/>
      <c r="Y2" s="308"/>
      <c r="Z2" s="309"/>
      <c r="AA2" s="309"/>
      <c r="AB2" s="308"/>
      <c r="AC2" s="308"/>
    </row>
    <row r="3" hidden="1">
      <c r="A3" s="310">
        <f>SUM(E7:E429)</f>
        <v>1000368.35</v>
      </c>
      <c r="B3" s="311"/>
      <c r="C3" s="311"/>
      <c r="D3" s="311"/>
      <c r="E3" s="311"/>
      <c r="F3" s="306" t="s">
        <v>2879</v>
      </c>
      <c r="I3" s="312">
        <f>SUM(I7:L449)</f>
        <v>20759</v>
      </c>
      <c r="M3" s="313">
        <f>SUM(M7:N449)</f>
        <v>365478.94</v>
      </c>
      <c r="O3" s="314">
        <f>SUM(O7:P449)</f>
        <v>192713.27</v>
      </c>
      <c r="Q3" s="315">
        <f t="shared" ref="Q3:S3" si="1">SUM(Q7:Q449)</f>
        <v>5147.25</v>
      </c>
      <c r="R3" s="316">
        <f t="shared" si="1"/>
        <v>0</v>
      </c>
      <c r="S3" s="317">
        <f t="shared" si="1"/>
        <v>458987</v>
      </c>
      <c r="T3" s="318">
        <f t="shared" si="2"/>
        <v>1043085.46</v>
      </c>
      <c r="U3" s="320">
        <f>sum(T3-A3)</f>
        <v>42717.11</v>
      </c>
      <c r="V3" s="308"/>
      <c r="W3" s="308"/>
      <c r="X3" s="321" t="s">
        <v>2880</v>
      </c>
      <c r="Y3" s="322"/>
      <c r="Z3" s="323"/>
      <c r="AA3" s="323"/>
      <c r="AB3" s="308"/>
      <c r="AC3" s="308"/>
    </row>
    <row r="4" hidden="1">
      <c r="A4" s="310">
        <f>SUM(A2-A3)</f>
        <v>3749.65</v>
      </c>
      <c r="B4" s="311"/>
      <c r="C4" s="311"/>
      <c r="D4" s="311"/>
      <c r="E4" s="311"/>
      <c r="F4" s="306" t="s">
        <v>2881</v>
      </c>
      <c r="I4" s="312">
        <f>SUM(I2-I3)</f>
        <v>232574</v>
      </c>
      <c r="M4" s="313">
        <f>SUM(M2-M3)</f>
        <v>-181882.94</v>
      </c>
      <c r="O4" s="314">
        <f>SUM(O2-O3)</f>
        <v>-9117.27</v>
      </c>
      <c r="Q4" s="315">
        <f t="shared" ref="Q4:S4" si="3">SUM(Q2-Q3)</f>
        <v>165945.75</v>
      </c>
      <c r="R4" s="316">
        <f t="shared" si="3"/>
        <v>12500</v>
      </c>
      <c r="S4" s="317">
        <f t="shared" si="3"/>
        <v>-258987</v>
      </c>
      <c r="T4" s="318">
        <f t="shared" si="2"/>
        <v>-38967.46</v>
      </c>
      <c r="U4" s="319"/>
      <c r="V4" s="308"/>
      <c r="W4" s="308"/>
      <c r="X4" s="324" t="s">
        <v>2882</v>
      </c>
      <c r="Y4" s="324" t="s">
        <v>2883</v>
      </c>
      <c r="Z4" s="325" t="s">
        <v>2884</v>
      </c>
      <c r="AA4" s="326" t="s">
        <v>2885</v>
      </c>
      <c r="AB4" s="308"/>
      <c r="AC4" s="308"/>
    </row>
    <row r="5" hidden="1">
      <c r="A5" s="327" t="s">
        <v>2886</v>
      </c>
      <c r="B5" s="327" t="s">
        <v>2887</v>
      </c>
      <c r="C5" s="327" t="s">
        <v>32</v>
      </c>
      <c r="D5" s="327" t="s">
        <v>2888</v>
      </c>
      <c r="E5" s="327" t="s">
        <v>29</v>
      </c>
      <c r="F5" s="306" t="s">
        <v>2889</v>
      </c>
      <c r="G5" s="306" t="s">
        <v>2890</v>
      </c>
      <c r="H5" s="306" t="s">
        <v>2891</v>
      </c>
      <c r="I5" s="312" t="s">
        <v>2892</v>
      </c>
      <c r="J5" s="312" t="s">
        <v>2893</v>
      </c>
      <c r="K5" s="312" t="s">
        <v>2894</v>
      </c>
      <c r="L5" s="312" t="s">
        <v>2895</v>
      </c>
      <c r="M5" s="313" t="s">
        <v>2896</v>
      </c>
      <c r="N5" s="313" t="s">
        <v>2897</v>
      </c>
      <c r="O5" s="314" t="s">
        <v>2898</v>
      </c>
      <c r="P5" s="314" t="s">
        <v>2899</v>
      </c>
      <c r="Q5" s="315" t="s">
        <v>992</v>
      </c>
      <c r="R5" s="316" t="s">
        <v>2900</v>
      </c>
      <c r="S5" s="317" t="s">
        <v>2901</v>
      </c>
      <c r="T5" s="328" t="s">
        <v>2902</v>
      </c>
      <c r="U5" s="319"/>
      <c r="V5" s="329" t="s">
        <v>2903</v>
      </c>
      <c r="W5" s="308"/>
      <c r="X5" s="308"/>
      <c r="Y5" s="308"/>
      <c r="Z5" s="309"/>
      <c r="AA5" s="309"/>
      <c r="AB5" s="308"/>
      <c r="AC5" s="308"/>
    </row>
    <row r="6" hidden="1">
      <c r="A6" s="327"/>
      <c r="B6" s="327"/>
      <c r="C6" s="327"/>
      <c r="D6" s="327"/>
      <c r="E6" s="327"/>
      <c r="F6" s="306"/>
      <c r="G6" s="306"/>
      <c r="H6" s="306"/>
      <c r="I6" s="312">
        <f t="shared" ref="I6:S6" si="4">sum(I7:I1003)</f>
        <v>2015</v>
      </c>
      <c r="J6" s="312">
        <f t="shared" si="4"/>
        <v>8305</v>
      </c>
      <c r="K6" s="312">
        <f t="shared" si="4"/>
        <v>14664</v>
      </c>
      <c r="L6" s="312">
        <f t="shared" si="4"/>
        <v>0</v>
      </c>
      <c r="M6" s="313">
        <f t="shared" si="4"/>
        <v>26189.87</v>
      </c>
      <c r="N6" s="313">
        <f t="shared" si="4"/>
        <v>537451.9</v>
      </c>
      <c r="O6" s="314">
        <f t="shared" si="4"/>
        <v>66915</v>
      </c>
      <c r="P6" s="314">
        <f t="shared" si="4"/>
        <v>141798.27</v>
      </c>
      <c r="Q6" s="315">
        <f t="shared" si="4"/>
        <v>5147.25</v>
      </c>
      <c r="R6" s="316">
        <f t="shared" si="4"/>
        <v>0</v>
      </c>
      <c r="S6" s="317">
        <f t="shared" si="4"/>
        <v>548987</v>
      </c>
      <c r="T6" s="312"/>
      <c r="U6" s="312"/>
      <c r="V6" s="329"/>
      <c r="W6" s="308"/>
      <c r="X6" s="308"/>
      <c r="Y6" s="308"/>
      <c r="Z6" s="309"/>
      <c r="AA6" s="309"/>
      <c r="AB6" s="308"/>
      <c r="AC6" s="308"/>
    </row>
    <row r="7" hidden="1">
      <c r="A7" s="330">
        <v>45252.0</v>
      </c>
      <c r="B7" s="331" t="s">
        <v>37</v>
      </c>
      <c r="C7" s="332" t="s">
        <v>2904</v>
      </c>
      <c r="D7" s="332" t="s">
        <v>2905</v>
      </c>
      <c r="E7" s="332">
        <v>5000.0</v>
      </c>
      <c r="F7" s="333"/>
      <c r="G7" s="306"/>
      <c r="H7" s="334"/>
      <c r="I7" s="332"/>
      <c r="J7" s="332"/>
      <c r="K7" s="332"/>
      <c r="L7" s="332"/>
      <c r="M7" s="308"/>
      <c r="N7" s="332"/>
      <c r="O7" s="332">
        <v>5000.0</v>
      </c>
      <c r="P7" s="308"/>
      <c r="Q7" s="308"/>
      <c r="R7" s="308"/>
      <c r="S7" s="308"/>
      <c r="T7" s="335"/>
      <c r="U7" s="308"/>
      <c r="V7" s="308" t="b">
        <v>0</v>
      </c>
      <c r="W7" s="336" t="s">
        <v>2906</v>
      </c>
      <c r="X7" s="308"/>
      <c r="Y7" s="308"/>
      <c r="Z7" s="309"/>
      <c r="AA7" s="309"/>
      <c r="AB7" s="332"/>
      <c r="AC7" s="308"/>
    </row>
    <row r="8" hidden="1">
      <c r="A8" s="330">
        <v>45254.0</v>
      </c>
      <c r="B8" s="331" t="s">
        <v>50</v>
      </c>
      <c r="C8" s="332" t="s">
        <v>2904</v>
      </c>
      <c r="D8" s="332" t="s">
        <v>2907</v>
      </c>
      <c r="E8" s="332">
        <v>11859.0</v>
      </c>
      <c r="F8" s="333">
        <v>45167.0</v>
      </c>
      <c r="G8" s="319"/>
      <c r="H8" s="337"/>
      <c r="I8" s="332"/>
      <c r="J8" s="332"/>
      <c r="K8" s="332">
        <v>11859.0</v>
      </c>
      <c r="L8" s="332"/>
      <c r="M8" s="308"/>
      <c r="N8" s="308"/>
      <c r="O8" s="308"/>
      <c r="P8" s="308"/>
      <c r="Q8" s="308"/>
      <c r="R8" s="308"/>
      <c r="S8" s="332"/>
      <c r="T8" s="335"/>
      <c r="U8" s="308"/>
      <c r="V8" s="308" t="b">
        <v>0</v>
      </c>
      <c r="W8" s="308"/>
      <c r="X8" s="308"/>
      <c r="Y8" s="308"/>
      <c r="Z8" s="309"/>
      <c r="AA8" s="309"/>
      <c r="AB8" s="332"/>
      <c r="AC8" s="308"/>
    </row>
    <row r="9" hidden="1">
      <c r="A9" s="330">
        <v>45267.0</v>
      </c>
      <c r="B9" s="331" t="s">
        <v>37</v>
      </c>
      <c r="C9" s="332" t="s">
        <v>2904</v>
      </c>
      <c r="D9" s="332" t="s">
        <v>2907</v>
      </c>
      <c r="E9" s="332">
        <v>20000.0</v>
      </c>
      <c r="F9" s="338"/>
      <c r="G9" s="319"/>
      <c r="H9" s="339"/>
      <c r="I9" s="308"/>
      <c r="J9" s="308"/>
      <c r="K9" s="308"/>
      <c r="L9" s="308"/>
      <c r="M9" s="308"/>
      <c r="N9" s="308"/>
      <c r="O9" s="308"/>
      <c r="P9" s="332">
        <v>20000.0</v>
      </c>
      <c r="Q9" s="308"/>
      <c r="R9" s="308"/>
      <c r="S9" s="308"/>
      <c r="T9" s="308"/>
      <c r="U9" s="308"/>
      <c r="V9" s="308" t="b">
        <v>0</v>
      </c>
      <c r="W9" s="308"/>
      <c r="X9" s="308"/>
      <c r="Y9" s="308"/>
      <c r="Z9" s="309"/>
      <c r="AA9" s="309"/>
      <c r="AB9" s="332"/>
      <c r="AC9" s="308"/>
    </row>
    <row r="10" hidden="1">
      <c r="A10" s="330">
        <v>45265.0</v>
      </c>
      <c r="B10" s="340" t="s">
        <v>943</v>
      </c>
      <c r="C10" s="332" t="s">
        <v>2904</v>
      </c>
      <c r="D10" s="332" t="s">
        <v>2907</v>
      </c>
      <c r="E10" s="341">
        <v>350.0</v>
      </c>
      <c r="F10" s="333">
        <v>45295.0</v>
      </c>
      <c r="G10" s="319"/>
      <c r="H10" s="337"/>
      <c r="I10" s="308"/>
      <c r="J10" s="332"/>
      <c r="K10" s="332"/>
      <c r="L10" s="308"/>
      <c r="M10" s="308"/>
      <c r="N10" s="332">
        <v>350.0</v>
      </c>
      <c r="O10" s="308"/>
      <c r="P10" s="308"/>
      <c r="Q10" s="308"/>
      <c r="R10" s="308"/>
      <c r="S10" s="308"/>
      <c r="T10" s="308"/>
      <c r="U10" s="308"/>
      <c r="V10" s="332" t="b">
        <v>1</v>
      </c>
      <c r="W10" s="308"/>
      <c r="X10" s="308"/>
      <c r="Y10" s="308"/>
      <c r="Z10" s="309"/>
      <c r="AA10" s="309"/>
      <c r="AB10" s="332"/>
      <c r="AC10" s="308"/>
    </row>
    <row r="11" hidden="1">
      <c r="A11" s="342">
        <v>45265.0</v>
      </c>
      <c r="B11" s="331" t="s">
        <v>943</v>
      </c>
      <c r="C11" s="343" t="s">
        <v>2908</v>
      </c>
      <c r="D11" s="332" t="s">
        <v>2907</v>
      </c>
      <c r="E11" s="341">
        <v>730.12</v>
      </c>
      <c r="F11" s="333">
        <v>45271.0</v>
      </c>
      <c r="G11" s="319"/>
      <c r="H11" s="337"/>
      <c r="I11" s="308"/>
      <c r="J11" s="332"/>
      <c r="K11" s="308"/>
      <c r="L11" s="308"/>
      <c r="M11" s="308"/>
      <c r="N11" s="332">
        <v>730.12</v>
      </c>
      <c r="O11" s="308"/>
      <c r="P11" s="308"/>
      <c r="Q11" s="308"/>
      <c r="R11" s="308"/>
      <c r="S11" s="308"/>
      <c r="T11" s="308"/>
      <c r="U11" s="308"/>
      <c r="V11" s="332" t="b">
        <v>1</v>
      </c>
      <c r="W11" s="308"/>
      <c r="X11" s="308"/>
      <c r="Y11" s="308"/>
      <c r="Z11" s="309"/>
      <c r="AA11" s="309"/>
      <c r="AB11" s="308"/>
      <c r="AC11" s="308"/>
    </row>
    <row r="12" hidden="1">
      <c r="A12" s="330">
        <v>45267.0</v>
      </c>
      <c r="B12" s="331" t="s">
        <v>64</v>
      </c>
      <c r="C12" s="332" t="s">
        <v>2904</v>
      </c>
      <c r="D12" s="332" t="s">
        <v>2907</v>
      </c>
      <c r="E12" s="341">
        <v>3400.0</v>
      </c>
      <c r="F12" s="338"/>
      <c r="G12" s="319"/>
      <c r="H12" s="339"/>
      <c r="I12" s="308"/>
      <c r="J12" s="308"/>
      <c r="K12" s="308"/>
      <c r="L12" s="308"/>
      <c r="M12" s="308"/>
      <c r="N12" s="308"/>
      <c r="O12" s="308"/>
      <c r="P12" s="341">
        <v>3400.0</v>
      </c>
      <c r="Q12" s="308"/>
      <c r="R12" s="308"/>
      <c r="S12" s="308"/>
      <c r="T12" s="308"/>
      <c r="U12" s="308"/>
      <c r="V12" s="308" t="b">
        <v>0</v>
      </c>
      <c r="W12" s="308"/>
      <c r="X12" s="308"/>
      <c r="Y12" s="308"/>
      <c r="Z12" s="309"/>
      <c r="AA12" s="309"/>
      <c r="AB12" s="308"/>
      <c r="AC12" s="308"/>
    </row>
    <row r="13" hidden="1">
      <c r="A13" s="330">
        <v>45265.0</v>
      </c>
      <c r="B13" s="331" t="s">
        <v>72</v>
      </c>
      <c r="C13" s="332" t="s">
        <v>2908</v>
      </c>
      <c r="D13" s="332" t="s">
        <v>2907</v>
      </c>
      <c r="E13" s="341">
        <v>699.0</v>
      </c>
      <c r="F13" s="333">
        <v>45293.0</v>
      </c>
      <c r="G13" s="319"/>
      <c r="H13" s="337"/>
      <c r="I13" s="308"/>
      <c r="J13" s="308"/>
      <c r="K13" s="308"/>
      <c r="L13" s="308"/>
      <c r="M13" s="308"/>
      <c r="N13" s="308"/>
      <c r="O13" s="308"/>
      <c r="P13" s="332">
        <v>619.0</v>
      </c>
      <c r="Q13" s="308"/>
      <c r="R13" s="308"/>
      <c r="S13" s="308"/>
      <c r="T13" s="308"/>
      <c r="U13" s="308"/>
      <c r="V13" s="332" t="b">
        <v>1</v>
      </c>
      <c r="W13" s="308"/>
      <c r="X13" s="308"/>
      <c r="Y13" s="308"/>
      <c r="Z13" s="309"/>
      <c r="AA13" s="309"/>
      <c r="AB13" s="308"/>
      <c r="AC13" s="308"/>
    </row>
    <row r="14" hidden="1">
      <c r="A14" s="330">
        <v>45265.0</v>
      </c>
      <c r="B14" s="331" t="s">
        <v>72</v>
      </c>
      <c r="C14" s="332" t="s">
        <v>2908</v>
      </c>
      <c r="D14" s="332" t="s">
        <v>2907</v>
      </c>
      <c r="E14" s="341">
        <v>99.0</v>
      </c>
      <c r="F14" s="333">
        <v>45293.0</v>
      </c>
      <c r="G14" s="319"/>
      <c r="H14" s="337"/>
      <c r="I14" s="308"/>
      <c r="J14" s="308"/>
      <c r="K14" s="308"/>
      <c r="L14" s="308"/>
      <c r="M14" s="308"/>
      <c r="N14" s="308"/>
      <c r="O14" s="308"/>
      <c r="P14" s="332">
        <v>99.0</v>
      </c>
      <c r="Q14" s="308"/>
      <c r="R14" s="308"/>
      <c r="S14" s="308"/>
      <c r="T14" s="308"/>
      <c r="U14" s="308"/>
      <c r="V14" s="332" t="b">
        <v>1</v>
      </c>
      <c r="W14" s="308"/>
      <c r="X14" s="308"/>
      <c r="Y14" s="308"/>
      <c r="Z14" s="309"/>
      <c r="AA14" s="309"/>
      <c r="AB14" s="308"/>
      <c r="AC14" s="308"/>
    </row>
    <row r="15" hidden="1">
      <c r="A15" s="330">
        <v>45268.0</v>
      </c>
      <c r="B15" s="331" t="s">
        <v>85</v>
      </c>
      <c r="C15" s="332" t="s">
        <v>2904</v>
      </c>
      <c r="D15" s="332" t="s">
        <v>2907</v>
      </c>
      <c r="E15" s="341">
        <v>5000.0</v>
      </c>
      <c r="F15" s="338"/>
      <c r="G15" s="319"/>
      <c r="H15" s="339"/>
      <c r="I15" s="308"/>
      <c r="J15" s="308"/>
      <c r="K15" s="308"/>
      <c r="L15" s="308"/>
      <c r="M15" s="308"/>
      <c r="N15" s="308"/>
      <c r="O15" s="308"/>
      <c r="P15" s="341">
        <v>5000.0</v>
      </c>
      <c r="Q15" s="308"/>
      <c r="R15" s="308"/>
      <c r="S15" s="308"/>
      <c r="T15" s="308"/>
      <c r="U15" s="308"/>
      <c r="V15" s="308" t="b">
        <v>0</v>
      </c>
      <c r="W15" s="308"/>
      <c r="X15" s="308"/>
      <c r="Y15" s="308"/>
      <c r="Z15" s="309"/>
      <c r="AA15" s="309"/>
      <c r="AB15" s="308"/>
      <c r="AC15" s="308"/>
    </row>
    <row r="16" hidden="1">
      <c r="A16" s="330">
        <v>45274.0</v>
      </c>
      <c r="B16" s="331" t="s">
        <v>94</v>
      </c>
      <c r="C16" s="332" t="s">
        <v>2908</v>
      </c>
      <c r="D16" s="332" t="s">
        <v>2907</v>
      </c>
      <c r="E16" s="341">
        <v>3400.0</v>
      </c>
      <c r="F16" s="338"/>
      <c r="G16" s="319"/>
      <c r="H16" s="339"/>
      <c r="I16" s="308"/>
      <c r="J16" s="308"/>
      <c r="K16" s="308"/>
      <c r="L16" s="308"/>
      <c r="M16" s="308"/>
      <c r="N16" s="308"/>
      <c r="O16" s="308"/>
      <c r="P16" s="341">
        <v>3400.0</v>
      </c>
      <c r="Q16" s="308"/>
      <c r="R16" s="308"/>
      <c r="S16" s="308"/>
      <c r="T16" s="308"/>
      <c r="U16" s="308"/>
      <c r="V16" s="308" t="b">
        <v>0</v>
      </c>
      <c r="W16" s="308"/>
      <c r="X16" s="308"/>
      <c r="Y16" s="308"/>
      <c r="Z16" s="309"/>
      <c r="AA16" s="309"/>
      <c r="AB16" s="308"/>
      <c r="AC16" s="308"/>
    </row>
    <row r="17" hidden="1">
      <c r="A17" s="330">
        <v>45281.0</v>
      </c>
      <c r="B17" s="331" t="s">
        <v>78</v>
      </c>
      <c r="C17" s="332" t="s">
        <v>2908</v>
      </c>
      <c r="D17" s="332" t="s">
        <v>2907</v>
      </c>
      <c r="E17" s="341">
        <v>2495.0</v>
      </c>
      <c r="F17" s="333">
        <v>45281.0</v>
      </c>
      <c r="G17" s="319"/>
      <c r="H17" s="337"/>
      <c r="I17" s="308"/>
      <c r="J17" s="308"/>
      <c r="K17" s="308"/>
      <c r="L17" s="308"/>
      <c r="M17" s="308"/>
      <c r="N17" s="332">
        <v>2495.0</v>
      </c>
      <c r="O17" s="308"/>
      <c r="P17" s="308"/>
      <c r="Q17" s="308"/>
      <c r="R17" s="308"/>
      <c r="S17" s="308"/>
      <c r="T17" s="308"/>
      <c r="U17" s="308"/>
      <c r="V17" s="332" t="b">
        <v>1</v>
      </c>
      <c r="W17" s="308"/>
      <c r="X17" s="308"/>
      <c r="Y17" s="308"/>
      <c r="Z17" s="309"/>
      <c r="AA17" s="309"/>
      <c r="AB17" s="308"/>
      <c r="AC17" s="308"/>
    </row>
    <row r="18" hidden="1">
      <c r="A18" s="330">
        <v>45281.0</v>
      </c>
      <c r="B18" s="331" t="s">
        <v>78</v>
      </c>
      <c r="C18" s="332" t="s">
        <v>2908</v>
      </c>
      <c r="D18" s="332" t="s">
        <v>2907</v>
      </c>
      <c r="E18" s="341">
        <v>575.0</v>
      </c>
      <c r="F18" s="338"/>
      <c r="G18" s="319"/>
      <c r="H18" s="339"/>
      <c r="I18" s="308"/>
      <c r="J18" s="308"/>
      <c r="K18" s="308"/>
      <c r="L18" s="308"/>
      <c r="M18" s="308"/>
      <c r="N18" s="308"/>
      <c r="O18" s="308"/>
      <c r="P18" s="341">
        <v>575.0</v>
      </c>
      <c r="Q18" s="308"/>
      <c r="R18" s="308"/>
      <c r="S18" s="308"/>
      <c r="T18" s="308"/>
      <c r="U18" s="308"/>
      <c r="V18" s="308" t="b">
        <v>0</v>
      </c>
      <c r="W18" s="308"/>
      <c r="X18" s="308"/>
      <c r="Y18" s="308"/>
      <c r="Z18" s="309"/>
      <c r="AA18" s="309"/>
      <c r="AB18" s="308"/>
      <c r="AC18" s="308"/>
    </row>
    <row r="19" hidden="1">
      <c r="A19" s="330">
        <v>45281.0</v>
      </c>
      <c r="B19" s="331" t="s">
        <v>101</v>
      </c>
      <c r="C19" s="343" t="s">
        <v>2908</v>
      </c>
      <c r="D19" s="343" t="s">
        <v>2909</v>
      </c>
      <c r="E19" s="341">
        <v>440.0</v>
      </c>
      <c r="F19" s="338"/>
      <c r="G19" s="319"/>
      <c r="H19" s="339"/>
      <c r="I19" s="341">
        <v>440.0</v>
      </c>
      <c r="J19" s="308"/>
      <c r="K19" s="308"/>
      <c r="L19" s="308"/>
      <c r="M19" s="308"/>
      <c r="N19" s="308"/>
      <c r="O19" s="308"/>
      <c r="P19" s="308"/>
      <c r="Q19" s="308"/>
      <c r="R19" s="308"/>
      <c r="S19" s="308"/>
      <c r="T19" s="308"/>
      <c r="U19" s="308"/>
      <c r="V19" s="308" t="b">
        <v>0</v>
      </c>
      <c r="W19" s="308"/>
      <c r="X19" s="308"/>
      <c r="Y19" s="308"/>
      <c r="Z19" s="309"/>
      <c r="AA19" s="309"/>
      <c r="AB19" s="308"/>
      <c r="AC19" s="308"/>
    </row>
    <row r="20" hidden="1">
      <c r="A20" s="334">
        <v>45281.0</v>
      </c>
      <c r="B20" s="344" t="s">
        <v>104</v>
      </c>
      <c r="C20" s="344" t="s">
        <v>2908</v>
      </c>
      <c r="D20" s="343" t="s">
        <v>2909</v>
      </c>
      <c r="E20" s="345">
        <v>525.0</v>
      </c>
      <c r="F20" s="334">
        <v>45278.0</v>
      </c>
      <c r="G20" s="319"/>
      <c r="H20" s="337"/>
      <c r="I20" s="344">
        <v>525.0</v>
      </c>
      <c r="J20" s="308"/>
      <c r="K20" s="308"/>
      <c r="L20" s="308"/>
      <c r="M20" s="308"/>
      <c r="N20" s="308"/>
      <c r="O20" s="308"/>
      <c r="P20" s="308"/>
      <c r="Q20" s="308"/>
      <c r="R20" s="308"/>
      <c r="S20" s="308"/>
      <c r="T20" s="308"/>
      <c r="U20" s="308"/>
      <c r="V20" s="332" t="b">
        <v>1</v>
      </c>
      <c r="W20" s="308"/>
      <c r="X20" s="308"/>
      <c r="Y20" s="308"/>
      <c r="Z20" s="309"/>
      <c r="AA20" s="309"/>
      <c r="AB20" s="308"/>
      <c r="AC20" s="308"/>
    </row>
    <row r="21" hidden="1">
      <c r="A21" s="330">
        <v>45281.0</v>
      </c>
      <c r="B21" s="331" t="s">
        <v>108</v>
      </c>
      <c r="C21" s="343" t="s">
        <v>2908</v>
      </c>
      <c r="D21" s="343" t="s">
        <v>2909</v>
      </c>
      <c r="E21" s="341">
        <v>525.0</v>
      </c>
      <c r="F21" s="333">
        <v>45280.0</v>
      </c>
      <c r="G21" s="319"/>
      <c r="H21" s="337"/>
      <c r="I21" s="344">
        <v>525.0</v>
      </c>
      <c r="J21" s="308"/>
      <c r="K21" s="308"/>
      <c r="L21" s="308"/>
      <c r="M21" s="308"/>
      <c r="N21" s="308"/>
      <c r="O21" s="308"/>
      <c r="P21" s="308"/>
      <c r="Q21" s="308"/>
      <c r="R21" s="308"/>
      <c r="S21" s="308"/>
      <c r="T21" s="308"/>
      <c r="U21" s="308"/>
      <c r="V21" s="332" t="b">
        <v>1</v>
      </c>
      <c r="W21" s="308"/>
      <c r="X21" s="308"/>
      <c r="Y21" s="308"/>
      <c r="Z21" s="309"/>
      <c r="AA21" s="309"/>
      <c r="AB21" s="308"/>
      <c r="AC21" s="308"/>
    </row>
    <row r="22" hidden="1">
      <c r="A22" s="330">
        <v>45287.0</v>
      </c>
      <c r="B22" s="331" t="s">
        <v>111</v>
      </c>
      <c r="C22" s="332" t="s">
        <v>2908</v>
      </c>
      <c r="D22" s="332" t="s">
        <v>2907</v>
      </c>
      <c r="E22" s="341">
        <v>4000.0</v>
      </c>
      <c r="F22" s="338"/>
      <c r="G22" s="319"/>
      <c r="H22" s="339"/>
      <c r="I22" s="308"/>
      <c r="J22" s="308"/>
      <c r="K22" s="308"/>
      <c r="L22" s="308"/>
      <c r="M22" s="308"/>
      <c r="N22" s="341">
        <v>4000.0</v>
      </c>
      <c r="O22" s="308"/>
      <c r="P22" s="308"/>
      <c r="Q22" s="308"/>
      <c r="R22" s="308"/>
      <c r="S22" s="308"/>
      <c r="T22" s="308"/>
      <c r="U22" s="308"/>
      <c r="V22" s="308" t="b">
        <v>0</v>
      </c>
      <c r="W22" s="308"/>
      <c r="X22" s="308"/>
      <c r="Y22" s="308"/>
      <c r="Z22" s="309"/>
      <c r="AA22" s="309"/>
      <c r="AB22" s="308"/>
      <c r="AC22" s="308"/>
    </row>
    <row r="23" hidden="1">
      <c r="A23" s="330">
        <v>45289.0</v>
      </c>
      <c r="B23" s="331" t="s">
        <v>98</v>
      </c>
      <c r="C23" s="332" t="s">
        <v>2904</v>
      </c>
      <c r="D23" s="332" t="s">
        <v>2907</v>
      </c>
      <c r="E23" s="332">
        <v>2000.0</v>
      </c>
      <c r="F23" s="338"/>
      <c r="G23" s="319"/>
      <c r="H23" s="339"/>
      <c r="I23" s="308"/>
      <c r="J23" s="308"/>
      <c r="K23" s="308"/>
      <c r="L23" s="308"/>
      <c r="M23" s="308"/>
      <c r="N23" s="332">
        <v>2000.0</v>
      </c>
      <c r="O23" s="308"/>
      <c r="P23" s="308"/>
      <c r="Q23" s="308"/>
      <c r="R23" s="308"/>
      <c r="S23" s="308"/>
      <c r="T23" s="308"/>
      <c r="U23" s="308"/>
      <c r="V23" s="308" t="b">
        <v>0</v>
      </c>
      <c r="W23" s="308"/>
      <c r="X23" s="308"/>
      <c r="Y23" s="308"/>
      <c r="Z23" s="309"/>
      <c r="AA23" s="309"/>
      <c r="AB23" s="308"/>
      <c r="AC23" s="308"/>
    </row>
    <row r="24" hidden="1">
      <c r="A24" s="330">
        <v>45289.0</v>
      </c>
      <c r="B24" s="331" t="s">
        <v>117</v>
      </c>
      <c r="C24" s="332" t="s">
        <v>2904</v>
      </c>
      <c r="D24" s="332" t="s">
        <v>2907</v>
      </c>
      <c r="E24" s="332">
        <v>2500.0</v>
      </c>
      <c r="F24" s="338"/>
      <c r="G24" s="319"/>
      <c r="H24" s="339"/>
      <c r="I24" s="308"/>
      <c r="J24" s="308"/>
      <c r="K24" s="308"/>
      <c r="L24" s="308"/>
      <c r="M24" s="308"/>
      <c r="N24" s="308"/>
      <c r="O24" s="308"/>
      <c r="P24" s="332">
        <v>2500.0</v>
      </c>
      <c r="Q24" s="308"/>
      <c r="R24" s="308"/>
      <c r="S24" s="308"/>
      <c r="T24" s="308"/>
      <c r="U24" s="308"/>
      <c r="V24" s="308" t="b">
        <v>0</v>
      </c>
      <c r="W24" s="308"/>
      <c r="X24" s="308"/>
      <c r="Y24" s="308"/>
      <c r="Z24" s="309"/>
      <c r="AA24" s="309"/>
      <c r="AB24" s="308"/>
      <c r="AC24" s="308"/>
    </row>
    <row r="25" hidden="1">
      <c r="A25" s="330">
        <v>45295.0</v>
      </c>
      <c r="B25" s="331" t="s">
        <v>120</v>
      </c>
      <c r="C25" s="332" t="s">
        <v>2908</v>
      </c>
      <c r="D25" s="332" t="s">
        <v>2907</v>
      </c>
      <c r="E25" s="332">
        <v>275.0</v>
      </c>
      <c r="F25" s="338"/>
      <c r="G25" s="319"/>
      <c r="H25" s="339"/>
      <c r="I25" s="308"/>
      <c r="J25" s="308"/>
      <c r="K25" s="308"/>
      <c r="L25" s="308"/>
      <c r="M25" s="308"/>
      <c r="N25" s="308"/>
      <c r="O25" s="308"/>
      <c r="P25" s="332">
        <v>275.0</v>
      </c>
      <c r="Q25" s="308"/>
      <c r="R25" s="308"/>
      <c r="S25" s="308"/>
      <c r="T25" s="308"/>
      <c r="U25" s="308"/>
      <c r="V25" s="308" t="b">
        <v>0</v>
      </c>
      <c r="W25" s="308"/>
      <c r="X25" s="308"/>
      <c r="Y25" s="308"/>
      <c r="Z25" s="309"/>
      <c r="AA25" s="309"/>
      <c r="AB25" s="308"/>
      <c r="AC25" s="308"/>
    </row>
    <row r="26" hidden="1">
      <c r="A26" s="330">
        <v>45295.0</v>
      </c>
      <c r="B26" s="331" t="s">
        <v>123</v>
      </c>
      <c r="C26" s="332" t="s">
        <v>2904</v>
      </c>
      <c r="D26" s="332" t="s">
        <v>2907</v>
      </c>
      <c r="E26" s="332">
        <v>2050.0</v>
      </c>
      <c r="F26" s="333">
        <v>45461.0</v>
      </c>
      <c r="G26" s="346">
        <v>250.0</v>
      </c>
      <c r="H26" s="347" t="s">
        <v>2910</v>
      </c>
      <c r="I26" s="308"/>
      <c r="J26" s="308"/>
      <c r="K26" s="308"/>
      <c r="L26" s="308"/>
      <c r="M26" s="308"/>
      <c r="N26" s="308"/>
      <c r="O26" s="308"/>
      <c r="P26" s="332">
        <v>2050.0</v>
      </c>
      <c r="Q26" s="308"/>
      <c r="R26" s="308"/>
      <c r="S26" s="308"/>
      <c r="T26" s="308"/>
      <c r="U26" s="308"/>
      <c r="V26" s="308" t="b">
        <v>0</v>
      </c>
      <c r="W26" s="308"/>
      <c r="X26" s="308"/>
      <c r="Y26" s="308"/>
      <c r="Z26" s="309"/>
      <c r="AA26" s="309"/>
      <c r="AB26" s="308"/>
      <c r="AC26" s="308"/>
    </row>
    <row r="27" hidden="1">
      <c r="A27" s="330">
        <v>45295.0</v>
      </c>
      <c r="B27" s="331" t="s">
        <v>37</v>
      </c>
      <c r="C27" s="332" t="s">
        <v>2904</v>
      </c>
      <c r="D27" s="332" t="s">
        <v>2907</v>
      </c>
      <c r="E27" s="332">
        <v>1500.0</v>
      </c>
      <c r="F27" s="338"/>
      <c r="G27" s="319"/>
      <c r="H27" s="339"/>
      <c r="I27" s="308"/>
      <c r="J27" s="308"/>
      <c r="K27" s="308"/>
      <c r="L27" s="308"/>
      <c r="M27" s="332">
        <v>1500.0</v>
      </c>
      <c r="N27" s="308"/>
      <c r="O27" s="308"/>
      <c r="P27" s="308"/>
      <c r="Q27" s="308"/>
      <c r="R27" s="308"/>
      <c r="S27" s="308"/>
      <c r="T27" s="308"/>
      <c r="U27" s="308"/>
      <c r="V27" s="308" t="b">
        <v>0</v>
      </c>
      <c r="W27" s="308"/>
      <c r="X27" s="308"/>
      <c r="Y27" s="308"/>
      <c r="Z27" s="309"/>
      <c r="AA27" s="309"/>
      <c r="AB27" s="308"/>
      <c r="AC27" s="308"/>
    </row>
    <row r="28" hidden="1">
      <c r="A28" s="330">
        <v>45295.0</v>
      </c>
      <c r="B28" s="331" t="s">
        <v>130</v>
      </c>
      <c r="C28" s="332" t="s">
        <v>2904</v>
      </c>
      <c r="D28" s="332" t="s">
        <v>2907</v>
      </c>
      <c r="E28" s="332">
        <v>2500.0</v>
      </c>
      <c r="F28" s="338"/>
      <c r="G28" s="319"/>
      <c r="H28" s="339"/>
      <c r="I28" s="308"/>
      <c r="J28" s="308"/>
      <c r="K28" s="308"/>
      <c r="L28" s="308"/>
      <c r="M28" s="308"/>
      <c r="N28" s="308"/>
      <c r="O28" s="308"/>
      <c r="P28" s="332">
        <v>2500.0</v>
      </c>
      <c r="Q28" s="308"/>
      <c r="R28" s="308"/>
      <c r="S28" s="308"/>
      <c r="T28" s="308"/>
      <c r="U28" s="308"/>
      <c r="V28" s="308" t="b">
        <v>0</v>
      </c>
      <c r="W28" s="308"/>
      <c r="X28" s="308"/>
      <c r="Y28" s="308"/>
      <c r="Z28" s="309"/>
      <c r="AA28" s="309"/>
      <c r="AB28" s="308"/>
      <c r="AC28" s="308"/>
    </row>
    <row r="29" hidden="1">
      <c r="A29" s="330">
        <v>45295.0</v>
      </c>
      <c r="B29" s="331" t="s">
        <v>130</v>
      </c>
      <c r="C29" s="332" t="s">
        <v>2904</v>
      </c>
      <c r="D29" s="332" t="s">
        <v>2907</v>
      </c>
      <c r="E29" s="332">
        <v>150.0</v>
      </c>
      <c r="F29" s="338"/>
      <c r="G29" s="319"/>
      <c r="H29" s="339"/>
      <c r="I29" s="308"/>
      <c r="J29" s="308"/>
      <c r="K29" s="308"/>
      <c r="L29" s="308"/>
      <c r="M29" s="332">
        <v>150.0</v>
      </c>
      <c r="N29" s="308"/>
      <c r="O29" s="308"/>
      <c r="P29" s="308"/>
      <c r="Q29" s="308"/>
      <c r="R29" s="308"/>
      <c r="S29" s="308"/>
      <c r="T29" s="308"/>
      <c r="U29" s="308"/>
      <c r="V29" s="308" t="b">
        <v>0</v>
      </c>
      <c r="W29" s="308"/>
      <c r="X29" s="308"/>
      <c r="Y29" s="308"/>
      <c r="Z29" s="309"/>
      <c r="AA29" s="309"/>
      <c r="AB29" s="308"/>
      <c r="AC29" s="308"/>
    </row>
    <row r="30" hidden="1">
      <c r="A30" s="330">
        <v>45295.0</v>
      </c>
      <c r="B30" s="331" t="s">
        <v>137</v>
      </c>
      <c r="C30" s="332" t="s">
        <v>2904</v>
      </c>
      <c r="D30" s="332" t="s">
        <v>2907</v>
      </c>
      <c r="E30" s="332">
        <v>2500.0</v>
      </c>
      <c r="F30" s="338"/>
      <c r="G30" s="319"/>
      <c r="H30" s="339"/>
      <c r="I30" s="308"/>
      <c r="J30" s="308"/>
      <c r="K30" s="308"/>
      <c r="L30" s="308"/>
      <c r="M30" s="308"/>
      <c r="N30" s="308"/>
      <c r="O30" s="308"/>
      <c r="P30" s="332">
        <v>2500.0</v>
      </c>
      <c r="Q30" s="308"/>
      <c r="R30" s="308"/>
      <c r="S30" s="308"/>
      <c r="T30" s="308"/>
      <c r="U30" s="308"/>
      <c r="V30" s="308" t="b">
        <v>0</v>
      </c>
      <c r="W30" s="308"/>
      <c r="X30" s="308"/>
      <c r="Y30" s="308"/>
      <c r="Z30" s="309"/>
      <c r="AA30" s="309"/>
      <c r="AB30" s="308"/>
      <c r="AC30" s="308"/>
    </row>
    <row r="31" hidden="1">
      <c r="A31" s="330">
        <v>45295.0</v>
      </c>
      <c r="B31" s="331" t="s">
        <v>141</v>
      </c>
      <c r="C31" s="343" t="s">
        <v>2908</v>
      </c>
      <c r="D31" s="343" t="s">
        <v>2911</v>
      </c>
      <c r="E31" s="332">
        <v>1000.0</v>
      </c>
      <c r="F31" s="338"/>
      <c r="G31" s="319"/>
      <c r="H31" s="337"/>
      <c r="I31" s="308"/>
      <c r="J31" s="308"/>
      <c r="K31" s="308"/>
      <c r="L31" s="308"/>
      <c r="M31" s="308"/>
      <c r="N31" s="341"/>
      <c r="O31" s="308"/>
      <c r="P31" s="308"/>
      <c r="Q31" s="345">
        <v>1815.0</v>
      </c>
      <c r="R31" s="308"/>
      <c r="S31" s="308"/>
      <c r="T31" s="308"/>
      <c r="U31" s="308"/>
      <c r="V31" s="332" t="b">
        <v>1</v>
      </c>
      <c r="W31" s="308"/>
      <c r="X31" s="308"/>
      <c r="Y31" s="308"/>
      <c r="Z31" s="309"/>
      <c r="AA31" s="309"/>
      <c r="AB31" s="308"/>
      <c r="AC31" s="308"/>
    </row>
    <row r="32" hidden="1">
      <c r="A32" s="330">
        <v>45295.0</v>
      </c>
      <c r="B32" s="331" t="s">
        <v>141</v>
      </c>
      <c r="C32" s="343" t="s">
        <v>2908</v>
      </c>
      <c r="D32" s="343" t="s">
        <v>2911</v>
      </c>
      <c r="E32" s="332">
        <v>1000.0</v>
      </c>
      <c r="F32" s="338"/>
      <c r="G32" s="319"/>
      <c r="H32" s="337"/>
      <c r="I32" s="308"/>
      <c r="J32" s="308"/>
      <c r="K32" s="308"/>
      <c r="L32" s="308"/>
      <c r="M32" s="308"/>
      <c r="N32" s="341"/>
      <c r="O32" s="308"/>
      <c r="P32" s="308"/>
      <c r="Q32" s="345">
        <v>1000.0</v>
      </c>
      <c r="R32" s="308"/>
      <c r="S32" s="308"/>
      <c r="T32" s="308"/>
      <c r="U32" s="308"/>
      <c r="V32" s="332" t="b">
        <v>1</v>
      </c>
      <c r="W32" s="308"/>
      <c r="X32" s="308"/>
      <c r="Y32" s="308"/>
      <c r="Z32" s="309"/>
      <c r="AA32" s="309"/>
      <c r="AB32" s="308"/>
      <c r="AC32" s="308"/>
    </row>
    <row r="33" hidden="1">
      <c r="A33" s="330">
        <v>45300.0</v>
      </c>
      <c r="B33" s="331" t="s">
        <v>148</v>
      </c>
      <c r="C33" s="343" t="s">
        <v>2908</v>
      </c>
      <c r="D33" s="343" t="s">
        <v>2909</v>
      </c>
      <c r="E33" s="332">
        <v>525.0</v>
      </c>
      <c r="F33" s="338"/>
      <c r="G33" s="319"/>
      <c r="H33" s="339"/>
      <c r="I33" s="308"/>
      <c r="J33" s="332"/>
      <c r="K33" s="332">
        <v>525.0</v>
      </c>
      <c r="L33" s="308"/>
      <c r="M33" s="308"/>
      <c r="N33" s="308"/>
      <c r="O33" s="308"/>
      <c r="P33" s="308"/>
      <c r="Q33" s="308"/>
      <c r="R33" s="308"/>
      <c r="S33" s="308"/>
      <c r="T33" s="308"/>
      <c r="U33" s="308"/>
      <c r="V33" s="308" t="b">
        <v>0</v>
      </c>
      <c r="W33" s="308"/>
      <c r="X33" s="308"/>
      <c r="Y33" s="308"/>
      <c r="Z33" s="309"/>
      <c r="AA33" s="309"/>
      <c r="AB33" s="308"/>
      <c r="AC33" s="308"/>
    </row>
    <row r="34" hidden="1">
      <c r="A34" s="330">
        <v>45300.0</v>
      </c>
      <c r="B34" s="331" t="s">
        <v>150</v>
      </c>
      <c r="C34" s="332" t="s">
        <v>2908</v>
      </c>
      <c r="D34" s="332" t="s">
        <v>2907</v>
      </c>
      <c r="E34" s="332">
        <v>325.0</v>
      </c>
      <c r="F34" s="338"/>
      <c r="G34" s="319"/>
      <c r="H34" s="339"/>
      <c r="I34" s="308"/>
      <c r="J34" s="308"/>
      <c r="K34" s="308"/>
      <c r="L34" s="308"/>
      <c r="M34" s="308"/>
      <c r="N34" s="332">
        <v>325.0</v>
      </c>
      <c r="O34" s="308"/>
      <c r="P34" s="308"/>
      <c r="Q34" s="308"/>
      <c r="R34" s="308"/>
      <c r="S34" s="308"/>
      <c r="T34" s="308"/>
      <c r="U34" s="308"/>
      <c r="V34" s="308" t="b">
        <v>0</v>
      </c>
      <c r="W34" s="308"/>
      <c r="X34" s="308"/>
      <c r="Y34" s="308"/>
      <c r="Z34" s="309"/>
      <c r="AA34" s="309"/>
      <c r="AB34" s="308"/>
      <c r="AC34" s="308"/>
    </row>
    <row r="35" hidden="1">
      <c r="A35" s="330">
        <v>45300.0</v>
      </c>
      <c r="B35" s="331" t="s">
        <v>155</v>
      </c>
      <c r="C35" s="332" t="s">
        <v>2908</v>
      </c>
      <c r="D35" s="332" t="s">
        <v>2907</v>
      </c>
      <c r="E35" s="332">
        <v>3000.0</v>
      </c>
      <c r="F35" s="338"/>
      <c r="G35" s="319"/>
      <c r="H35" s="339"/>
      <c r="I35" s="308"/>
      <c r="J35" s="308"/>
      <c r="K35" s="308"/>
      <c r="L35" s="308"/>
      <c r="M35" s="308"/>
      <c r="N35" s="308"/>
      <c r="O35" s="308"/>
      <c r="P35" s="332">
        <v>3000.0</v>
      </c>
      <c r="Q35" s="308"/>
      <c r="R35" s="308"/>
      <c r="S35" s="308"/>
      <c r="T35" s="308"/>
      <c r="U35" s="308"/>
      <c r="V35" s="308" t="b">
        <v>0</v>
      </c>
      <c r="W35" s="308"/>
      <c r="X35" s="308"/>
      <c r="Y35" s="308"/>
      <c r="Z35" s="309"/>
      <c r="AA35" s="309"/>
      <c r="AB35" s="308"/>
      <c r="AC35" s="308"/>
    </row>
    <row r="36" hidden="1">
      <c r="A36" s="330">
        <v>45300.0</v>
      </c>
      <c r="B36" s="331" t="s">
        <v>160</v>
      </c>
      <c r="C36" s="332" t="s">
        <v>2904</v>
      </c>
      <c r="D36" s="332" t="s">
        <v>2907</v>
      </c>
      <c r="E36" s="332">
        <v>3000.0</v>
      </c>
      <c r="F36" s="338"/>
      <c r="G36" s="319"/>
      <c r="H36" s="339"/>
      <c r="I36" s="308"/>
      <c r="J36" s="308"/>
      <c r="K36" s="308"/>
      <c r="L36" s="308"/>
      <c r="M36" s="308"/>
      <c r="N36" s="308"/>
      <c r="O36" s="308"/>
      <c r="P36" s="332">
        <v>3000.0</v>
      </c>
      <c r="Q36" s="308"/>
      <c r="R36" s="308"/>
      <c r="S36" s="308"/>
      <c r="T36" s="308"/>
      <c r="U36" s="308"/>
      <c r="V36" s="308" t="b">
        <v>0</v>
      </c>
      <c r="W36" s="308"/>
      <c r="X36" s="308"/>
      <c r="Y36" s="308"/>
      <c r="Z36" s="309"/>
      <c r="AA36" s="309"/>
      <c r="AB36" s="308"/>
      <c r="AC36" s="308"/>
    </row>
    <row r="37" hidden="1">
      <c r="A37" s="330">
        <v>45300.0</v>
      </c>
      <c r="B37" s="331" t="s">
        <v>162</v>
      </c>
      <c r="C37" s="332" t="s">
        <v>2908</v>
      </c>
      <c r="D37" s="343" t="s">
        <v>2909</v>
      </c>
      <c r="E37" s="332">
        <v>525.0</v>
      </c>
      <c r="F37" s="333">
        <v>45425.0</v>
      </c>
      <c r="G37" s="346">
        <v>525.0</v>
      </c>
      <c r="H37" s="337" t="s">
        <v>2912</v>
      </c>
      <c r="I37" s="308"/>
      <c r="J37" s="308"/>
      <c r="K37" s="332">
        <v>525.0</v>
      </c>
      <c r="L37" s="308"/>
      <c r="M37" s="308"/>
      <c r="N37" s="308"/>
      <c r="O37" s="308"/>
      <c r="P37" s="308"/>
      <c r="Q37" s="308"/>
      <c r="R37" s="308"/>
      <c r="S37" s="308"/>
      <c r="T37" s="308"/>
      <c r="U37" s="308"/>
      <c r="V37" s="308" t="b">
        <v>0</v>
      </c>
      <c r="W37" s="308"/>
      <c r="X37" s="308"/>
      <c r="Y37" s="308"/>
      <c r="Z37" s="309"/>
      <c r="AA37" s="309"/>
      <c r="AB37" s="308"/>
      <c r="AC37" s="308"/>
    </row>
    <row r="38" hidden="1">
      <c r="A38" s="330">
        <v>45303.0</v>
      </c>
      <c r="B38" s="331" t="s">
        <v>168</v>
      </c>
      <c r="C38" s="332" t="s">
        <v>2908</v>
      </c>
      <c r="D38" s="332" t="s">
        <v>2907</v>
      </c>
      <c r="E38" s="332">
        <v>2628.09</v>
      </c>
      <c r="F38" s="338"/>
      <c r="G38" s="319"/>
      <c r="H38" s="339"/>
      <c r="I38" s="308"/>
      <c r="J38" s="308"/>
      <c r="K38" s="308"/>
      <c r="L38" s="308"/>
      <c r="M38" s="332">
        <v>2628.0</v>
      </c>
      <c r="N38" s="308"/>
      <c r="O38" s="308"/>
      <c r="P38" s="308"/>
      <c r="Q38" s="308"/>
      <c r="R38" s="308"/>
      <c r="S38" s="308"/>
      <c r="T38" s="308"/>
      <c r="U38" s="308"/>
      <c r="V38" s="308" t="b">
        <v>0</v>
      </c>
      <c r="W38" s="308"/>
      <c r="X38" s="308"/>
      <c r="Y38" s="308"/>
      <c r="Z38" s="309"/>
      <c r="AA38" s="309"/>
      <c r="AB38" s="308"/>
      <c r="AC38" s="308"/>
    </row>
    <row r="39" hidden="1">
      <c r="A39" s="330">
        <v>45303.0</v>
      </c>
      <c r="B39" s="331" t="s">
        <v>174</v>
      </c>
      <c r="C39" s="332" t="s">
        <v>2908</v>
      </c>
      <c r="D39" s="332" t="s">
        <v>2907</v>
      </c>
      <c r="E39" s="332">
        <v>3500.0</v>
      </c>
      <c r="F39" s="338"/>
      <c r="G39" s="319"/>
      <c r="H39" s="339"/>
      <c r="I39" s="308"/>
      <c r="J39" s="308"/>
      <c r="K39" s="308"/>
      <c r="L39" s="308"/>
      <c r="M39" s="332">
        <v>3500.0</v>
      </c>
      <c r="N39" s="308"/>
      <c r="O39" s="308"/>
      <c r="P39" s="308"/>
      <c r="Q39" s="308"/>
      <c r="R39" s="308"/>
      <c r="S39" s="308"/>
      <c r="T39" s="308"/>
      <c r="U39" s="308"/>
      <c r="V39" s="308" t="b">
        <v>0</v>
      </c>
      <c r="W39" s="308"/>
      <c r="X39" s="308"/>
      <c r="Y39" s="308"/>
      <c r="Z39" s="309"/>
      <c r="AA39" s="309"/>
      <c r="AB39" s="308"/>
      <c r="AC39" s="308"/>
    </row>
    <row r="40" hidden="1">
      <c r="A40" s="330">
        <v>45303.0</v>
      </c>
      <c r="B40" s="331" t="s">
        <v>171</v>
      </c>
      <c r="C40" s="332" t="s">
        <v>2908</v>
      </c>
      <c r="D40" s="332" t="s">
        <v>2907</v>
      </c>
      <c r="E40" s="332">
        <v>3500.0</v>
      </c>
      <c r="F40" s="338"/>
      <c r="G40" s="319"/>
      <c r="H40" s="339"/>
      <c r="I40" s="308"/>
      <c r="J40" s="308"/>
      <c r="K40" s="308"/>
      <c r="L40" s="308"/>
      <c r="M40" s="332">
        <v>3500.0</v>
      </c>
      <c r="N40" s="308"/>
      <c r="O40" s="308"/>
      <c r="P40" s="308"/>
      <c r="Q40" s="308"/>
      <c r="R40" s="308"/>
      <c r="S40" s="308"/>
      <c r="T40" s="308"/>
      <c r="U40" s="308"/>
      <c r="V40" s="308" t="b">
        <v>0</v>
      </c>
      <c r="W40" s="308"/>
      <c r="X40" s="308"/>
      <c r="Y40" s="308"/>
      <c r="Z40" s="309"/>
      <c r="AA40" s="309"/>
      <c r="AB40" s="308"/>
      <c r="AC40" s="308"/>
    </row>
    <row r="41" hidden="1">
      <c r="A41" s="330">
        <v>45307.0</v>
      </c>
      <c r="B41" s="331" t="s">
        <v>166</v>
      </c>
      <c r="C41" s="332" t="s">
        <v>2908</v>
      </c>
      <c r="D41" s="332" t="s">
        <v>2907</v>
      </c>
      <c r="E41" s="332">
        <v>129.98</v>
      </c>
      <c r="F41" s="338"/>
      <c r="G41" s="319"/>
      <c r="H41" s="339"/>
      <c r="I41" s="308"/>
      <c r="J41" s="308"/>
      <c r="K41" s="308"/>
      <c r="L41" s="308"/>
      <c r="M41" s="332">
        <v>129.98</v>
      </c>
      <c r="N41" s="308"/>
      <c r="O41" s="308"/>
      <c r="P41" s="308"/>
      <c r="Q41" s="308"/>
      <c r="R41" s="308"/>
      <c r="S41" s="308"/>
      <c r="T41" s="308"/>
      <c r="U41" s="308"/>
      <c r="V41" s="308" t="b">
        <v>0</v>
      </c>
      <c r="W41" s="308"/>
      <c r="X41" s="308"/>
      <c r="Y41" s="308"/>
      <c r="Z41" s="309"/>
      <c r="AA41" s="309"/>
      <c r="AB41" s="308"/>
      <c r="AC41" s="308"/>
    </row>
    <row r="42" hidden="1">
      <c r="A42" s="330">
        <v>45307.0</v>
      </c>
      <c r="B42" s="331" t="s">
        <v>153</v>
      </c>
      <c r="C42" s="332" t="s">
        <v>2908</v>
      </c>
      <c r="D42" s="332" t="s">
        <v>2907</v>
      </c>
      <c r="E42" s="332">
        <v>3568.97</v>
      </c>
      <c r="F42" s="338"/>
      <c r="G42" s="319"/>
      <c r="H42" s="339"/>
      <c r="I42" s="308"/>
      <c r="J42" s="308"/>
      <c r="K42" s="308"/>
      <c r="L42" s="308"/>
      <c r="M42" s="332">
        <v>3568.97</v>
      </c>
      <c r="N42" s="308"/>
      <c r="O42" s="308"/>
      <c r="P42" s="308"/>
      <c r="Q42" s="308"/>
      <c r="R42" s="308"/>
      <c r="S42" s="308"/>
      <c r="T42" s="308"/>
      <c r="U42" s="308"/>
      <c r="V42" s="308" t="b">
        <v>0</v>
      </c>
      <c r="W42" s="308"/>
      <c r="X42" s="308"/>
      <c r="Y42" s="308"/>
      <c r="Z42" s="309"/>
      <c r="AA42" s="309"/>
      <c r="AB42" s="308"/>
      <c r="AC42" s="308"/>
    </row>
    <row r="43" hidden="1">
      <c r="A43" s="330">
        <v>45307.0</v>
      </c>
      <c r="B43" s="331" t="s">
        <v>153</v>
      </c>
      <c r="C43" s="332" t="s">
        <v>2908</v>
      </c>
      <c r="D43" s="332" t="s">
        <v>2907</v>
      </c>
      <c r="E43" s="332">
        <v>66.93</v>
      </c>
      <c r="F43" s="338"/>
      <c r="G43" s="319"/>
      <c r="H43" s="347"/>
      <c r="I43" s="308"/>
      <c r="J43" s="308"/>
      <c r="K43" s="308"/>
      <c r="L43" s="308"/>
      <c r="M43" s="332">
        <v>66.93</v>
      </c>
      <c r="N43" s="332"/>
      <c r="O43" s="308"/>
      <c r="P43" s="308"/>
      <c r="Q43" s="308"/>
      <c r="R43" s="308"/>
      <c r="S43" s="308"/>
      <c r="T43" s="308"/>
      <c r="U43" s="308"/>
      <c r="V43" s="308" t="b">
        <v>0</v>
      </c>
      <c r="W43" s="308"/>
      <c r="X43" s="308"/>
      <c r="Y43" s="308"/>
      <c r="Z43" s="309"/>
      <c r="AA43" s="309"/>
      <c r="AB43" s="308"/>
      <c r="AC43" s="308"/>
    </row>
    <row r="44" hidden="1">
      <c r="A44" s="330">
        <v>45307.0</v>
      </c>
      <c r="B44" s="331" t="s">
        <v>183</v>
      </c>
      <c r="C44" s="332" t="s">
        <v>2908</v>
      </c>
      <c r="D44" s="332" t="s">
        <v>2907</v>
      </c>
      <c r="E44" s="332">
        <v>1500.0</v>
      </c>
      <c r="F44" s="333">
        <v>45292.0</v>
      </c>
      <c r="G44" s="319"/>
      <c r="H44" s="337"/>
      <c r="I44" s="308"/>
      <c r="J44" s="308"/>
      <c r="K44" s="308"/>
      <c r="L44" s="308"/>
      <c r="M44" s="308"/>
      <c r="N44" s="332">
        <v>1500.0</v>
      </c>
      <c r="O44" s="308"/>
      <c r="P44" s="308"/>
      <c r="Q44" s="308"/>
      <c r="R44" s="308"/>
      <c r="S44" s="308"/>
      <c r="T44" s="308"/>
      <c r="U44" s="308"/>
      <c r="V44" s="332" t="b">
        <v>1</v>
      </c>
      <c r="W44" s="308"/>
      <c r="X44" s="308"/>
      <c r="Y44" s="308"/>
      <c r="Z44" s="309"/>
      <c r="AA44" s="309"/>
      <c r="AB44" s="308"/>
      <c r="AC44" s="308"/>
    </row>
    <row r="45" hidden="1">
      <c r="A45" s="348">
        <v>45315.0</v>
      </c>
      <c r="B45" s="349" t="s">
        <v>188</v>
      </c>
      <c r="C45" s="350" t="s">
        <v>2904</v>
      </c>
      <c r="D45" s="350" t="s">
        <v>2909</v>
      </c>
      <c r="E45" s="351">
        <v>4080.0</v>
      </c>
      <c r="F45" s="352"/>
      <c r="G45" s="353"/>
      <c r="H45" s="352"/>
      <c r="I45" s="353"/>
      <c r="J45" s="353">
        <v>4080.0</v>
      </c>
      <c r="K45" s="353"/>
      <c r="L45" s="353"/>
      <c r="M45" s="353"/>
      <c r="N45" s="353"/>
      <c r="O45" s="353"/>
      <c r="P45" s="353"/>
      <c r="Q45" s="353"/>
      <c r="R45" s="353"/>
      <c r="S45" s="353"/>
      <c r="T45" s="353"/>
      <c r="U45" s="353"/>
      <c r="V45" s="353" t="b">
        <v>0</v>
      </c>
      <c r="W45" s="353"/>
      <c r="X45" s="353"/>
      <c r="Y45" s="353"/>
      <c r="Z45" s="354"/>
      <c r="AA45" s="354"/>
      <c r="AB45" s="353"/>
      <c r="AC45" s="353"/>
    </row>
    <row r="46" hidden="1">
      <c r="A46" s="330">
        <v>45331.0</v>
      </c>
      <c r="B46" s="331" t="s">
        <v>141</v>
      </c>
      <c r="C46" s="332" t="s">
        <v>2908</v>
      </c>
      <c r="D46" s="332" t="s">
        <v>2907</v>
      </c>
      <c r="E46" s="332">
        <v>800.0</v>
      </c>
      <c r="F46" s="338"/>
      <c r="G46" s="319"/>
      <c r="H46" s="337"/>
      <c r="I46" s="308"/>
      <c r="J46" s="308"/>
      <c r="K46" s="308"/>
      <c r="L46" s="308"/>
      <c r="M46" s="308"/>
      <c r="N46" s="332"/>
      <c r="O46" s="308"/>
      <c r="P46" s="332">
        <v>800.0</v>
      </c>
      <c r="Q46" s="308"/>
      <c r="R46" s="308"/>
      <c r="S46" s="308"/>
      <c r="T46" s="308"/>
      <c r="U46" s="308"/>
      <c r="V46" s="308" t="b">
        <v>0</v>
      </c>
      <c r="W46" s="308"/>
      <c r="X46" s="308"/>
      <c r="Y46" s="308"/>
      <c r="Z46" s="309"/>
      <c r="AA46" s="309"/>
      <c r="AB46" s="308"/>
      <c r="AC46" s="308"/>
    </row>
    <row r="47" hidden="1">
      <c r="A47" s="330">
        <v>45331.0</v>
      </c>
      <c r="B47" s="331" t="s">
        <v>219</v>
      </c>
      <c r="C47" s="332" t="s">
        <v>2904</v>
      </c>
      <c r="D47" s="332" t="s">
        <v>2907</v>
      </c>
      <c r="E47" s="332">
        <v>59.99</v>
      </c>
      <c r="F47" s="338"/>
      <c r="G47" s="319"/>
      <c r="H47" s="339"/>
      <c r="I47" s="308"/>
      <c r="J47" s="308"/>
      <c r="K47" s="308"/>
      <c r="L47" s="308"/>
      <c r="M47" s="308"/>
      <c r="N47" s="332">
        <v>59.99</v>
      </c>
      <c r="O47" s="308"/>
      <c r="P47" s="308"/>
      <c r="Q47" s="308"/>
      <c r="R47" s="308"/>
      <c r="S47" s="308"/>
      <c r="T47" s="308"/>
      <c r="U47" s="308"/>
      <c r="V47" s="308" t="b">
        <v>0</v>
      </c>
      <c r="W47" s="308"/>
      <c r="X47" s="308"/>
      <c r="Y47" s="308"/>
      <c r="Z47" s="309"/>
      <c r="AA47" s="309"/>
      <c r="AB47" s="308"/>
      <c r="AC47" s="308"/>
    </row>
    <row r="48" hidden="1">
      <c r="A48" s="330">
        <v>45331.0</v>
      </c>
      <c r="B48" s="331" t="s">
        <v>222</v>
      </c>
      <c r="C48" s="332" t="s">
        <v>2908</v>
      </c>
      <c r="D48" s="332" t="s">
        <v>2907</v>
      </c>
      <c r="E48" s="332">
        <v>59.0</v>
      </c>
      <c r="F48" s="338"/>
      <c r="G48" s="319"/>
      <c r="H48" s="339"/>
      <c r="I48" s="308"/>
      <c r="J48" s="308"/>
      <c r="K48" s="308"/>
      <c r="L48" s="308"/>
      <c r="M48" s="308"/>
      <c r="N48" s="308"/>
      <c r="O48" s="308"/>
      <c r="P48" s="332">
        <v>59.0</v>
      </c>
      <c r="Q48" s="308"/>
      <c r="R48" s="308"/>
      <c r="S48" s="308"/>
      <c r="T48" s="308"/>
      <c r="U48" s="308"/>
      <c r="V48" s="308" t="b">
        <v>0</v>
      </c>
      <c r="W48" s="308"/>
      <c r="X48" s="308"/>
      <c r="Y48" s="308"/>
      <c r="Z48" s="309"/>
      <c r="AA48" s="309"/>
      <c r="AB48" s="308"/>
      <c r="AC48" s="308"/>
    </row>
    <row r="49" hidden="1">
      <c r="A49" s="330">
        <v>45331.0</v>
      </c>
      <c r="B49" s="331" t="s">
        <v>213</v>
      </c>
      <c r="C49" s="332" t="s">
        <v>2908</v>
      </c>
      <c r="D49" s="332" t="s">
        <v>2907</v>
      </c>
      <c r="E49" s="332">
        <v>987.0</v>
      </c>
      <c r="F49" s="338"/>
      <c r="G49" s="319"/>
      <c r="H49" s="339"/>
      <c r="I49" s="308"/>
      <c r="J49" s="308"/>
      <c r="K49" s="308"/>
      <c r="L49" s="308"/>
      <c r="M49" s="308"/>
      <c r="N49" s="308"/>
      <c r="O49" s="308"/>
      <c r="P49" s="332">
        <v>987.0</v>
      </c>
      <c r="Q49" s="308"/>
      <c r="R49" s="308"/>
      <c r="S49" s="308"/>
      <c r="T49" s="308"/>
      <c r="U49" s="308"/>
      <c r="V49" s="308" t="b">
        <v>0</v>
      </c>
      <c r="W49" s="308"/>
      <c r="X49" s="308"/>
      <c r="Y49" s="308"/>
      <c r="Z49" s="309"/>
      <c r="AA49" s="309"/>
      <c r="AB49" s="308"/>
      <c r="AC49" s="308"/>
    </row>
    <row r="50" hidden="1">
      <c r="A50" s="330">
        <v>45331.0</v>
      </c>
      <c r="B50" s="331" t="s">
        <v>209</v>
      </c>
      <c r="C50" s="332" t="s">
        <v>2908</v>
      </c>
      <c r="D50" s="332" t="s">
        <v>2907</v>
      </c>
      <c r="E50" s="332">
        <v>3699.0</v>
      </c>
      <c r="F50" s="338"/>
      <c r="G50" s="319"/>
      <c r="H50" s="339"/>
      <c r="I50" s="308"/>
      <c r="J50" s="308"/>
      <c r="K50" s="308"/>
      <c r="L50" s="308"/>
      <c r="M50" s="308"/>
      <c r="N50" s="332">
        <v>3699.0</v>
      </c>
      <c r="O50" s="308"/>
      <c r="P50" s="308"/>
      <c r="Q50" s="308"/>
      <c r="R50" s="308"/>
      <c r="S50" s="308"/>
      <c r="T50" s="308"/>
      <c r="U50" s="308"/>
      <c r="V50" s="308" t="b">
        <v>0</v>
      </c>
      <c r="W50" s="308"/>
      <c r="X50" s="308"/>
      <c r="Y50" s="308"/>
      <c r="Z50" s="309"/>
      <c r="AA50" s="309"/>
      <c r="AB50" s="308"/>
      <c r="AC50" s="308"/>
    </row>
    <row r="51" hidden="1">
      <c r="A51" s="330">
        <v>45335.0</v>
      </c>
      <c r="B51" s="331" t="s">
        <v>225</v>
      </c>
      <c r="C51" s="332" t="s">
        <v>2908</v>
      </c>
      <c r="D51" s="332" t="s">
        <v>2907</v>
      </c>
      <c r="E51" s="332">
        <v>625.0</v>
      </c>
      <c r="F51" s="338"/>
      <c r="G51" s="319"/>
      <c r="H51" s="339"/>
      <c r="I51" s="308"/>
      <c r="J51" s="308"/>
      <c r="K51" s="308"/>
      <c r="L51" s="308"/>
      <c r="M51" s="308"/>
      <c r="N51" s="308"/>
      <c r="O51" s="308"/>
      <c r="P51" s="332">
        <v>625.0</v>
      </c>
      <c r="Q51" s="308"/>
      <c r="R51" s="308"/>
      <c r="S51" s="308"/>
      <c r="T51" s="308"/>
      <c r="U51" s="308"/>
      <c r="V51" s="308" t="b">
        <v>0</v>
      </c>
      <c r="W51" s="308"/>
      <c r="X51" s="308"/>
      <c r="Y51" s="308"/>
      <c r="Z51" s="309"/>
      <c r="AA51" s="309"/>
      <c r="AB51" s="308"/>
      <c r="AC51" s="308"/>
    </row>
    <row r="52" hidden="1">
      <c r="A52" s="330">
        <v>45335.0</v>
      </c>
      <c r="B52" s="331" t="s">
        <v>240</v>
      </c>
      <c r="C52" s="332" t="s">
        <v>2908</v>
      </c>
      <c r="D52" s="332" t="s">
        <v>2907</v>
      </c>
      <c r="E52" s="332">
        <v>1225.5</v>
      </c>
      <c r="F52" s="338"/>
      <c r="G52" s="319"/>
      <c r="H52" s="339"/>
      <c r="I52" s="308"/>
      <c r="J52" s="308"/>
      <c r="K52" s="308"/>
      <c r="L52" s="308"/>
      <c r="M52" s="308"/>
      <c r="N52" s="308"/>
      <c r="O52" s="308"/>
      <c r="P52" s="332">
        <v>1225.5</v>
      </c>
      <c r="Q52" s="308"/>
      <c r="R52" s="308"/>
      <c r="S52" s="308"/>
      <c r="T52" s="308"/>
      <c r="U52" s="308"/>
      <c r="V52" s="308" t="b">
        <v>0</v>
      </c>
      <c r="W52" s="308"/>
      <c r="X52" s="308"/>
      <c r="Y52" s="308"/>
      <c r="Z52" s="309"/>
      <c r="AA52" s="309"/>
      <c r="AB52" s="308"/>
      <c r="AC52" s="308"/>
    </row>
    <row r="53" hidden="1">
      <c r="A53" s="330">
        <v>45338.0</v>
      </c>
      <c r="B53" s="331" t="s">
        <v>234</v>
      </c>
      <c r="C53" s="332" t="s">
        <v>2908</v>
      </c>
      <c r="D53" s="332" t="s">
        <v>2907</v>
      </c>
      <c r="E53" s="332">
        <v>2297.0</v>
      </c>
      <c r="F53" s="338"/>
      <c r="G53" s="319"/>
      <c r="H53" s="339"/>
      <c r="I53" s="308"/>
      <c r="J53" s="308"/>
      <c r="K53" s="308"/>
      <c r="L53" s="308"/>
      <c r="M53" s="308"/>
      <c r="N53" s="332">
        <v>2297.0</v>
      </c>
      <c r="O53" s="308"/>
      <c r="P53" s="308"/>
      <c r="Q53" s="308"/>
      <c r="R53" s="308"/>
      <c r="S53" s="308"/>
      <c r="T53" s="308"/>
      <c r="U53" s="308"/>
      <c r="V53" s="308" t="b">
        <v>0</v>
      </c>
      <c r="W53" s="308"/>
      <c r="X53" s="308"/>
      <c r="Y53" s="308"/>
      <c r="Z53" s="309"/>
      <c r="AA53" s="309"/>
      <c r="AB53" s="308"/>
      <c r="AC53" s="308"/>
    </row>
    <row r="54" hidden="1">
      <c r="A54" s="330">
        <v>45338.0</v>
      </c>
      <c r="B54" s="331" t="s">
        <v>234</v>
      </c>
      <c r="C54" s="332" t="s">
        <v>2908</v>
      </c>
      <c r="D54" s="332" t="s">
        <v>2907</v>
      </c>
      <c r="E54" s="332">
        <v>499.0</v>
      </c>
      <c r="F54" s="338"/>
      <c r="G54" s="319"/>
      <c r="H54" s="339"/>
      <c r="I54" s="308"/>
      <c r="J54" s="308"/>
      <c r="K54" s="308"/>
      <c r="L54" s="308"/>
      <c r="M54" s="308"/>
      <c r="N54" s="332">
        <v>499.0</v>
      </c>
      <c r="O54" s="308"/>
      <c r="P54" s="308"/>
      <c r="Q54" s="308"/>
      <c r="R54" s="308"/>
      <c r="S54" s="308"/>
      <c r="T54" s="308"/>
      <c r="U54" s="308"/>
      <c r="V54" s="308" t="b">
        <v>0</v>
      </c>
      <c r="W54" s="308"/>
      <c r="X54" s="308"/>
      <c r="Y54" s="308"/>
      <c r="Z54" s="309"/>
      <c r="AA54" s="309"/>
      <c r="AB54" s="308"/>
      <c r="AC54" s="308"/>
    </row>
    <row r="55" hidden="1">
      <c r="A55" s="330">
        <v>45345.0</v>
      </c>
      <c r="B55" s="331" t="s">
        <v>666</v>
      </c>
      <c r="C55" s="332" t="s">
        <v>2908</v>
      </c>
      <c r="D55" s="332" t="s">
        <v>2907</v>
      </c>
      <c r="E55" s="332">
        <v>59.99</v>
      </c>
      <c r="F55" s="338"/>
      <c r="G55" s="319"/>
      <c r="H55" s="339"/>
      <c r="I55" s="308"/>
      <c r="J55" s="308"/>
      <c r="K55" s="308"/>
      <c r="L55" s="308"/>
      <c r="M55" s="308"/>
      <c r="N55" s="332">
        <v>59.99</v>
      </c>
      <c r="O55" s="308"/>
      <c r="P55" s="308"/>
      <c r="Q55" s="308"/>
      <c r="R55" s="308"/>
      <c r="S55" s="308"/>
      <c r="T55" s="308"/>
      <c r="U55" s="308"/>
      <c r="V55" s="308" t="b">
        <v>0</v>
      </c>
      <c r="W55" s="308"/>
      <c r="X55" s="308"/>
      <c r="Y55" s="308"/>
      <c r="Z55" s="309"/>
      <c r="AA55" s="309"/>
      <c r="AB55" s="308"/>
      <c r="AC55" s="308"/>
    </row>
    <row r="56" hidden="1">
      <c r="A56" s="330">
        <v>45345.0</v>
      </c>
      <c r="B56" s="331" t="s">
        <v>247</v>
      </c>
      <c r="C56" s="332" t="s">
        <v>2908</v>
      </c>
      <c r="D56" s="332" t="s">
        <v>2907</v>
      </c>
      <c r="E56" s="332">
        <v>3469.0</v>
      </c>
      <c r="F56" s="338"/>
      <c r="G56" s="319"/>
      <c r="H56" s="339"/>
      <c r="I56" s="308"/>
      <c r="J56" s="308"/>
      <c r="K56" s="308"/>
      <c r="L56" s="308"/>
      <c r="M56" s="308"/>
      <c r="N56" s="308"/>
      <c r="O56" s="308"/>
      <c r="P56" s="332">
        <v>3469.0</v>
      </c>
      <c r="Q56" s="308"/>
      <c r="R56" s="308"/>
      <c r="S56" s="308"/>
      <c r="T56" s="308"/>
      <c r="U56" s="308"/>
      <c r="V56" s="308" t="b">
        <v>0</v>
      </c>
      <c r="W56" s="308"/>
      <c r="X56" s="308"/>
      <c r="Y56" s="308"/>
      <c r="Z56" s="309"/>
      <c r="AA56" s="309"/>
      <c r="AB56" s="308"/>
      <c r="AC56" s="308"/>
    </row>
    <row r="57" hidden="1">
      <c r="A57" s="330">
        <v>45344.0</v>
      </c>
      <c r="B57" s="331" t="s">
        <v>231</v>
      </c>
      <c r="C57" s="332" t="s">
        <v>2908</v>
      </c>
      <c r="D57" s="332" t="s">
        <v>2907</v>
      </c>
      <c r="E57" s="332">
        <v>36.0</v>
      </c>
      <c r="F57" s="338"/>
      <c r="G57" s="319"/>
      <c r="H57" s="339"/>
      <c r="I57" s="308"/>
      <c r="J57" s="308"/>
      <c r="K57" s="308"/>
      <c r="L57" s="308"/>
      <c r="M57" s="308"/>
      <c r="N57" s="332">
        <v>36.0</v>
      </c>
      <c r="O57" s="308"/>
      <c r="P57" s="308"/>
      <c r="Q57" s="308"/>
      <c r="R57" s="308"/>
      <c r="S57" s="308"/>
      <c r="T57" s="308"/>
      <c r="U57" s="308"/>
      <c r="V57" s="308" t="b">
        <v>0</v>
      </c>
      <c r="W57" s="308"/>
      <c r="X57" s="308"/>
      <c r="Y57" s="308"/>
      <c r="Z57" s="309"/>
      <c r="AA57" s="309"/>
      <c r="AB57" s="308"/>
      <c r="AC57" s="308"/>
    </row>
    <row r="58" hidden="1">
      <c r="A58" s="330">
        <v>45345.0</v>
      </c>
      <c r="B58" s="331" t="s">
        <v>117</v>
      </c>
      <c r="C58" s="332" t="s">
        <v>2904</v>
      </c>
      <c r="D58" s="343" t="s">
        <v>2905</v>
      </c>
      <c r="E58" s="332">
        <v>10000.0</v>
      </c>
      <c r="F58" s="355" t="s">
        <v>2913</v>
      </c>
      <c r="G58" s="319"/>
      <c r="H58" s="337"/>
      <c r="I58" s="308"/>
      <c r="J58" s="308"/>
      <c r="K58" s="308"/>
      <c r="L58" s="308"/>
      <c r="M58" s="308"/>
      <c r="N58" s="308"/>
      <c r="O58" s="332">
        <v>10000.0</v>
      </c>
      <c r="P58" s="308"/>
      <c r="Q58" s="308"/>
      <c r="R58" s="308"/>
      <c r="S58" s="308"/>
      <c r="T58" s="308"/>
      <c r="U58" s="308"/>
      <c r="V58" s="308" t="b">
        <v>0</v>
      </c>
      <c r="W58" s="308"/>
      <c r="X58" s="308"/>
      <c r="Y58" s="308"/>
      <c r="Z58" s="309"/>
      <c r="AA58" s="309"/>
      <c r="AB58" s="308"/>
      <c r="AC58" s="308"/>
    </row>
    <row r="59" hidden="1">
      <c r="A59" s="330">
        <v>45345.0</v>
      </c>
      <c r="B59" s="331" t="s">
        <v>243</v>
      </c>
      <c r="C59" s="332" t="s">
        <v>2904</v>
      </c>
      <c r="D59" s="332" t="s">
        <v>2905</v>
      </c>
      <c r="E59" s="332">
        <v>1000.0</v>
      </c>
      <c r="F59" s="338"/>
      <c r="G59" s="319"/>
      <c r="H59" s="339"/>
      <c r="I59" s="308"/>
      <c r="J59" s="308"/>
      <c r="K59" s="308"/>
      <c r="L59" s="308"/>
      <c r="M59" s="308"/>
      <c r="N59" s="308"/>
      <c r="O59" s="332">
        <v>1000.0</v>
      </c>
      <c r="P59" s="308"/>
      <c r="Q59" s="308"/>
      <c r="R59" s="308"/>
      <c r="S59" s="308"/>
      <c r="T59" s="308"/>
      <c r="U59" s="308"/>
      <c r="V59" s="308" t="b">
        <v>0</v>
      </c>
      <c r="W59" s="308"/>
      <c r="X59" s="308"/>
      <c r="Y59" s="308"/>
      <c r="Z59" s="309"/>
      <c r="AA59" s="309"/>
      <c r="AB59" s="308"/>
      <c r="AC59" s="308"/>
    </row>
    <row r="60" hidden="1">
      <c r="A60" s="330">
        <v>45338.0</v>
      </c>
      <c r="B60" s="331" t="s">
        <v>245</v>
      </c>
      <c r="C60" s="332" t="s">
        <v>2908</v>
      </c>
      <c r="D60" s="332" t="s">
        <v>2907</v>
      </c>
      <c r="E60" s="332">
        <v>1226.0</v>
      </c>
      <c r="F60" s="338"/>
      <c r="G60" s="319"/>
      <c r="H60" s="339"/>
      <c r="I60" s="308"/>
      <c r="J60" s="308"/>
      <c r="K60" s="308"/>
      <c r="L60" s="308"/>
      <c r="M60" s="308"/>
      <c r="N60" s="332">
        <v>1226.0</v>
      </c>
      <c r="O60" s="308"/>
      <c r="P60" s="308"/>
      <c r="Q60" s="308"/>
      <c r="R60" s="308"/>
      <c r="S60" s="308"/>
      <c r="T60" s="308"/>
      <c r="U60" s="308"/>
      <c r="V60" s="308" t="b">
        <v>0</v>
      </c>
      <c r="W60" s="308"/>
      <c r="X60" s="308"/>
      <c r="Y60" s="308"/>
      <c r="Z60" s="309"/>
      <c r="AA60" s="309"/>
      <c r="AB60" s="308"/>
      <c r="AC60" s="308"/>
    </row>
    <row r="61" hidden="1">
      <c r="A61" s="330">
        <v>45352.0</v>
      </c>
      <c r="B61" s="331" t="s">
        <v>272</v>
      </c>
      <c r="C61" s="332" t="s">
        <v>2904</v>
      </c>
      <c r="D61" s="332" t="s">
        <v>2907</v>
      </c>
      <c r="E61" s="332">
        <v>400.0</v>
      </c>
      <c r="F61" s="338"/>
      <c r="G61" s="319"/>
      <c r="H61" s="339"/>
      <c r="I61" s="308"/>
      <c r="J61" s="308"/>
      <c r="K61" s="308"/>
      <c r="L61" s="308"/>
      <c r="M61" s="308"/>
      <c r="N61" s="308"/>
      <c r="O61" s="308"/>
      <c r="P61" s="332">
        <v>400.0</v>
      </c>
      <c r="Q61" s="308"/>
      <c r="R61" s="308"/>
      <c r="S61" s="308"/>
      <c r="T61" s="308"/>
      <c r="U61" s="308"/>
      <c r="V61" s="308" t="b">
        <v>0</v>
      </c>
      <c r="W61" s="308"/>
      <c r="X61" s="308"/>
      <c r="Y61" s="308"/>
      <c r="Z61" s="309"/>
      <c r="AA61" s="309"/>
      <c r="AB61" s="308"/>
      <c r="AC61" s="308"/>
    </row>
    <row r="62" hidden="1">
      <c r="A62" s="330">
        <v>45352.0</v>
      </c>
      <c r="B62" s="331" t="s">
        <v>251</v>
      </c>
      <c r="C62" s="332" t="s">
        <v>2908</v>
      </c>
      <c r="D62" s="332" t="s">
        <v>2911</v>
      </c>
      <c r="E62" s="332">
        <v>165.0</v>
      </c>
      <c r="F62" s="338"/>
      <c r="G62" s="319"/>
      <c r="H62" s="339"/>
      <c r="I62" s="308"/>
      <c r="J62" s="308"/>
      <c r="K62" s="308"/>
      <c r="L62" s="308"/>
      <c r="M62" s="308"/>
      <c r="N62" s="308"/>
      <c r="O62" s="308"/>
      <c r="P62" s="308"/>
      <c r="Q62" s="332">
        <v>165.0</v>
      </c>
      <c r="R62" s="308"/>
      <c r="S62" s="308"/>
      <c r="T62" s="308"/>
      <c r="U62" s="308"/>
      <c r="V62" s="308" t="b">
        <v>0</v>
      </c>
      <c r="W62" s="308"/>
      <c r="X62" s="308"/>
      <c r="Y62" s="308"/>
      <c r="Z62" s="309"/>
      <c r="AA62" s="309"/>
      <c r="AB62" s="308"/>
      <c r="AC62" s="308"/>
    </row>
    <row r="63" hidden="1">
      <c r="A63" s="330">
        <v>45352.0</v>
      </c>
      <c r="B63" s="331" t="s">
        <v>255</v>
      </c>
      <c r="C63" s="332" t="s">
        <v>2908</v>
      </c>
      <c r="D63" s="332" t="s">
        <v>2907</v>
      </c>
      <c r="E63" s="332">
        <v>79.99</v>
      </c>
      <c r="F63" s="338"/>
      <c r="G63" s="319"/>
      <c r="H63" s="356" t="s">
        <v>2914</v>
      </c>
      <c r="I63" s="308"/>
      <c r="J63" s="308"/>
      <c r="K63" s="308"/>
      <c r="L63" s="308"/>
      <c r="M63" s="308"/>
      <c r="N63" s="308"/>
      <c r="O63" s="308"/>
      <c r="P63" s="332"/>
      <c r="Q63" s="308"/>
      <c r="R63" s="308"/>
      <c r="S63" s="308"/>
      <c r="T63" s="308"/>
      <c r="U63" s="308"/>
      <c r="V63" s="308" t="b">
        <v>0</v>
      </c>
      <c r="W63" s="308"/>
      <c r="X63" s="308"/>
      <c r="Y63" s="308"/>
      <c r="Z63" s="309"/>
      <c r="AA63" s="309"/>
      <c r="AB63" s="308"/>
      <c r="AC63" s="308"/>
    </row>
    <row r="64" hidden="1">
      <c r="A64" s="330">
        <v>45352.0</v>
      </c>
      <c r="B64" s="331" t="s">
        <v>259</v>
      </c>
      <c r="C64" s="332" t="s">
        <v>2908</v>
      </c>
      <c r="D64" s="332" t="s">
        <v>2907</v>
      </c>
      <c r="E64" s="332">
        <v>1199.0</v>
      </c>
      <c r="F64" s="338"/>
      <c r="G64" s="319"/>
      <c r="H64" s="339"/>
      <c r="I64" s="308"/>
      <c r="J64" s="308"/>
      <c r="K64" s="308"/>
      <c r="L64" s="308"/>
      <c r="M64" s="308"/>
      <c r="N64" s="308"/>
      <c r="O64" s="308"/>
      <c r="P64" s="332">
        <v>1199.0</v>
      </c>
      <c r="Q64" s="308"/>
      <c r="R64" s="308"/>
      <c r="S64" s="308"/>
      <c r="T64" s="308"/>
      <c r="U64" s="308"/>
      <c r="V64" s="308" t="b">
        <v>0</v>
      </c>
      <c r="W64" s="308"/>
      <c r="X64" s="308"/>
      <c r="Y64" s="308"/>
      <c r="Z64" s="309"/>
      <c r="AA64" s="309"/>
      <c r="AB64" s="308"/>
      <c r="AC64" s="308"/>
    </row>
    <row r="65" hidden="1">
      <c r="A65" s="330">
        <v>45352.0</v>
      </c>
      <c r="B65" s="331" t="s">
        <v>264</v>
      </c>
      <c r="C65" s="332" t="s">
        <v>2908</v>
      </c>
      <c r="D65" s="332" t="s">
        <v>2907</v>
      </c>
      <c r="E65" s="332">
        <v>399.0</v>
      </c>
      <c r="F65" s="338"/>
      <c r="G65" s="319"/>
      <c r="H65" s="339"/>
      <c r="I65" s="308"/>
      <c r="J65" s="308"/>
      <c r="K65" s="308"/>
      <c r="L65" s="308"/>
      <c r="M65" s="308"/>
      <c r="N65" s="308"/>
      <c r="O65" s="308"/>
      <c r="P65" s="332">
        <v>399.0</v>
      </c>
      <c r="Q65" s="308"/>
      <c r="R65" s="308"/>
      <c r="S65" s="308"/>
      <c r="T65" s="308"/>
      <c r="U65" s="308"/>
      <c r="V65" s="308" t="b">
        <v>0</v>
      </c>
      <c r="W65" s="308"/>
      <c r="X65" s="308"/>
      <c r="Y65" s="308"/>
      <c r="Z65" s="309"/>
      <c r="AA65" s="309"/>
      <c r="AB65" s="308"/>
      <c r="AC65" s="308"/>
    </row>
    <row r="66" hidden="1">
      <c r="A66" s="330">
        <v>45352.0</v>
      </c>
      <c r="B66" s="331" t="s">
        <v>117</v>
      </c>
      <c r="C66" s="332" t="s">
        <v>2904</v>
      </c>
      <c r="D66" s="332" t="s">
        <v>2907</v>
      </c>
      <c r="E66" s="332">
        <v>150.0</v>
      </c>
      <c r="F66" s="338"/>
      <c r="G66" s="319"/>
      <c r="H66" s="337"/>
      <c r="I66" s="308"/>
      <c r="J66" s="308"/>
      <c r="K66" s="308"/>
      <c r="L66" s="308"/>
      <c r="M66" s="308"/>
      <c r="N66" s="308"/>
      <c r="O66" s="308"/>
      <c r="P66" s="332">
        <v>150.0</v>
      </c>
      <c r="Q66" s="308"/>
      <c r="R66" s="308"/>
      <c r="S66" s="308"/>
      <c r="T66" s="308"/>
      <c r="U66" s="308"/>
      <c r="V66" s="308" t="b">
        <v>0</v>
      </c>
      <c r="W66" s="308"/>
      <c r="X66" s="308"/>
      <c r="Y66" s="308"/>
      <c r="Z66" s="309"/>
      <c r="AA66" s="309"/>
      <c r="AB66" s="308"/>
      <c r="AC66" s="308"/>
    </row>
    <row r="67" hidden="1">
      <c r="A67" s="330">
        <v>45352.0</v>
      </c>
      <c r="B67" s="331" t="s">
        <v>148</v>
      </c>
      <c r="C67" s="332" t="s">
        <v>2908</v>
      </c>
      <c r="D67" s="343" t="s">
        <v>2909</v>
      </c>
      <c r="E67" s="332">
        <v>525.0</v>
      </c>
      <c r="F67" s="338"/>
      <c r="G67" s="319"/>
      <c r="H67" s="339"/>
      <c r="I67" s="308"/>
      <c r="J67" s="308"/>
      <c r="K67" s="343">
        <v>525.0</v>
      </c>
      <c r="L67" s="308"/>
      <c r="M67" s="308"/>
      <c r="N67" s="308"/>
      <c r="O67" s="308"/>
      <c r="P67" s="308"/>
      <c r="Q67" s="308"/>
      <c r="R67" s="308"/>
      <c r="S67" s="308"/>
      <c r="T67" s="308"/>
      <c r="U67" s="308"/>
      <c r="V67" s="308" t="b">
        <v>0</v>
      </c>
      <c r="W67" s="308"/>
      <c r="X67" s="308"/>
      <c r="Y67" s="308"/>
      <c r="Z67" s="309"/>
      <c r="AA67" s="309"/>
      <c r="AB67" s="308"/>
      <c r="AC67" s="308"/>
    </row>
    <row r="68" hidden="1">
      <c r="A68" s="330">
        <v>45357.0</v>
      </c>
      <c r="B68" s="331" t="s">
        <v>264</v>
      </c>
      <c r="C68" s="332" t="s">
        <v>2908</v>
      </c>
      <c r="D68" s="332" t="s">
        <v>2907</v>
      </c>
      <c r="E68" s="332">
        <v>125.0</v>
      </c>
      <c r="F68" s="333">
        <v>45425.0</v>
      </c>
      <c r="G68" s="346">
        <v>125.0</v>
      </c>
      <c r="H68" s="337" t="s">
        <v>2915</v>
      </c>
      <c r="I68" s="308"/>
      <c r="J68" s="308"/>
      <c r="K68" s="308"/>
      <c r="L68" s="308"/>
      <c r="M68" s="308"/>
      <c r="N68" s="332">
        <v>125.0</v>
      </c>
      <c r="O68" s="308"/>
      <c r="P68" s="308"/>
      <c r="Q68" s="308"/>
      <c r="R68" s="308"/>
      <c r="S68" s="308"/>
      <c r="T68" s="308"/>
      <c r="U68" s="308"/>
      <c r="V68" s="308" t="b">
        <v>0</v>
      </c>
      <c r="W68" s="308"/>
      <c r="X68" s="308"/>
      <c r="Y68" s="308"/>
      <c r="Z68" s="309"/>
      <c r="AA68" s="309"/>
      <c r="AB68" s="308"/>
      <c r="AC68" s="308"/>
    </row>
    <row r="69" hidden="1">
      <c r="A69" s="330">
        <v>45357.0</v>
      </c>
      <c r="B69" s="331" t="s">
        <v>276</v>
      </c>
      <c r="C69" s="332" t="s">
        <v>2908</v>
      </c>
      <c r="D69" s="332" t="s">
        <v>2907</v>
      </c>
      <c r="E69" s="332">
        <v>260.0</v>
      </c>
      <c r="F69" s="338"/>
      <c r="G69" s="319"/>
      <c r="H69" s="337"/>
      <c r="I69" s="308"/>
      <c r="J69" s="308"/>
      <c r="K69" s="308"/>
      <c r="L69" s="308"/>
      <c r="M69" s="308"/>
      <c r="N69" s="332">
        <v>260.0</v>
      </c>
      <c r="O69" s="308"/>
      <c r="P69" s="308"/>
      <c r="Q69" s="308"/>
      <c r="R69" s="308"/>
      <c r="S69" s="308"/>
      <c r="T69" s="308"/>
      <c r="U69" s="308"/>
      <c r="V69" s="308" t="b">
        <v>0</v>
      </c>
      <c r="W69" s="308"/>
      <c r="X69" s="308"/>
      <c r="Y69" s="308"/>
      <c r="Z69" s="309"/>
      <c r="AA69" s="309"/>
      <c r="AB69" s="308"/>
      <c r="AC69" s="308"/>
    </row>
    <row r="70" hidden="1">
      <c r="A70" s="330">
        <v>45359.0</v>
      </c>
      <c r="B70" s="331" t="s">
        <v>280</v>
      </c>
      <c r="C70" s="332" t="s">
        <v>2908</v>
      </c>
      <c r="D70" s="332" t="s">
        <v>2907</v>
      </c>
      <c r="E70" s="332">
        <v>159.0</v>
      </c>
      <c r="F70" s="338"/>
      <c r="G70" s="319"/>
      <c r="H70" s="339"/>
      <c r="I70" s="308"/>
      <c r="J70" s="308"/>
      <c r="K70" s="308"/>
      <c r="L70" s="308"/>
      <c r="M70" s="308"/>
      <c r="N70" s="308"/>
      <c r="O70" s="308"/>
      <c r="P70" s="332">
        <v>159.0</v>
      </c>
      <c r="Q70" s="308"/>
      <c r="R70" s="308"/>
      <c r="S70" s="308"/>
      <c r="T70" s="308"/>
      <c r="U70" s="308"/>
      <c r="V70" s="308" t="b">
        <v>0</v>
      </c>
      <c r="W70" s="308"/>
      <c r="X70" s="308"/>
      <c r="Y70" s="308"/>
      <c r="Z70" s="309"/>
      <c r="AA70" s="309"/>
      <c r="AB70" s="308"/>
      <c r="AC70" s="308"/>
    </row>
    <row r="71" hidden="1">
      <c r="A71" s="330">
        <v>45363.0</v>
      </c>
      <c r="B71" s="331" t="s">
        <v>64</v>
      </c>
      <c r="C71" s="332" t="s">
        <v>2904</v>
      </c>
      <c r="D71" s="332" t="s">
        <v>2907</v>
      </c>
      <c r="E71" s="332">
        <v>150.0</v>
      </c>
      <c r="F71" s="338"/>
      <c r="G71" s="319"/>
      <c r="H71" s="339"/>
      <c r="I71" s="332"/>
      <c r="J71" s="308"/>
      <c r="K71" s="308"/>
      <c r="L71" s="308"/>
      <c r="M71" s="308"/>
      <c r="N71" s="308"/>
      <c r="O71" s="308"/>
      <c r="P71" s="332">
        <v>150.0</v>
      </c>
      <c r="Q71" s="308"/>
      <c r="R71" s="308"/>
      <c r="S71" s="308"/>
      <c r="T71" s="308"/>
      <c r="U71" s="308"/>
      <c r="V71" s="308" t="b">
        <v>0</v>
      </c>
      <c r="W71" s="308"/>
      <c r="X71" s="308"/>
      <c r="Y71" s="308"/>
      <c r="Z71" s="309"/>
      <c r="AA71" s="309"/>
      <c r="AB71" s="308"/>
      <c r="AC71" s="308"/>
    </row>
    <row r="72" hidden="1">
      <c r="A72" s="330">
        <v>45363.0</v>
      </c>
      <c r="B72" s="331" t="s">
        <v>293</v>
      </c>
      <c r="C72" s="332" t="s">
        <v>2908</v>
      </c>
      <c r="D72" s="332" t="s">
        <v>2907</v>
      </c>
      <c r="E72" s="332">
        <v>260.0</v>
      </c>
      <c r="F72" s="338"/>
      <c r="G72" s="319"/>
      <c r="H72" s="337"/>
      <c r="I72" s="308"/>
      <c r="J72" s="308"/>
      <c r="K72" s="308"/>
      <c r="L72" s="308"/>
      <c r="M72" s="308"/>
      <c r="N72" s="332">
        <v>260.0</v>
      </c>
      <c r="O72" s="308"/>
      <c r="P72" s="308"/>
      <c r="Q72" s="308"/>
      <c r="R72" s="308"/>
      <c r="S72" s="308"/>
      <c r="T72" s="308"/>
      <c r="U72" s="308"/>
      <c r="V72" s="308" t="b">
        <v>0</v>
      </c>
      <c r="W72" s="308"/>
      <c r="X72" s="308"/>
      <c r="Y72" s="308"/>
      <c r="Z72" s="309"/>
      <c r="AA72" s="309"/>
      <c r="AB72" s="308"/>
      <c r="AC72" s="308"/>
    </row>
    <row r="73" hidden="1">
      <c r="A73" s="330">
        <v>45363.0</v>
      </c>
      <c r="B73" s="331" t="s">
        <v>168</v>
      </c>
      <c r="C73" s="332" t="s">
        <v>2908</v>
      </c>
      <c r="D73" s="332" t="s">
        <v>2907</v>
      </c>
      <c r="E73" s="332">
        <v>2210.0</v>
      </c>
      <c r="F73" s="338"/>
      <c r="G73" s="319"/>
      <c r="H73" s="337"/>
      <c r="I73" s="308"/>
      <c r="J73" s="308"/>
      <c r="K73" s="308"/>
      <c r="L73" s="308"/>
      <c r="M73" s="308"/>
      <c r="N73" s="332">
        <v>2210.0</v>
      </c>
      <c r="O73" s="308"/>
      <c r="P73" s="308"/>
      <c r="Q73" s="308"/>
      <c r="R73" s="308"/>
      <c r="S73" s="308"/>
      <c r="T73" s="308"/>
      <c r="U73" s="308"/>
      <c r="V73" s="308" t="b">
        <v>0</v>
      </c>
      <c r="W73" s="308"/>
      <c r="X73" s="308"/>
      <c r="Y73" s="308"/>
      <c r="Z73" s="309"/>
      <c r="AA73" s="309"/>
      <c r="AB73" s="308"/>
      <c r="AC73" s="308"/>
    </row>
    <row r="74" hidden="1">
      <c r="A74" s="330">
        <v>45363.0</v>
      </c>
      <c r="B74" s="331" t="s">
        <v>168</v>
      </c>
      <c r="C74" s="332" t="s">
        <v>2908</v>
      </c>
      <c r="D74" s="332" t="s">
        <v>2907</v>
      </c>
      <c r="E74" s="332">
        <v>299.99</v>
      </c>
      <c r="F74" s="338"/>
      <c r="G74" s="319"/>
      <c r="H74" s="337"/>
      <c r="I74" s="308"/>
      <c r="J74" s="308"/>
      <c r="K74" s="308"/>
      <c r="L74" s="308"/>
      <c r="M74" s="308"/>
      <c r="N74" s="332">
        <v>299.99</v>
      </c>
      <c r="O74" s="308"/>
      <c r="P74" s="308"/>
      <c r="Q74" s="308"/>
      <c r="R74" s="308"/>
      <c r="S74" s="308"/>
      <c r="T74" s="308"/>
      <c r="U74" s="308"/>
      <c r="V74" s="308"/>
      <c r="W74" s="308"/>
      <c r="X74" s="308"/>
      <c r="Y74" s="308"/>
      <c r="Z74" s="309"/>
      <c r="AA74" s="309"/>
      <c r="AB74" s="308"/>
      <c r="AC74" s="308"/>
    </row>
    <row r="75" hidden="1">
      <c r="A75" s="330">
        <v>45363.0</v>
      </c>
      <c r="B75" s="331" t="s">
        <v>168</v>
      </c>
      <c r="C75" s="332" t="s">
        <v>2908</v>
      </c>
      <c r="D75" s="332" t="s">
        <v>2907</v>
      </c>
      <c r="E75" s="332">
        <v>179.97</v>
      </c>
      <c r="F75" s="338"/>
      <c r="G75" s="319"/>
      <c r="H75" s="339"/>
      <c r="I75" s="308"/>
      <c r="J75" s="308"/>
      <c r="K75" s="308"/>
      <c r="L75" s="308"/>
      <c r="M75" s="308"/>
      <c r="N75" s="332">
        <v>179.97</v>
      </c>
      <c r="O75" s="308"/>
      <c r="P75" s="308"/>
      <c r="Q75" s="308"/>
      <c r="R75" s="308"/>
      <c r="S75" s="308"/>
      <c r="T75" s="308"/>
      <c r="U75" s="308"/>
      <c r="V75" s="308"/>
      <c r="W75" s="308"/>
      <c r="X75" s="308"/>
      <c r="Y75" s="308"/>
      <c r="Z75" s="309"/>
      <c r="AA75" s="309"/>
      <c r="AB75" s="308"/>
      <c r="AC75" s="308"/>
    </row>
    <row r="76" hidden="1">
      <c r="A76" s="330">
        <v>45366.0</v>
      </c>
      <c r="B76" s="331" t="s">
        <v>305</v>
      </c>
      <c r="C76" s="332" t="s">
        <v>2908</v>
      </c>
      <c r="D76" s="332" t="s">
        <v>2907</v>
      </c>
      <c r="E76" s="332">
        <v>85.0</v>
      </c>
      <c r="F76" s="338"/>
      <c r="G76" s="319"/>
      <c r="H76" s="339"/>
      <c r="I76" s="308"/>
      <c r="J76" s="308"/>
      <c r="K76" s="308"/>
      <c r="L76" s="308"/>
      <c r="M76" s="308"/>
      <c r="N76" s="308"/>
      <c r="O76" s="308"/>
      <c r="P76" s="332">
        <v>85.0</v>
      </c>
      <c r="Q76" s="308"/>
      <c r="R76" s="308"/>
      <c r="S76" s="308"/>
      <c r="T76" s="308"/>
      <c r="U76" s="308"/>
      <c r="V76" s="308"/>
      <c r="W76" s="308"/>
      <c r="X76" s="308"/>
      <c r="Y76" s="308"/>
      <c r="Z76" s="309"/>
      <c r="AA76" s="309"/>
      <c r="AB76" s="308"/>
      <c r="AC76" s="308"/>
    </row>
    <row r="77" hidden="1">
      <c r="A77" s="330">
        <v>45366.0</v>
      </c>
      <c r="B77" s="331" t="s">
        <v>314</v>
      </c>
      <c r="C77" s="332" t="s">
        <v>2904</v>
      </c>
      <c r="D77" s="332" t="s">
        <v>2907</v>
      </c>
      <c r="E77" s="332">
        <v>299.99</v>
      </c>
      <c r="F77" s="338"/>
      <c r="G77" s="319"/>
      <c r="H77" s="337"/>
      <c r="I77" s="308"/>
      <c r="J77" s="308"/>
      <c r="K77" s="308"/>
      <c r="L77" s="308"/>
      <c r="M77" s="308"/>
      <c r="N77" s="332">
        <v>299.99</v>
      </c>
      <c r="O77" s="308"/>
      <c r="P77" s="308"/>
      <c r="Q77" s="308"/>
      <c r="R77" s="308"/>
      <c r="S77" s="308"/>
      <c r="T77" s="308"/>
      <c r="U77" s="308"/>
      <c r="V77" s="308"/>
      <c r="W77" s="308"/>
      <c r="X77" s="308"/>
      <c r="Y77" s="308"/>
      <c r="Z77" s="309"/>
      <c r="AA77" s="309"/>
      <c r="AB77" s="308"/>
      <c r="AC77" s="308"/>
    </row>
    <row r="78" hidden="1">
      <c r="A78" s="330">
        <v>45366.0</v>
      </c>
      <c r="B78" s="331" t="s">
        <v>311</v>
      </c>
      <c r="C78" s="332" t="s">
        <v>2908</v>
      </c>
      <c r="D78" s="332" t="s">
        <v>2907</v>
      </c>
      <c r="E78" s="332">
        <v>259.99</v>
      </c>
      <c r="F78" s="338"/>
      <c r="G78" s="319"/>
      <c r="H78" s="339"/>
      <c r="I78" s="308"/>
      <c r="J78" s="308"/>
      <c r="K78" s="308"/>
      <c r="L78" s="308"/>
      <c r="M78" s="308"/>
      <c r="N78" s="332">
        <v>259.99</v>
      </c>
      <c r="O78" s="308"/>
      <c r="P78" s="308"/>
      <c r="Q78" s="308"/>
      <c r="R78" s="308"/>
      <c r="S78" s="308"/>
      <c r="T78" s="308"/>
      <c r="U78" s="308"/>
      <c r="V78" s="308"/>
      <c r="W78" s="308"/>
      <c r="X78" s="308"/>
      <c r="Y78" s="308"/>
      <c r="Z78" s="309"/>
      <c r="AA78" s="309"/>
      <c r="AB78" s="308"/>
      <c r="AC78" s="308"/>
    </row>
    <row r="79" hidden="1">
      <c r="A79" s="330">
        <v>45369.0</v>
      </c>
      <c r="B79" s="331" t="s">
        <v>320</v>
      </c>
      <c r="C79" s="332" t="s">
        <v>2908</v>
      </c>
      <c r="D79" s="332" t="s">
        <v>2907</v>
      </c>
      <c r="E79" s="332">
        <v>1100.0</v>
      </c>
      <c r="F79" s="333">
        <v>45422.0</v>
      </c>
      <c r="G79" s="346">
        <v>283.0</v>
      </c>
      <c r="H79" s="337" t="s">
        <v>2916</v>
      </c>
      <c r="I79" s="308"/>
      <c r="J79" s="308"/>
      <c r="K79" s="308"/>
      <c r="L79" s="308"/>
      <c r="M79" s="308"/>
      <c r="N79" s="308"/>
      <c r="O79" s="308"/>
      <c r="P79" s="332">
        <v>1100.0</v>
      </c>
      <c r="Q79" s="308"/>
      <c r="R79" s="308"/>
      <c r="S79" s="308"/>
      <c r="T79" s="308"/>
      <c r="U79" s="308"/>
      <c r="V79" s="308"/>
      <c r="W79" s="308"/>
      <c r="X79" s="308"/>
      <c r="Y79" s="308"/>
      <c r="Z79" s="309"/>
      <c r="AA79" s="309"/>
      <c r="AB79" s="308"/>
      <c r="AC79" s="308"/>
    </row>
    <row r="80" hidden="1">
      <c r="A80" s="330">
        <v>45372.0</v>
      </c>
      <c r="B80" s="331" t="s">
        <v>325</v>
      </c>
      <c r="C80" s="332" t="s">
        <v>2908</v>
      </c>
      <c r="D80" s="332" t="s">
        <v>2907</v>
      </c>
      <c r="E80" s="332">
        <v>200.0</v>
      </c>
      <c r="F80" s="338"/>
      <c r="G80" s="319"/>
      <c r="H80" s="339"/>
      <c r="I80" s="308"/>
      <c r="J80" s="308"/>
      <c r="K80" s="308"/>
      <c r="L80" s="308"/>
      <c r="M80" s="308"/>
      <c r="N80" s="308"/>
      <c r="O80" s="308"/>
      <c r="P80" s="332">
        <v>200.0</v>
      </c>
      <c r="Q80" s="308"/>
      <c r="R80" s="308"/>
      <c r="S80" s="308"/>
      <c r="T80" s="308"/>
      <c r="U80" s="308"/>
      <c r="V80" s="308"/>
      <c r="W80" s="308"/>
      <c r="X80" s="308"/>
      <c r="Y80" s="308"/>
      <c r="Z80" s="309"/>
      <c r="AA80" s="309"/>
      <c r="AB80" s="308"/>
      <c r="AC80" s="308"/>
    </row>
    <row r="81" hidden="1">
      <c r="A81" s="330">
        <v>45372.0</v>
      </c>
      <c r="B81" s="331" t="s">
        <v>50</v>
      </c>
      <c r="C81" s="332" t="s">
        <v>2904</v>
      </c>
      <c r="D81" s="332" t="s">
        <v>2907</v>
      </c>
      <c r="E81" s="332">
        <v>325.0</v>
      </c>
      <c r="F81" s="338"/>
      <c r="G81" s="319"/>
      <c r="H81" s="337"/>
      <c r="I81" s="308"/>
      <c r="J81" s="308"/>
      <c r="K81" s="308"/>
      <c r="L81" s="308"/>
      <c r="M81" s="308"/>
      <c r="N81" s="332">
        <v>325.0</v>
      </c>
      <c r="O81" s="308"/>
      <c r="P81" s="308"/>
      <c r="Q81" s="308"/>
      <c r="R81" s="308"/>
      <c r="S81" s="308"/>
      <c r="T81" s="308"/>
      <c r="U81" s="308"/>
      <c r="V81" s="308"/>
      <c r="W81" s="308"/>
      <c r="X81" s="308"/>
      <c r="Y81" s="308"/>
      <c r="Z81" s="309"/>
      <c r="AA81" s="309"/>
      <c r="AB81" s="308"/>
      <c r="AC81" s="308"/>
    </row>
    <row r="82" hidden="1">
      <c r="A82" s="330">
        <v>45372.0</v>
      </c>
      <c r="B82" s="331" t="s">
        <v>330</v>
      </c>
      <c r="C82" s="332" t="s">
        <v>2908</v>
      </c>
      <c r="D82" s="332" t="s">
        <v>2907</v>
      </c>
      <c r="E82" s="332">
        <v>2400.0</v>
      </c>
      <c r="F82" s="338"/>
      <c r="G82" s="319"/>
      <c r="H82" s="339"/>
      <c r="I82" s="308"/>
      <c r="J82" s="308"/>
      <c r="K82" s="308"/>
      <c r="L82" s="308"/>
      <c r="M82" s="308"/>
      <c r="N82" s="308"/>
      <c r="O82" s="308"/>
      <c r="P82" s="332">
        <v>2400.0</v>
      </c>
      <c r="Q82" s="308"/>
      <c r="R82" s="308"/>
      <c r="S82" s="308"/>
      <c r="T82" s="308"/>
      <c r="U82" s="308"/>
      <c r="V82" s="308"/>
      <c r="W82" s="308"/>
      <c r="X82" s="308"/>
      <c r="Y82" s="308"/>
      <c r="Z82" s="309"/>
      <c r="AA82" s="309"/>
      <c r="AB82" s="308"/>
      <c r="AC82" s="308"/>
    </row>
    <row r="83" hidden="1">
      <c r="A83" s="330">
        <v>45372.0</v>
      </c>
      <c r="B83" s="331" t="s">
        <v>333</v>
      </c>
      <c r="C83" s="332" t="s">
        <v>2908</v>
      </c>
      <c r="D83" s="332" t="s">
        <v>2907</v>
      </c>
      <c r="E83" s="332">
        <v>3000.0</v>
      </c>
      <c r="F83" s="338"/>
      <c r="G83" s="319"/>
      <c r="H83" s="339"/>
      <c r="I83" s="308"/>
      <c r="J83" s="308"/>
      <c r="K83" s="308"/>
      <c r="L83" s="308"/>
      <c r="M83" s="308"/>
      <c r="N83" s="308"/>
      <c r="O83" s="308"/>
      <c r="P83" s="332">
        <v>3000.0</v>
      </c>
      <c r="Q83" s="308"/>
      <c r="R83" s="308"/>
      <c r="S83" s="308"/>
      <c r="T83" s="308"/>
      <c r="U83" s="308"/>
      <c r="V83" s="308"/>
      <c r="W83" s="308"/>
      <c r="X83" s="308"/>
      <c r="Y83" s="308"/>
      <c r="Z83" s="309"/>
      <c r="AA83" s="309"/>
      <c r="AB83" s="308"/>
      <c r="AC83" s="308"/>
    </row>
    <row r="84" hidden="1">
      <c r="A84" s="330">
        <v>45377.0</v>
      </c>
      <c r="B84" s="331" t="s">
        <v>141</v>
      </c>
      <c r="C84" s="332" t="s">
        <v>2908</v>
      </c>
      <c r="D84" s="332" t="s">
        <v>2911</v>
      </c>
      <c r="E84" s="332">
        <v>828.0</v>
      </c>
      <c r="F84" s="333">
        <v>45422.0</v>
      </c>
      <c r="G84" s="346">
        <v>828.0</v>
      </c>
      <c r="H84" s="337" t="s">
        <v>2917</v>
      </c>
      <c r="I84" s="308"/>
      <c r="J84" s="308"/>
      <c r="K84" s="308"/>
      <c r="L84" s="308"/>
      <c r="M84" s="308"/>
      <c r="N84" s="308"/>
      <c r="O84" s="308"/>
      <c r="P84" s="308"/>
      <c r="Q84" s="332">
        <v>828.0</v>
      </c>
      <c r="R84" s="308"/>
      <c r="S84" s="308"/>
      <c r="T84" s="308"/>
      <c r="U84" s="308"/>
      <c r="V84" s="308"/>
      <c r="W84" s="308"/>
      <c r="X84" s="308"/>
      <c r="Y84" s="308"/>
      <c r="Z84" s="309"/>
      <c r="AA84" s="309"/>
      <c r="AB84" s="308"/>
      <c r="AC84" s="308"/>
    </row>
    <row r="85" hidden="1">
      <c r="A85" s="330">
        <v>45377.0</v>
      </c>
      <c r="B85" s="331" t="s">
        <v>37</v>
      </c>
      <c r="C85" s="332" t="s">
        <v>2908</v>
      </c>
      <c r="D85" s="332" t="s">
        <v>2905</v>
      </c>
      <c r="E85" s="332">
        <v>2625.0</v>
      </c>
      <c r="F85" s="338"/>
      <c r="G85" s="319"/>
      <c r="H85" s="337"/>
      <c r="I85" s="308"/>
      <c r="J85" s="308"/>
      <c r="K85" s="308"/>
      <c r="L85" s="308"/>
      <c r="M85" s="308"/>
      <c r="N85" s="308"/>
      <c r="O85" s="332">
        <v>2625.0</v>
      </c>
      <c r="P85" s="308"/>
      <c r="Q85" s="308"/>
      <c r="R85" s="308"/>
      <c r="S85" s="308"/>
      <c r="T85" s="308"/>
      <c r="U85" s="308"/>
      <c r="V85" s="308"/>
      <c r="W85" s="308"/>
      <c r="X85" s="308"/>
      <c r="Y85" s="308"/>
      <c r="Z85" s="309"/>
      <c r="AA85" s="309"/>
      <c r="AB85" s="308"/>
      <c r="AC85" s="308"/>
    </row>
    <row r="86" hidden="1">
      <c r="A86" s="330">
        <v>45378.0</v>
      </c>
      <c r="B86" s="331" t="s">
        <v>308</v>
      </c>
      <c r="C86" s="332" t="s">
        <v>2908</v>
      </c>
      <c r="D86" s="332" t="s">
        <v>2907</v>
      </c>
      <c r="E86" s="332">
        <v>225.0</v>
      </c>
      <c r="F86" s="338"/>
      <c r="G86" s="319"/>
      <c r="H86" s="337"/>
      <c r="I86" s="308"/>
      <c r="J86" s="308"/>
      <c r="K86" s="308"/>
      <c r="L86" s="308"/>
      <c r="M86" s="308"/>
      <c r="N86" s="332">
        <v>225.0</v>
      </c>
      <c r="O86" s="308"/>
      <c r="P86" s="308"/>
      <c r="Q86" s="308"/>
      <c r="R86" s="308"/>
      <c r="S86" s="308"/>
      <c r="T86" s="308"/>
      <c r="U86" s="308"/>
      <c r="V86" s="308"/>
      <c r="W86" s="308"/>
      <c r="X86" s="308"/>
      <c r="Y86" s="308"/>
      <c r="Z86" s="309"/>
      <c r="AA86" s="309"/>
      <c r="AB86" s="308"/>
      <c r="AC86" s="308"/>
    </row>
    <row r="87" hidden="1">
      <c r="A87" s="330">
        <v>45378.0</v>
      </c>
      <c r="B87" s="331" t="s">
        <v>311</v>
      </c>
      <c r="C87" s="332" t="s">
        <v>2908</v>
      </c>
      <c r="D87" s="332" t="s">
        <v>2907</v>
      </c>
      <c r="E87" s="332">
        <v>650.0</v>
      </c>
      <c r="F87" s="338"/>
      <c r="G87" s="319"/>
      <c r="H87" s="339"/>
      <c r="I87" s="308"/>
      <c r="J87" s="308"/>
      <c r="K87" s="308"/>
      <c r="L87" s="308"/>
      <c r="M87" s="308"/>
      <c r="N87" s="308"/>
      <c r="O87" s="308"/>
      <c r="P87" s="332">
        <v>650.0</v>
      </c>
      <c r="Q87" s="308"/>
      <c r="R87" s="308"/>
      <c r="S87" s="308"/>
      <c r="T87" s="308"/>
      <c r="U87" s="308"/>
      <c r="V87" s="308"/>
      <c r="W87" s="308"/>
      <c r="X87" s="308"/>
      <c r="Y87" s="308"/>
      <c r="Z87" s="309"/>
      <c r="AA87" s="309"/>
      <c r="AB87" s="308"/>
      <c r="AC87" s="308"/>
    </row>
    <row r="88" hidden="1">
      <c r="A88" s="330">
        <v>45379.0</v>
      </c>
      <c r="B88" s="331" t="s">
        <v>141</v>
      </c>
      <c r="C88" s="332" t="s">
        <v>2908</v>
      </c>
      <c r="D88" s="332" t="s">
        <v>2907</v>
      </c>
      <c r="E88" s="332">
        <v>435.0</v>
      </c>
      <c r="F88" s="338"/>
      <c r="G88" s="319"/>
      <c r="H88" s="339"/>
      <c r="I88" s="308"/>
      <c r="J88" s="308"/>
      <c r="K88" s="308"/>
      <c r="L88" s="308"/>
      <c r="M88" s="308"/>
      <c r="N88" s="332">
        <v>435.0</v>
      </c>
      <c r="O88" s="308"/>
      <c r="P88" s="308"/>
      <c r="Q88" s="308"/>
      <c r="R88" s="308"/>
      <c r="S88" s="308"/>
      <c r="T88" s="308"/>
      <c r="U88" s="308"/>
      <c r="V88" s="308"/>
      <c r="W88" s="308"/>
      <c r="X88" s="308"/>
      <c r="Y88" s="308"/>
      <c r="Z88" s="309"/>
      <c r="AA88" s="309"/>
      <c r="AB88" s="308"/>
      <c r="AC88" s="308"/>
    </row>
    <row r="89" hidden="1">
      <c r="A89" s="330">
        <v>45379.0</v>
      </c>
      <c r="B89" s="331" t="s">
        <v>141</v>
      </c>
      <c r="C89" s="332" t="s">
        <v>2908</v>
      </c>
      <c r="D89" s="332" t="s">
        <v>2907</v>
      </c>
      <c r="E89" s="332" t="s">
        <v>342</v>
      </c>
      <c r="F89" s="338"/>
      <c r="G89" s="319"/>
      <c r="H89" s="337"/>
      <c r="I89" s="308"/>
      <c r="J89" s="308"/>
      <c r="K89" s="308"/>
      <c r="L89" s="308"/>
      <c r="M89" s="308"/>
      <c r="N89" s="308"/>
      <c r="O89" s="308"/>
      <c r="P89" s="332" t="s">
        <v>342</v>
      </c>
      <c r="Q89" s="308"/>
      <c r="R89" s="308"/>
      <c r="S89" s="308"/>
      <c r="T89" s="308"/>
      <c r="U89" s="308"/>
      <c r="V89" s="308"/>
      <c r="W89" s="308"/>
      <c r="X89" s="308"/>
      <c r="Y89" s="308"/>
      <c r="Z89" s="309"/>
      <c r="AA89" s="309"/>
      <c r="AB89" s="308"/>
      <c r="AC89" s="308"/>
    </row>
    <row r="90" hidden="1">
      <c r="A90" s="330">
        <v>45380.0</v>
      </c>
      <c r="B90" s="331" t="s">
        <v>311</v>
      </c>
      <c r="C90" s="332" t="s">
        <v>2908</v>
      </c>
      <c r="D90" s="332" t="s">
        <v>2907</v>
      </c>
      <c r="E90" s="332">
        <v>195.0</v>
      </c>
      <c r="F90" s="338"/>
      <c r="G90" s="319"/>
      <c r="H90" s="339"/>
      <c r="I90" s="308"/>
      <c r="J90" s="308"/>
      <c r="K90" s="308"/>
      <c r="L90" s="308"/>
      <c r="M90" s="308"/>
      <c r="N90" s="332">
        <v>195.0</v>
      </c>
      <c r="O90" s="308"/>
      <c r="P90" s="308"/>
      <c r="Q90" s="308"/>
      <c r="R90" s="308"/>
      <c r="S90" s="308"/>
      <c r="T90" s="308"/>
      <c r="U90" s="308"/>
      <c r="V90" s="308"/>
      <c r="W90" s="308"/>
      <c r="X90" s="308"/>
      <c r="Y90" s="308"/>
      <c r="Z90" s="309"/>
      <c r="AA90" s="309"/>
      <c r="AB90" s="308"/>
      <c r="AC90" s="308"/>
    </row>
    <row r="91" hidden="1">
      <c r="A91" s="330">
        <v>45380.0</v>
      </c>
      <c r="B91" s="331" t="s">
        <v>350</v>
      </c>
      <c r="C91" s="332" t="s">
        <v>2908</v>
      </c>
      <c r="D91" s="332" t="s">
        <v>2907</v>
      </c>
      <c r="E91" s="332">
        <v>18.95</v>
      </c>
      <c r="F91" s="338"/>
      <c r="G91" s="319"/>
      <c r="H91" s="337"/>
      <c r="I91" s="308"/>
      <c r="J91" s="308"/>
      <c r="K91" s="308"/>
      <c r="L91" s="308"/>
      <c r="M91" s="308"/>
      <c r="N91" s="308"/>
      <c r="O91" s="308"/>
      <c r="P91" s="332">
        <v>18.95</v>
      </c>
      <c r="Q91" s="308"/>
      <c r="R91" s="308"/>
      <c r="S91" s="308"/>
      <c r="T91" s="308"/>
      <c r="U91" s="308"/>
      <c r="V91" s="308"/>
      <c r="W91" s="308"/>
      <c r="X91" s="308"/>
      <c r="Y91" s="308"/>
      <c r="Z91" s="309"/>
      <c r="AA91" s="309"/>
      <c r="AB91" s="308"/>
      <c r="AC91" s="308"/>
    </row>
    <row r="92" hidden="1">
      <c r="A92" s="330">
        <v>45380.0</v>
      </c>
      <c r="B92" s="331" t="s">
        <v>123</v>
      </c>
      <c r="C92" s="332" t="s">
        <v>2908</v>
      </c>
      <c r="D92" s="332" t="s">
        <v>2907</v>
      </c>
      <c r="E92" s="332">
        <v>1000.0</v>
      </c>
      <c r="F92" s="338"/>
      <c r="G92" s="319"/>
      <c r="H92" s="339"/>
      <c r="I92" s="308"/>
      <c r="J92" s="308"/>
      <c r="K92" s="308"/>
      <c r="L92" s="308"/>
      <c r="M92" s="308"/>
      <c r="N92" s="308"/>
      <c r="O92" s="308"/>
      <c r="P92" s="332">
        <v>1000.0</v>
      </c>
      <c r="Q92" s="308"/>
      <c r="R92" s="308"/>
      <c r="S92" s="308"/>
      <c r="T92" s="308"/>
      <c r="U92" s="308"/>
      <c r="V92" s="308"/>
      <c r="W92" s="308"/>
      <c r="X92" s="308"/>
      <c r="Y92" s="308"/>
      <c r="Z92" s="309"/>
      <c r="AA92" s="309"/>
      <c r="AB92" s="308"/>
      <c r="AC92" s="308"/>
    </row>
    <row r="93" hidden="1">
      <c r="A93" s="330">
        <v>45380.0</v>
      </c>
      <c r="B93" s="331" t="s">
        <v>251</v>
      </c>
      <c r="C93" s="332" t="s">
        <v>2908</v>
      </c>
      <c r="D93" s="332" t="s">
        <v>2907</v>
      </c>
      <c r="E93" s="332" t="s">
        <v>2918</v>
      </c>
      <c r="F93" s="338"/>
      <c r="G93" s="319"/>
      <c r="H93" s="337"/>
      <c r="I93" s="308"/>
      <c r="J93" s="308"/>
      <c r="K93" s="308"/>
      <c r="L93" s="308"/>
      <c r="M93" s="308"/>
      <c r="N93" s="308"/>
      <c r="O93" s="308"/>
      <c r="P93" s="332" t="s">
        <v>2918</v>
      </c>
      <c r="Q93" s="308"/>
      <c r="R93" s="308"/>
      <c r="S93" s="308"/>
      <c r="T93" s="308"/>
      <c r="U93" s="308"/>
      <c r="V93" s="308"/>
      <c r="W93" s="308"/>
      <c r="X93" s="308"/>
      <c r="Y93" s="308"/>
      <c r="Z93" s="309"/>
      <c r="AA93" s="309"/>
      <c r="AB93" s="308"/>
      <c r="AC93" s="308"/>
    </row>
    <row r="94" hidden="1">
      <c r="A94" s="330">
        <v>45380.0</v>
      </c>
      <c r="B94" s="331" t="s">
        <v>153</v>
      </c>
      <c r="C94" s="332" t="s">
        <v>2908</v>
      </c>
      <c r="D94" s="332" t="s">
        <v>2907</v>
      </c>
      <c r="E94" s="332">
        <v>1759.0</v>
      </c>
      <c r="F94" s="338"/>
      <c r="G94" s="319"/>
      <c r="H94" s="339"/>
      <c r="I94" s="308"/>
      <c r="J94" s="308"/>
      <c r="K94" s="308"/>
      <c r="L94" s="308"/>
      <c r="M94" s="308"/>
      <c r="N94" s="308"/>
      <c r="O94" s="308"/>
      <c r="P94" s="332">
        <v>1759.0</v>
      </c>
      <c r="Q94" s="308"/>
      <c r="R94" s="308"/>
      <c r="S94" s="308"/>
      <c r="T94" s="308"/>
      <c r="U94" s="308"/>
      <c r="V94" s="308"/>
      <c r="W94" s="308"/>
      <c r="X94" s="308"/>
      <c r="Y94" s="308"/>
      <c r="Z94" s="309"/>
      <c r="AA94" s="309"/>
      <c r="AB94" s="308"/>
      <c r="AC94" s="308"/>
    </row>
    <row r="95" hidden="1">
      <c r="A95" s="330">
        <v>45386.0</v>
      </c>
      <c r="B95" s="331" t="s">
        <v>357</v>
      </c>
      <c r="C95" s="332" t="s">
        <v>2908</v>
      </c>
      <c r="D95" s="332" t="s">
        <v>2907</v>
      </c>
      <c r="E95" s="332">
        <v>260.0</v>
      </c>
      <c r="F95" s="333">
        <v>45446.0</v>
      </c>
      <c r="G95" s="346">
        <v>260.0</v>
      </c>
      <c r="H95" s="337" t="s">
        <v>2919</v>
      </c>
      <c r="I95" s="308"/>
      <c r="J95" s="308"/>
      <c r="K95" s="308"/>
      <c r="L95" s="308"/>
      <c r="M95" s="308"/>
      <c r="N95" s="308"/>
      <c r="O95" s="308"/>
      <c r="P95" s="308"/>
      <c r="Q95" s="332">
        <v>260.0</v>
      </c>
      <c r="R95" s="308"/>
      <c r="S95" s="308"/>
      <c r="T95" s="308"/>
      <c r="U95" s="308"/>
      <c r="V95" s="308"/>
      <c r="W95" s="308"/>
      <c r="X95" s="308"/>
      <c r="Y95" s="308"/>
      <c r="Z95" s="309"/>
      <c r="AA95" s="309"/>
      <c r="AB95" s="308"/>
      <c r="AC95" s="308"/>
    </row>
    <row r="96" hidden="1">
      <c r="A96" s="330">
        <v>45386.0</v>
      </c>
      <c r="B96" s="331" t="s">
        <v>37</v>
      </c>
      <c r="C96" s="332" t="s">
        <v>2908</v>
      </c>
      <c r="D96" s="332" t="s">
        <v>2907</v>
      </c>
      <c r="E96" s="332">
        <v>1280.0</v>
      </c>
      <c r="F96" s="338"/>
      <c r="G96" s="319"/>
      <c r="H96" s="339"/>
      <c r="I96" s="308"/>
      <c r="J96" s="308"/>
      <c r="K96" s="308"/>
      <c r="L96" s="308"/>
      <c r="M96" s="308"/>
      <c r="N96" s="308"/>
      <c r="O96" s="308"/>
      <c r="P96" s="332">
        <v>1280.0</v>
      </c>
      <c r="Q96" s="308"/>
      <c r="R96" s="308"/>
      <c r="S96" s="308"/>
      <c r="T96" s="308"/>
      <c r="U96" s="308"/>
      <c r="V96" s="308"/>
      <c r="W96" s="308"/>
      <c r="X96" s="308"/>
      <c r="Y96" s="308"/>
      <c r="Z96" s="309"/>
      <c r="AA96" s="309"/>
      <c r="AB96" s="308"/>
      <c r="AC96" s="308"/>
    </row>
    <row r="97" hidden="1">
      <c r="A97" s="330">
        <v>45386.0</v>
      </c>
      <c r="B97" s="331" t="s">
        <v>98</v>
      </c>
      <c r="C97" s="332"/>
      <c r="D97" s="332" t="s">
        <v>2905</v>
      </c>
      <c r="E97" s="332">
        <v>400.0</v>
      </c>
      <c r="F97" s="338"/>
      <c r="G97" s="319"/>
      <c r="H97" s="339"/>
      <c r="I97" s="308"/>
      <c r="J97" s="308"/>
      <c r="K97" s="308"/>
      <c r="L97" s="308"/>
      <c r="M97" s="308"/>
      <c r="N97" s="308"/>
      <c r="O97" s="332">
        <v>400.0</v>
      </c>
      <c r="P97" s="308"/>
      <c r="Q97" s="308"/>
      <c r="R97" s="308"/>
      <c r="S97" s="308"/>
      <c r="T97" s="308"/>
      <c r="U97" s="308"/>
      <c r="V97" s="308"/>
      <c r="W97" s="308"/>
      <c r="X97" s="308"/>
      <c r="Y97" s="308"/>
      <c r="Z97" s="309"/>
      <c r="AA97" s="309"/>
      <c r="AB97" s="308"/>
      <c r="AC97" s="308"/>
    </row>
    <row r="98" hidden="1">
      <c r="A98" s="330">
        <v>45386.0</v>
      </c>
      <c r="B98" s="331" t="s">
        <v>314</v>
      </c>
      <c r="C98" s="332" t="s">
        <v>2904</v>
      </c>
      <c r="D98" s="332" t="s">
        <v>2907</v>
      </c>
      <c r="E98" s="332">
        <v>299.0</v>
      </c>
      <c r="F98" s="338"/>
      <c r="G98" s="319"/>
      <c r="H98" s="339"/>
      <c r="I98" s="308"/>
      <c r="J98" s="308"/>
      <c r="K98" s="308"/>
      <c r="L98" s="308"/>
      <c r="M98" s="308"/>
      <c r="N98" s="332">
        <v>299.0</v>
      </c>
      <c r="O98" s="308"/>
      <c r="P98" s="308"/>
      <c r="Q98" s="308"/>
      <c r="R98" s="308"/>
      <c r="S98" s="308"/>
      <c r="T98" s="308"/>
      <c r="U98" s="308"/>
      <c r="V98" s="308"/>
      <c r="W98" s="308"/>
      <c r="X98" s="308"/>
      <c r="Y98" s="308"/>
      <c r="Z98" s="309"/>
      <c r="AA98" s="309"/>
      <c r="AB98" s="308"/>
      <c r="AC98" s="308"/>
    </row>
    <row r="99" hidden="1">
      <c r="A99" s="330">
        <v>45386.0</v>
      </c>
      <c r="B99" s="331" t="s">
        <v>314</v>
      </c>
      <c r="C99" s="332" t="s">
        <v>2904</v>
      </c>
      <c r="D99" s="332" t="s">
        <v>2907</v>
      </c>
      <c r="E99" s="332">
        <v>150.0</v>
      </c>
      <c r="F99" s="338"/>
      <c r="G99" s="319"/>
      <c r="H99" s="339"/>
      <c r="I99" s="308"/>
      <c r="J99" s="308"/>
      <c r="K99" s="308"/>
      <c r="L99" s="308"/>
      <c r="M99" s="308"/>
      <c r="N99" s="332">
        <v>150.0</v>
      </c>
      <c r="O99" s="308"/>
      <c r="P99" s="308"/>
      <c r="Q99" s="308"/>
      <c r="R99" s="308"/>
      <c r="S99" s="308"/>
      <c r="T99" s="308"/>
      <c r="U99" s="308"/>
      <c r="V99" s="308"/>
      <c r="W99" s="308"/>
      <c r="X99" s="308"/>
      <c r="Y99" s="308"/>
      <c r="Z99" s="309"/>
      <c r="AA99" s="309"/>
      <c r="AB99" s="308"/>
      <c r="AC99" s="308"/>
    </row>
    <row r="100" hidden="1">
      <c r="A100" s="330">
        <v>45391.0</v>
      </c>
      <c r="B100" s="331" t="s">
        <v>366</v>
      </c>
      <c r="C100" s="332"/>
      <c r="D100" s="332" t="s">
        <v>2905</v>
      </c>
      <c r="E100" s="332">
        <v>150.0</v>
      </c>
      <c r="F100" s="338"/>
      <c r="G100" s="319"/>
      <c r="H100" s="337"/>
      <c r="I100" s="308"/>
      <c r="J100" s="308"/>
      <c r="K100" s="308"/>
      <c r="L100" s="308"/>
      <c r="M100" s="308"/>
      <c r="N100" s="308"/>
      <c r="O100" s="332">
        <v>150.0</v>
      </c>
      <c r="P100" s="308"/>
      <c r="Q100" s="308"/>
      <c r="R100" s="308"/>
      <c r="S100" s="308"/>
      <c r="T100" s="308"/>
      <c r="U100" s="308"/>
      <c r="V100" s="308"/>
      <c r="W100" s="308"/>
      <c r="X100" s="308"/>
      <c r="Y100" s="308"/>
      <c r="Z100" s="309"/>
      <c r="AA100" s="309"/>
      <c r="AB100" s="308"/>
      <c r="AC100" s="308"/>
    </row>
    <row r="101" hidden="1">
      <c r="A101" s="330">
        <v>45391.0</v>
      </c>
      <c r="B101" s="331" t="s">
        <v>368</v>
      </c>
      <c r="C101" s="332" t="s">
        <v>2908</v>
      </c>
      <c r="D101" s="332" t="s">
        <v>2907</v>
      </c>
      <c r="E101" s="332">
        <v>1495.74</v>
      </c>
      <c r="F101" s="333">
        <v>45425.0</v>
      </c>
      <c r="G101" s="346">
        <v>299.99</v>
      </c>
      <c r="H101" s="337" t="s">
        <v>2920</v>
      </c>
      <c r="I101" s="308"/>
      <c r="J101" s="308"/>
      <c r="K101" s="308"/>
      <c r="L101" s="308"/>
      <c r="M101" s="308"/>
      <c r="N101" s="308"/>
      <c r="O101" s="308"/>
      <c r="P101" s="332">
        <v>1495.74</v>
      </c>
      <c r="Q101" s="308"/>
      <c r="R101" s="308"/>
      <c r="S101" s="308"/>
      <c r="T101" s="308"/>
      <c r="U101" s="308"/>
      <c r="V101" s="308"/>
      <c r="W101" s="308"/>
      <c r="X101" s="308"/>
      <c r="Y101" s="308"/>
      <c r="Z101" s="309"/>
      <c r="AA101" s="309"/>
      <c r="AB101" s="308"/>
      <c r="AC101" s="308"/>
    </row>
    <row r="102" hidden="1">
      <c r="A102" s="330">
        <v>45391.0</v>
      </c>
      <c r="B102" s="331" t="s">
        <v>245</v>
      </c>
      <c r="C102" s="332" t="s">
        <v>2908</v>
      </c>
      <c r="D102" s="332" t="s">
        <v>2907</v>
      </c>
      <c r="E102" s="332">
        <v>204.59</v>
      </c>
      <c r="F102" s="338"/>
      <c r="G102" s="319"/>
      <c r="H102" s="337"/>
      <c r="I102" s="308"/>
      <c r="J102" s="308"/>
      <c r="K102" s="308"/>
      <c r="L102" s="308"/>
      <c r="M102" s="308"/>
      <c r="N102" s="308"/>
      <c r="O102" s="308"/>
      <c r="P102" s="332">
        <v>204.59</v>
      </c>
      <c r="Q102" s="308"/>
      <c r="R102" s="308"/>
      <c r="S102" s="308"/>
      <c r="T102" s="308"/>
      <c r="U102" s="308"/>
      <c r="V102" s="308"/>
      <c r="W102" s="308"/>
      <c r="X102" s="308"/>
      <c r="Y102" s="308"/>
      <c r="Z102" s="309"/>
      <c r="AA102" s="309"/>
      <c r="AB102" s="308"/>
      <c r="AC102" s="308"/>
    </row>
    <row r="103" hidden="1">
      <c r="A103" s="330">
        <v>45393.0</v>
      </c>
      <c r="B103" s="331" t="s">
        <v>325</v>
      </c>
      <c r="C103" s="332" t="s">
        <v>2908</v>
      </c>
      <c r="D103" s="332" t="s">
        <v>2907</v>
      </c>
      <c r="E103" s="332">
        <v>295.0</v>
      </c>
      <c r="F103" s="338"/>
      <c r="G103" s="319"/>
      <c r="H103" s="357" t="s">
        <v>2921</v>
      </c>
      <c r="I103" s="308"/>
      <c r="J103" s="308"/>
      <c r="K103" s="308"/>
      <c r="L103" s="308"/>
      <c r="M103" s="308"/>
      <c r="N103" s="308"/>
      <c r="O103" s="308"/>
      <c r="P103" s="332">
        <v>295.0</v>
      </c>
      <c r="Q103" s="308"/>
      <c r="R103" s="308"/>
      <c r="S103" s="308"/>
      <c r="T103" s="308"/>
      <c r="U103" s="308"/>
      <c r="V103" s="308"/>
      <c r="W103" s="308"/>
      <c r="X103" s="308"/>
      <c r="Y103" s="308"/>
      <c r="Z103" s="309"/>
      <c r="AA103" s="309"/>
      <c r="AB103" s="308"/>
      <c r="AC103" s="308"/>
    </row>
    <row r="104" hidden="1">
      <c r="A104" s="330">
        <v>45393.0</v>
      </c>
      <c r="B104" s="331" t="s">
        <v>374</v>
      </c>
      <c r="C104" s="332" t="s">
        <v>2908</v>
      </c>
      <c r="D104" s="332" t="s">
        <v>2907</v>
      </c>
      <c r="E104" s="332">
        <v>204.5</v>
      </c>
      <c r="F104" s="338"/>
      <c r="G104" s="319"/>
      <c r="H104" s="337"/>
      <c r="I104" s="308"/>
      <c r="J104" s="308"/>
      <c r="K104" s="308"/>
      <c r="L104" s="308"/>
      <c r="M104" s="308"/>
      <c r="N104" s="308"/>
      <c r="O104" s="308"/>
      <c r="P104" s="332">
        <v>204.5</v>
      </c>
      <c r="Q104" s="308"/>
      <c r="R104" s="308"/>
      <c r="S104" s="308"/>
      <c r="T104" s="308"/>
      <c r="U104" s="308"/>
      <c r="V104" s="308"/>
      <c r="W104" s="308"/>
      <c r="X104" s="308"/>
      <c r="Y104" s="308"/>
      <c r="Z104" s="309"/>
      <c r="AA104" s="309"/>
      <c r="AB104" s="308"/>
      <c r="AC104" s="308"/>
    </row>
    <row r="105" hidden="1">
      <c r="A105" s="330">
        <v>45397.0</v>
      </c>
      <c r="B105" s="331" t="s">
        <v>385</v>
      </c>
      <c r="C105" s="332" t="s">
        <v>2908</v>
      </c>
      <c r="D105" s="332" t="s">
        <v>2907</v>
      </c>
      <c r="E105" s="332">
        <v>3900.0</v>
      </c>
      <c r="F105" s="338"/>
      <c r="G105" s="319"/>
      <c r="H105" s="339"/>
      <c r="I105" s="308"/>
      <c r="J105" s="308"/>
      <c r="K105" s="308"/>
      <c r="L105" s="308"/>
      <c r="M105" s="308"/>
      <c r="N105" s="308"/>
      <c r="O105" s="308"/>
      <c r="P105" s="332">
        <v>3900.0</v>
      </c>
      <c r="Q105" s="308"/>
      <c r="R105" s="308"/>
      <c r="S105" s="308"/>
      <c r="T105" s="308"/>
      <c r="U105" s="308"/>
      <c r="V105" s="308"/>
      <c r="W105" s="308"/>
      <c r="X105" s="308"/>
      <c r="Y105" s="308"/>
      <c r="Z105" s="309"/>
      <c r="AA105" s="309"/>
      <c r="AB105" s="308"/>
      <c r="AC105" s="308"/>
    </row>
    <row r="106" hidden="1">
      <c r="A106" s="330">
        <v>45397.0</v>
      </c>
      <c r="B106" s="331" t="s">
        <v>377</v>
      </c>
      <c r="C106" s="332" t="s">
        <v>2908</v>
      </c>
      <c r="D106" s="332" t="s">
        <v>2907</v>
      </c>
      <c r="E106" s="332">
        <v>3650.0</v>
      </c>
      <c r="F106" s="338"/>
      <c r="G106" s="319"/>
      <c r="H106" s="337"/>
      <c r="I106" s="308"/>
      <c r="J106" s="308"/>
      <c r="K106" s="308"/>
      <c r="L106" s="308"/>
      <c r="M106" s="308"/>
      <c r="N106" s="308"/>
      <c r="O106" s="308"/>
      <c r="P106" s="332">
        <v>3650.0</v>
      </c>
      <c r="Q106" s="308"/>
      <c r="R106" s="308"/>
      <c r="S106" s="308"/>
      <c r="T106" s="308"/>
      <c r="U106" s="308"/>
      <c r="V106" s="308"/>
      <c r="W106" s="308"/>
      <c r="X106" s="308"/>
      <c r="Y106" s="308"/>
      <c r="Z106" s="309"/>
      <c r="AA106" s="309"/>
      <c r="AB106" s="308"/>
      <c r="AC106" s="308"/>
    </row>
    <row r="107" hidden="1">
      <c r="A107" s="330">
        <v>45397.0</v>
      </c>
      <c r="B107" s="331" t="s">
        <v>382</v>
      </c>
      <c r="C107" s="332" t="s">
        <v>2908</v>
      </c>
      <c r="D107" s="332" t="s">
        <v>2907</v>
      </c>
      <c r="E107" s="332">
        <v>126.0</v>
      </c>
      <c r="F107" s="338"/>
      <c r="G107" s="319"/>
      <c r="H107" s="339"/>
      <c r="I107" s="308"/>
      <c r="J107" s="308"/>
      <c r="K107" s="308"/>
      <c r="L107" s="308"/>
      <c r="M107" s="308"/>
      <c r="N107" s="308"/>
      <c r="O107" s="308"/>
      <c r="P107" s="332">
        <v>126.0</v>
      </c>
      <c r="Q107" s="308"/>
      <c r="R107" s="308"/>
      <c r="S107" s="308"/>
      <c r="T107" s="308"/>
      <c r="U107" s="308"/>
      <c r="V107" s="308"/>
      <c r="W107" s="308"/>
      <c r="X107" s="308"/>
      <c r="Y107" s="308"/>
      <c r="Z107" s="309"/>
      <c r="AA107" s="309"/>
      <c r="AB107" s="308"/>
      <c r="AC107" s="308"/>
    </row>
    <row r="108" hidden="1">
      <c r="A108" s="330">
        <v>45398.0</v>
      </c>
      <c r="B108" s="331" t="s">
        <v>368</v>
      </c>
      <c r="C108" s="332" t="s">
        <v>2908</v>
      </c>
      <c r="D108" s="332" t="s">
        <v>2907</v>
      </c>
      <c r="E108" s="332">
        <v>299.99</v>
      </c>
      <c r="F108" s="338"/>
      <c r="G108" s="319"/>
      <c r="H108" s="337"/>
      <c r="I108" s="308"/>
      <c r="J108" s="308"/>
      <c r="K108" s="308"/>
      <c r="L108" s="308"/>
      <c r="M108" s="308"/>
      <c r="N108" s="308"/>
      <c r="O108" s="308"/>
      <c r="P108" s="332">
        <v>299.99</v>
      </c>
      <c r="Q108" s="308"/>
      <c r="R108" s="308"/>
      <c r="S108" s="308"/>
      <c r="T108" s="308"/>
      <c r="U108" s="308"/>
      <c r="V108" s="308"/>
      <c r="W108" s="308"/>
      <c r="X108" s="308"/>
      <c r="Y108" s="308"/>
      <c r="Z108" s="309"/>
      <c r="AA108" s="309"/>
      <c r="AB108" s="308"/>
      <c r="AC108" s="308"/>
    </row>
    <row r="109" hidden="1">
      <c r="A109" s="330">
        <v>45398.0</v>
      </c>
      <c r="B109" s="331" t="s">
        <v>160</v>
      </c>
      <c r="C109" s="332" t="s">
        <v>2908</v>
      </c>
      <c r="D109" s="332" t="s">
        <v>2907</v>
      </c>
      <c r="E109" s="332">
        <v>2800.0</v>
      </c>
      <c r="F109" s="338"/>
      <c r="G109" s="319"/>
      <c r="H109" s="339"/>
      <c r="I109" s="308"/>
      <c r="J109" s="308"/>
      <c r="K109" s="308"/>
      <c r="L109" s="308"/>
      <c r="M109" s="308"/>
      <c r="N109" s="308"/>
      <c r="O109" s="308"/>
      <c r="P109" s="332">
        <v>2800.0</v>
      </c>
      <c r="Q109" s="308"/>
      <c r="R109" s="308"/>
      <c r="S109" s="308"/>
      <c r="T109" s="308"/>
      <c r="U109" s="308"/>
      <c r="V109" s="308"/>
      <c r="W109" s="308"/>
      <c r="X109" s="308"/>
      <c r="Y109" s="308"/>
      <c r="Z109" s="309"/>
      <c r="AA109" s="309"/>
      <c r="AB109" s="308"/>
      <c r="AC109" s="308"/>
    </row>
    <row r="110" hidden="1">
      <c r="A110" s="330">
        <v>45398.0</v>
      </c>
      <c r="B110" s="331" t="s">
        <v>155</v>
      </c>
      <c r="C110" s="332" t="s">
        <v>2908</v>
      </c>
      <c r="D110" s="332" t="s">
        <v>2907</v>
      </c>
      <c r="E110" s="332">
        <v>2800.0</v>
      </c>
      <c r="F110" s="338"/>
      <c r="G110" s="319"/>
      <c r="H110" s="339"/>
      <c r="I110" s="308"/>
      <c r="J110" s="308"/>
      <c r="K110" s="308"/>
      <c r="L110" s="308"/>
      <c r="M110" s="308"/>
      <c r="N110" s="332">
        <v>2800.0</v>
      </c>
      <c r="O110" s="308"/>
      <c r="P110" s="308"/>
      <c r="Q110" s="308"/>
      <c r="R110" s="308"/>
      <c r="S110" s="308"/>
      <c r="T110" s="308"/>
      <c r="U110" s="308"/>
      <c r="V110" s="308"/>
      <c r="W110" s="308"/>
      <c r="X110" s="308"/>
      <c r="Y110" s="308"/>
      <c r="Z110" s="309"/>
      <c r="AA110" s="309"/>
      <c r="AB110" s="308"/>
      <c r="AC110" s="308"/>
    </row>
    <row r="111" hidden="1">
      <c r="A111" s="330">
        <v>45398.0</v>
      </c>
      <c r="B111" s="331" t="s">
        <v>396</v>
      </c>
      <c r="C111" s="332" t="s">
        <v>2908</v>
      </c>
      <c r="D111" s="332" t="s">
        <v>2907</v>
      </c>
      <c r="E111" s="332">
        <v>435.0</v>
      </c>
      <c r="F111" s="338"/>
      <c r="G111" s="319"/>
      <c r="H111" s="339"/>
      <c r="I111" s="308"/>
      <c r="J111" s="308"/>
      <c r="K111" s="308"/>
      <c r="L111" s="308"/>
      <c r="M111" s="308"/>
      <c r="N111" s="308"/>
      <c r="O111" s="308"/>
      <c r="P111" s="332">
        <v>435.0</v>
      </c>
      <c r="Q111" s="308"/>
      <c r="R111" s="308"/>
      <c r="S111" s="308"/>
      <c r="T111" s="308"/>
      <c r="U111" s="308"/>
      <c r="V111" s="308"/>
      <c r="W111" s="308"/>
      <c r="X111" s="308"/>
      <c r="Y111" s="308"/>
      <c r="Z111" s="309"/>
      <c r="AA111" s="309"/>
      <c r="AB111" s="308"/>
      <c r="AC111" s="308"/>
    </row>
    <row r="112" hidden="1">
      <c r="A112" s="330">
        <v>45398.0</v>
      </c>
      <c r="B112" s="331" t="s">
        <v>188</v>
      </c>
      <c r="C112" s="332" t="s">
        <v>2908</v>
      </c>
      <c r="D112" s="332" t="s">
        <v>2907</v>
      </c>
      <c r="E112" s="332">
        <v>9500.0</v>
      </c>
      <c r="F112" s="338"/>
      <c r="G112" s="319"/>
      <c r="H112" s="339"/>
      <c r="I112" s="308"/>
      <c r="J112" s="308"/>
      <c r="K112" s="308"/>
      <c r="L112" s="308"/>
      <c r="M112" s="308"/>
      <c r="N112" s="308"/>
      <c r="O112" s="308"/>
      <c r="P112" s="332">
        <v>9500.0</v>
      </c>
      <c r="Q112" s="308"/>
      <c r="R112" s="308"/>
      <c r="S112" s="308"/>
      <c r="T112" s="308"/>
      <c r="U112" s="308"/>
      <c r="V112" s="308"/>
      <c r="W112" s="308"/>
      <c r="X112" s="308"/>
      <c r="Y112" s="308"/>
      <c r="Z112" s="309"/>
      <c r="AA112" s="309"/>
      <c r="AB112" s="308"/>
      <c r="AC112" s="308"/>
    </row>
    <row r="113" hidden="1">
      <c r="A113" s="330">
        <v>45398.0</v>
      </c>
      <c r="B113" s="331" t="s">
        <v>333</v>
      </c>
      <c r="C113" s="332" t="s">
        <v>2908</v>
      </c>
      <c r="D113" s="332" t="s">
        <v>2907</v>
      </c>
      <c r="E113" s="332">
        <v>260.0</v>
      </c>
      <c r="F113" s="333">
        <v>45425.0</v>
      </c>
      <c r="G113" s="346">
        <v>260.0</v>
      </c>
      <c r="H113" s="337" t="s">
        <v>2922</v>
      </c>
      <c r="I113" s="308"/>
      <c r="J113" s="308"/>
      <c r="K113" s="308"/>
      <c r="L113" s="308"/>
      <c r="M113" s="308"/>
      <c r="N113" s="308"/>
      <c r="O113" s="308"/>
      <c r="P113" s="308"/>
      <c r="Q113" s="332">
        <v>260.0</v>
      </c>
      <c r="R113" s="308"/>
      <c r="S113" s="308"/>
      <c r="T113" s="308"/>
      <c r="U113" s="308"/>
      <c r="V113" s="308"/>
      <c r="W113" s="308"/>
      <c r="X113" s="308"/>
      <c r="Y113" s="308"/>
      <c r="Z113" s="309"/>
      <c r="AA113" s="309"/>
      <c r="AB113" s="308"/>
      <c r="AC113" s="308"/>
    </row>
    <row r="114" hidden="1">
      <c r="A114" s="330">
        <v>45399.0</v>
      </c>
      <c r="B114" s="331" t="s">
        <v>37</v>
      </c>
      <c r="C114" s="332" t="s">
        <v>2908</v>
      </c>
      <c r="D114" s="332" t="s">
        <v>2907</v>
      </c>
      <c r="E114" s="332">
        <v>3800.0</v>
      </c>
      <c r="F114" s="338"/>
      <c r="G114" s="319"/>
      <c r="H114" s="339"/>
      <c r="I114" s="308"/>
      <c r="J114" s="308"/>
      <c r="K114" s="308"/>
      <c r="L114" s="308"/>
      <c r="M114" s="308"/>
      <c r="N114" s="308"/>
      <c r="O114" s="308"/>
      <c r="P114" s="358">
        <v>3800.0</v>
      </c>
      <c r="Q114" s="308"/>
      <c r="R114" s="308"/>
      <c r="S114" s="308"/>
      <c r="T114" s="308"/>
      <c r="U114" s="308"/>
      <c r="V114" s="308"/>
      <c r="W114" s="308"/>
      <c r="X114" s="308"/>
      <c r="Y114" s="308"/>
      <c r="Z114" s="309"/>
      <c r="AA114" s="309"/>
      <c r="AB114" s="308"/>
      <c r="AC114" s="308"/>
    </row>
    <row r="115" hidden="1">
      <c r="A115" s="330">
        <v>45399.0</v>
      </c>
      <c r="B115" s="331" t="s">
        <v>407</v>
      </c>
      <c r="C115" s="332" t="s">
        <v>2908</v>
      </c>
      <c r="D115" s="332" t="s">
        <v>2907</v>
      </c>
      <c r="E115" s="332">
        <v>299.99</v>
      </c>
      <c r="F115" s="338"/>
      <c r="G115" s="319"/>
      <c r="H115" s="339"/>
      <c r="I115" s="308"/>
      <c r="J115" s="308"/>
      <c r="K115" s="308"/>
      <c r="L115" s="308"/>
      <c r="M115" s="308"/>
      <c r="N115" s="358">
        <v>299.99</v>
      </c>
      <c r="O115" s="308"/>
      <c r="P115" s="308"/>
      <c r="Q115" s="308"/>
      <c r="R115" s="308"/>
      <c r="S115" s="308"/>
      <c r="T115" s="308"/>
      <c r="U115" s="308"/>
      <c r="V115" s="308"/>
      <c r="W115" s="308"/>
      <c r="X115" s="308"/>
      <c r="Y115" s="308"/>
      <c r="Z115" s="309"/>
      <c r="AA115" s="309"/>
      <c r="AB115" s="308"/>
      <c r="AC115" s="308"/>
    </row>
    <row r="116" hidden="1">
      <c r="A116" s="330">
        <v>45399.0</v>
      </c>
      <c r="B116" s="331" t="s">
        <v>411</v>
      </c>
      <c r="C116" s="332" t="s">
        <v>2908</v>
      </c>
      <c r="D116" s="332" t="s">
        <v>2907</v>
      </c>
      <c r="E116" s="332">
        <v>584.0</v>
      </c>
      <c r="F116" s="359">
        <v>45461.0</v>
      </c>
      <c r="G116" s="360">
        <v>584.0</v>
      </c>
      <c r="H116" s="361" t="s">
        <v>2923</v>
      </c>
      <c r="I116" s="308"/>
      <c r="J116" s="308"/>
      <c r="K116" s="308"/>
      <c r="L116" s="308"/>
      <c r="M116" s="308"/>
      <c r="N116" s="308"/>
      <c r="O116" s="308"/>
      <c r="P116" s="332">
        <v>584.0</v>
      </c>
      <c r="Q116" s="308"/>
      <c r="R116" s="308"/>
      <c r="S116" s="308"/>
      <c r="T116" s="308"/>
      <c r="U116" s="308"/>
      <c r="V116" s="308"/>
      <c r="W116" s="308"/>
      <c r="X116" s="308"/>
      <c r="Y116" s="308"/>
      <c r="Z116" s="309"/>
      <c r="AA116" s="309"/>
      <c r="AB116" s="308"/>
      <c r="AC116" s="308"/>
    </row>
    <row r="117" hidden="1">
      <c r="A117" s="330">
        <v>45399.0</v>
      </c>
      <c r="B117" s="331" t="s">
        <v>414</v>
      </c>
      <c r="C117" s="332" t="s">
        <v>2908</v>
      </c>
      <c r="D117" s="332" t="s">
        <v>2907</v>
      </c>
      <c r="E117" s="332">
        <v>260.0</v>
      </c>
      <c r="F117" s="338"/>
      <c r="G117" s="319"/>
      <c r="H117" s="339"/>
      <c r="I117" s="308"/>
      <c r="J117" s="308"/>
      <c r="K117" s="308"/>
      <c r="L117" s="308"/>
      <c r="M117" s="308"/>
      <c r="N117" s="332">
        <v>260.0</v>
      </c>
      <c r="O117" s="308"/>
      <c r="P117" s="308"/>
      <c r="Q117" s="308"/>
      <c r="R117" s="308"/>
      <c r="S117" s="308"/>
      <c r="T117" s="308"/>
      <c r="U117" s="308"/>
      <c r="V117" s="308"/>
      <c r="W117" s="308"/>
      <c r="X117" s="308"/>
      <c r="Y117" s="308"/>
      <c r="Z117" s="309"/>
      <c r="AA117" s="309"/>
      <c r="AB117" s="308"/>
      <c r="AC117" s="308"/>
    </row>
    <row r="118" hidden="1">
      <c r="A118" s="330">
        <v>45400.0</v>
      </c>
      <c r="B118" s="331" t="s">
        <v>424</v>
      </c>
      <c r="C118" s="332" t="s">
        <v>2904</v>
      </c>
      <c r="D118" s="332" t="s">
        <v>2907</v>
      </c>
      <c r="E118" s="332" t="s">
        <v>425</v>
      </c>
      <c r="F118" s="338"/>
      <c r="G118" s="319"/>
      <c r="H118" s="339"/>
      <c r="I118" s="308"/>
      <c r="J118" s="308"/>
      <c r="K118" s="308"/>
      <c r="L118" s="308"/>
      <c r="M118" s="308"/>
      <c r="N118" s="332" t="s">
        <v>425</v>
      </c>
      <c r="O118" s="308"/>
      <c r="P118" s="308"/>
      <c r="Q118" s="308"/>
      <c r="R118" s="308"/>
      <c r="S118" s="308"/>
      <c r="T118" s="308"/>
      <c r="U118" s="308"/>
      <c r="V118" s="308"/>
      <c r="W118" s="308"/>
      <c r="X118" s="308"/>
      <c r="Y118" s="308"/>
      <c r="Z118" s="309"/>
      <c r="AA118" s="309"/>
      <c r="AB118" s="308"/>
      <c r="AC118" s="308"/>
    </row>
    <row r="119" hidden="1">
      <c r="A119" s="330">
        <v>45400.0</v>
      </c>
      <c r="B119" s="331" t="s">
        <v>416</v>
      </c>
      <c r="C119" s="332" t="s">
        <v>2904</v>
      </c>
      <c r="D119" s="343" t="s">
        <v>2909</v>
      </c>
      <c r="E119" s="332">
        <v>525.0</v>
      </c>
      <c r="F119" s="338"/>
      <c r="G119" s="319"/>
      <c r="H119" s="339"/>
      <c r="I119" s="308"/>
      <c r="J119" s="308"/>
      <c r="K119" s="332">
        <v>525.0</v>
      </c>
      <c r="L119" s="308"/>
      <c r="M119" s="308"/>
      <c r="N119" s="308"/>
      <c r="O119" s="308"/>
      <c r="P119" s="308"/>
      <c r="Q119" s="308"/>
      <c r="R119" s="308"/>
      <c r="S119" s="308"/>
      <c r="T119" s="308"/>
      <c r="U119" s="308"/>
      <c r="V119" s="308"/>
      <c r="W119" s="308"/>
      <c r="X119" s="308"/>
      <c r="Y119" s="308"/>
      <c r="Z119" s="309"/>
      <c r="AA119" s="309"/>
      <c r="AB119" s="308"/>
      <c r="AC119" s="308"/>
    </row>
    <row r="120" hidden="1">
      <c r="A120" s="330">
        <v>45400.0</v>
      </c>
      <c r="B120" s="331" t="s">
        <v>148</v>
      </c>
      <c r="C120" s="332" t="s">
        <v>2908</v>
      </c>
      <c r="D120" s="332" t="s">
        <v>2907</v>
      </c>
      <c r="E120" s="332">
        <v>1600.0</v>
      </c>
      <c r="F120" s="338"/>
      <c r="G120" s="319"/>
      <c r="H120" s="339"/>
      <c r="I120" s="308"/>
      <c r="J120" s="308"/>
      <c r="K120" s="308"/>
      <c r="L120" s="308"/>
      <c r="M120" s="308"/>
      <c r="N120" s="332">
        <v>1600.0</v>
      </c>
      <c r="O120" s="308"/>
      <c r="P120" s="308"/>
      <c r="Q120" s="308"/>
      <c r="R120" s="308"/>
      <c r="S120" s="308"/>
      <c r="T120" s="308"/>
      <c r="U120" s="308"/>
      <c r="V120" s="308"/>
      <c r="W120" s="308"/>
      <c r="X120" s="308"/>
      <c r="Y120" s="308"/>
      <c r="Z120" s="309"/>
      <c r="AA120" s="309"/>
      <c r="AB120" s="308"/>
      <c r="AC120" s="308"/>
    </row>
    <row r="121" hidden="1">
      <c r="A121" s="330">
        <v>45400.0</v>
      </c>
      <c r="B121" s="331" t="s">
        <v>416</v>
      </c>
      <c r="C121" s="332" t="s">
        <v>2904</v>
      </c>
      <c r="D121" s="332" t="s">
        <v>2907</v>
      </c>
      <c r="E121" s="332" t="s">
        <v>422</v>
      </c>
      <c r="F121" s="338"/>
      <c r="G121" s="319"/>
      <c r="H121" s="339"/>
      <c r="I121" s="308"/>
      <c r="J121" s="308"/>
      <c r="K121" s="308"/>
      <c r="L121" s="308"/>
      <c r="M121" s="308"/>
      <c r="N121" s="308"/>
      <c r="O121" s="308"/>
      <c r="P121" s="332" t="s">
        <v>422</v>
      </c>
      <c r="Q121" s="308"/>
      <c r="R121" s="308"/>
      <c r="S121" s="308"/>
      <c r="T121" s="308"/>
      <c r="U121" s="308"/>
      <c r="V121" s="308"/>
      <c r="W121" s="308"/>
      <c r="X121" s="308"/>
      <c r="Y121" s="308"/>
      <c r="Z121" s="309"/>
      <c r="AA121" s="309"/>
      <c r="AB121" s="308"/>
      <c r="AC121" s="308"/>
    </row>
    <row r="122" hidden="1">
      <c r="A122" s="330">
        <v>45401.0</v>
      </c>
      <c r="B122" s="331" t="s">
        <v>427</v>
      </c>
      <c r="C122" s="332" t="s">
        <v>2908</v>
      </c>
      <c r="D122" s="332" t="s">
        <v>2907</v>
      </c>
      <c r="E122" s="332" t="s">
        <v>428</v>
      </c>
      <c r="F122" s="338"/>
      <c r="G122" s="319"/>
      <c r="H122" s="339"/>
      <c r="I122" s="308"/>
      <c r="J122" s="308"/>
      <c r="K122" s="308"/>
      <c r="L122" s="308"/>
      <c r="M122" s="308"/>
      <c r="N122" s="308"/>
      <c r="O122" s="308"/>
      <c r="P122" s="308"/>
      <c r="Q122" s="308"/>
      <c r="R122" s="308"/>
      <c r="S122" s="308"/>
      <c r="T122" s="308"/>
      <c r="U122" s="308"/>
      <c r="V122" s="308"/>
      <c r="W122" s="308"/>
      <c r="X122" s="308"/>
      <c r="Y122" s="308"/>
      <c r="Z122" s="309"/>
      <c r="AA122" s="309"/>
      <c r="AB122" s="308"/>
      <c r="AC122" s="308"/>
    </row>
    <row r="123" hidden="1">
      <c r="A123" s="330">
        <v>45401.0</v>
      </c>
      <c r="B123" s="331" t="s">
        <v>427</v>
      </c>
      <c r="C123" s="332" t="s">
        <v>2908</v>
      </c>
      <c r="D123" s="332" t="s">
        <v>2907</v>
      </c>
      <c r="E123" s="332">
        <v>162.0</v>
      </c>
      <c r="F123" s="333">
        <v>45446.0</v>
      </c>
      <c r="G123" s="346">
        <v>162.0</v>
      </c>
      <c r="H123" s="337" t="s">
        <v>2924</v>
      </c>
      <c r="I123" s="308"/>
      <c r="J123" s="308"/>
      <c r="K123" s="308"/>
      <c r="L123" s="308"/>
      <c r="M123" s="308"/>
      <c r="N123" s="332">
        <v>162.0</v>
      </c>
      <c r="O123" s="308"/>
      <c r="P123" s="308"/>
      <c r="Q123" s="308"/>
      <c r="R123" s="308"/>
      <c r="S123" s="308"/>
      <c r="T123" s="308"/>
      <c r="U123" s="308"/>
      <c r="V123" s="308"/>
      <c r="W123" s="308"/>
      <c r="X123" s="308"/>
      <c r="Y123" s="308"/>
      <c r="Z123" s="309"/>
      <c r="AA123" s="309"/>
      <c r="AB123" s="308"/>
      <c r="AC123" s="308"/>
    </row>
    <row r="124" hidden="1">
      <c r="A124" s="330">
        <v>45401.0</v>
      </c>
      <c r="B124" s="331" t="s">
        <v>98</v>
      </c>
      <c r="C124" s="332" t="s">
        <v>2904</v>
      </c>
      <c r="D124" s="332" t="s">
        <v>2925</v>
      </c>
      <c r="E124" s="332">
        <v>15000.0</v>
      </c>
      <c r="F124" s="338"/>
      <c r="G124" s="319"/>
      <c r="H124" s="339"/>
      <c r="I124" s="308"/>
      <c r="J124" s="308"/>
      <c r="K124" s="308"/>
      <c r="L124" s="308"/>
      <c r="M124" s="308"/>
      <c r="N124" s="308"/>
      <c r="O124" s="308"/>
      <c r="P124" s="308"/>
      <c r="Q124" s="308"/>
      <c r="R124" s="308"/>
      <c r="S124" s="332">
        <v>15000.0</v>
      </c>
      <c r="T124" s="308"/>
      <c r="U124" s="308"/>
      <c r="V124" s="308"/>
      <c r="W124" s="308"/>
      <c r="X124" s="308"/>
      <c r="Y124" s="308"/>
      <c r="Z124" s="309"/>
      <c r="AA124" s="309"/>
      <c r="AB124" s="308"/>
      <c r="AC124" s="308"/>
    </row>
    <row r="125" hidden="1">
      <c r="A125" s="330">
        <v>45401.0</v>
      </c>
      <c r="B125" s="331" t="s">
        <v>98</v>
      </c>
      <c r="C125" s="332" t="s">
        <v>2904</v>
      </c>
      <c r="D125" s="332" t="s">
        <v>2925</v>
      </c>
      <c r="E125" s="332">
        <v>15000.0</v>
      </c>
      <c r="F125" s="338"/>
      <c r="G125" s="319"/>
      <c r="H125" s="339"/>
      <c r="I125" s="308"/>
      <c r="J125" s="308"/>
      <c r="K125" s="308"/>
      <c r="L125" s="308"/>
      <c r="M125" s="308"/>
      <c r="N125" s="308"/>
      <c r="O125" s="308"/>
      <c r="P125" s="308"/>
      <c r="Q125" s="308"/>
      <c r="R125" s="308"/>
      <c r="S125" s="332">
        <v>15000.0</v>
      </c>
      <c r="T125" s="308"/>
      <c r="U125" s="308"/>
      <c r="V125" s="308"/>
      <c r="W125" s="308"/>
      <c r="X125" s="308"/>
      <c r="Y125" s="308"/>
      <c r="Z125" s="309"/>
      <c r="AA125" s="309"/>
      <c r="AB125" s="308"/>
      <c r="AC125" s="308"/>
    </row>
    <row r="126" hidden="1">
      <c r="A126" s="330">
        <v>45401.0</v>
      </c>
      <c r="B126" s="331" t="s">
        <v>134</v>
      </c>
      <c r="C126" s="332" t="s">
        <v>2904</v>
      </c>
      <c r="D126" s="332" t="s">
        <v>2925</v>
      </c>
      <c r="E126" s="332">
        <v>30000.0</v>
      </c>
      <c r="F126" s="338"/>
      <c r="G126" s="319"/>
      <c r="H126" s="339"/>
      <c r="I126" s="308"/>
      <c r="J126" s="308"/>
      <c r="K126" s="308"/>
      <c r="L126" s="308"/>
      <c r="M126" s="308"/>
      <c r="N126" s="308"/>
      <c r="O126" s="308"/>
      <c r="P126" s="308"/>
      <c r="Q126" s="308"/>
      <c r="R126" s="308"/>
      <c r="S126" s="332">
        <v>30000.0</v>
      </c>
      <c r="T126" s="308"/>
      <c r="U126" s="308"/>
      <c r="V126" s="308"/>
      <c r="W126" s="308"/>
      <c r="X126" s="308"/>
      <c r="Y126" s="308"/>
      <c r="Z126" s="309"/>
      <c r="AA126" s="309"/>
      <c r="AB126" s="308"/>
      <c r="AC126" s="308"/>
    </row>
    <row r="127" hidden="1">
      <c r="A127" s="330">
        <v>45401.0</v>
      </c>
      <c r="B127" s="331" t="s">
        <v>88</v>
      </c>
      <c r="C127" s="332" t="s">
        <v>2904</v>
      </c>
      <c r="D127" s="332" t="s">
        <v>2925</v>
      </c>
      <c r="E127" s="332">
        <v>15000.0</v>
      </c>
      <c r="F127" s="338"/>
      <c r="G127" s="319"/>
      <c r="H127" s="339"/>
      <c r="I127" s="308"/>
      <c r="J127" s="308"/>
      <c r="K127" s="308"/>
      <c r="L127" s="308"/>
      <c r="M127" s="308"/>
      <c r="N127" s="308"/>
      <c r="O127" s="308"/>
      <c r="P127" s="308"/>
      <c r="Q127" s="308"/>
      <c r="R127" s="308"/>
      <c r="S127" s="332">
        <v>15000.0</v>
      </c>
      <c r="T127" s="308"/>
      <c r="U127" s="308"/>
      <c r="V127" s="308"/>
      <c r="W127" s="308"/>
      <c r="X127" s="308"/>
      <c r="Y127" s="308"/>
      <c r="Z127" s="309"/>
      <c r="AA127" s="309"/>
      <c r="AB127" s="308"/>
      <c r="AC127" s="308"/>
    </row>
    <row r="128" hidden="1">
      <c r="A128" s="330">
        <v>45401.0</v>
      </c>
      <c r="B128" s="331" t="s">
        <v>188</v>
      </c>
      <c r="C128" s="332" t="s">
        <v>2904</v>
      </c>
      <c r="D128" s="332" t="s">
        <v>2925</v>
      </c>
      <c r="E128" s="332">
        <v>120000.0</v>
      </c>
      <c r="F128" s="338"/>
      <c r="G128" s="319"/>
      <c r="H128" s="339"/>
      <c r="I128" s="308"/>
      <c r="J128" s="308"/>
      <c r="K128" s="308"/>
      <c r="L128" s="308"/>
      <c r="M128" s="308"/>
      <c r="N128" s="308"/>
      <c r="O128" s="308"/>
      <c r="P128" s="308"/>
      <c r="Q128" s="308"/>
      <c r="R128" s="308"/>
      <c r="S128" s="332">
        <v>120000.0</v>
      </c>
      <c r="T128" s="308"/>
      <c r="U128" s="308"/>
      <c r="V128" s="308"/>
      <c r="W128" s="308"/>
      <c r="X128" s="308"/>
      <c r="Y128" s="308"/>
      <c r="Z128" s="309"/>
      <c r="AA128" s="309"/>
      <c r="AB128" s="308"/>
      <c r="AC128" s="308"/>
    </row>
    <row r="129" hidden="1">
      <c r="A129" s="330">
        <v>45401.0</v>
      </c>
      <c r="B129" s="331" t="s">
        <v>120</v>
      </c>
      <c r="C129" s="332" t="s">
        <v>2904</v>
      </c>
      <c r="D129" s="332" t="s">
        <v>2925</v>
      </c>
      <c r="E129" s="332">
        <v>15000.0</v>
      </c>
      <c r="F129" s="338"/>
      <c r="G129" s="319"/>
      <c r="H129" s="339"/>
      <c r="I129" s="308"/>
      <c r="J129" s="308"/>
      <c r="K129" s="308"/>
      <c r="L129" s="308"/>
      <c r="M129" s="308"/>
      <c r="N129" s="308"/>
      <c r="O129" s="308"/>
      <c r="P129" s="308"/>
      <c r="Q129" s="308"/>
      <c r="R129" s="308"/>
      <c r="S129" s="332">
        <v>15000.0</v>
      </c>
      <c r="T129" s="308"/>
      <c r="U129" s="308"/>
      <c r="V129" s="308"/>
      <c r="W129" s="308"/>
      <c r="X129" s="308"/>
      <c r="Y129" s="308"/>
      <c r="Z129" s="309"/>
      <c r="AA129" s="309"/>
      <c r="AB129" s="308"/>
      <c r="AC129" s="308"/>
    </row>
    <row r="130" hidden="1">
      <c r="A130" s="330">
        <v>45401.0</v>
      </c>
      <c r="B130" s="331" t="s">
        <v>323</v>
      </c>
      <c r="C130" s="332" t="s">
        <v>2904</v>
      </c>
      <c r="D130" s="332" t="s">
        <v>2925</v>
      </c>
      <c r="E130" s="332">
        <v>15000.0</v>
      </c>
      <c r="F130" s="338"/>
      <c r="G130" s="319"/>
      <c r="H130" s="339"/>
      <c r="I130" s="308"/>
      <c r="J130" s="308"/>
      <c r="K130" s="308"/>
      <c r="L130" s="308"/>
      <c r="M130" s="308"/>
      <c r="N130" s="308"/>
      <c r="O130" s="308"/>
      <c r="P130" s="308"/>
      <c r="Q130" s="308"/>
      <c r="R130" s="308"/>
      <c r="S130" s="332">
        <v>15000.0</v>
      </c>
      <c r="T130" s="308"/>
      <c r="U130" s="308"/>
      <c r="V130" s="308"/>
      <c r="W130" s="308"/>
      <c r="X130" s="308"/>
      <c r="Y130" s="308"/>
      <c r="Z130" s="309"/>
      <c r="AA130" s="309"/>
      <c r="AB130" s="308"/>
      <c r="AC130" s="308"/>
    </row>
    <row r="131" hidden="1">
      <c r="A131" s="330">
        <v>45401.0</v>
      </c>
      <c r="B131" s="331" t="s">
        <v>123</v>
      </c>
      <c r="C131" s="332" t="s">
        <v>2904</v>
      </c>
      <c r="D131" s="332" t="s">
        <v>2925</v>
      </c>
      <c r="E131" s="332">
        <v>57587.0</v>
      </c>
      <c r="F131" s="338"/>
      <c r="G131" s="319"/>
      <c r="H131" s="339"/>
      <c r="I131" s="308"/>
      <c r="J131" s="308"/>
      <c r="K131" s="308"/>
      <c r="L131" s="308"/>
      <c r="M131" s="308"/>
      <c r="N131" s="308"/>
      <c r="O131" s="308"/>
      <c r="P131" s="308"/>
      <c r="Q131" s="308"/>
      <c r="R131" s="308"/>
      <c r="S131" s="332">
        <v>57587.0</v>
      </c>
      <c r="T131" s="308"/>
      <c r="U131" s="308"/>
      <c r="V131" s="308"/>
      <c r="W131" s="308"/>
      <c r="X131" s="308"/>
      <c r="Y131" s="308"/>
      <c r="Z131" s="309"/>
      <c r="AA131" s="309"/>
      <c r="AB131" s="308"/>
      <c r="AC131" s="308"/>
    </row>
    <row r="132" hidden="1">
      <c r="A132" s="330">
        <v>45401.0</v>
      </c>
      <c r="B132" s="331" t="s">
        <v>64</v>
      </c>
      <c r="C132" s="332" t="s">
        <v>2904</v>
      </c>
      <c r="D132" s="332" t="s">
        <v>2925</v>
      </c>
      <c r="E132" s="332">
        <v>15000.0</v>
      </c>
      <c r="F132" s="338"/>
      <c r="G132" s="319"/>
      <c r="H132" s="339"/>
      <c r="I132" s="308"/>
      <c r="J132" s="308"/>
      <c r="K132" s="308"/>
      <c r="L132" s="308"/>
      <c r="M132" s="308"/>
      <c r="N132" s="308"/>
      <c r="O132" s="308"/>
      <c r="P132" s="308"/>
      <c r="Q132" s="308"/>
      <c r="R132" s="308"/>
      <c r="S132" s="332">
        <v>15000.0</v>
      </c>
      <c r="T132" s="308"/>
      <c r="U132" s="308"/>
      <c r="V132" s="308"/>
      <c r="W132" s="308"/>
      <c r="X132" s="308"/>
      <c r="Y132" s="308"/>
      <c r="Z132" s="309"/>
      <c r="AA132" s="309"/>
      <c r="AB132" s="308"/>
      <c r="AC132" s="308"/>
    </row>
    <row r="133" hidden="1">
      <c r="A133" s="330">
        <v>45401.0</v>
      </c>
      <c r="B133" s="331" t="s">
        <v>347</v>
      </c>
      <c r="C133" s="332" t="s">
        <v>2904</v>
      </c>
      <c r="D133" s="332" t="s">
        <v>2925</v>
      </c>
      <c r="E133" s="332">
        <v>15000.0</v>
      </c>
      <c r="F133" s="338"/>
      <c r="G133" s="319"/>
      <c r="H133" s="339"/>
      <c r="I133" s="308"/>
      <c r="J133" s="308"/>
      <c r="K133" s="308"/>
      <c r="L133" s="308"/>
      <c r="M133" s="308"/>
      <c r="N133" s="308"/>
      <c r="O133" s="308"/>
      <c r="P133" s="308"/>
      <c r="Q133" s="308"/>
      <c r="R133" s="308"/>
      <c r="S133" s="332">
        <v>15000.0</v>
      </c>
      <c r="T133" s="308"/>
      <c r="U133" s="308"/>
      <c r="V133" s="308"/>
      <c r="W133" s="308"/>
      <c r="X133" s="308"/>
      <c r="Y133" s="308"/>
      <c r="Z133" s="309"/>
      <c r="AA133" s="309"/>
      <c r="AB133" s="308"/>
      <c r="AC133" s="308"/>
    </row>
    <row r="134" hidden="1">
      <c r="A134" s="330">
        <v>45401.0</v>
      </c>
      <c r="B134" s="331" t="s">
        <v>123</v>
      </c>
      <c r="C134" s="332" t="s">
        <v>2904</v>
      </c>
      <c r="D134" s="332" t="s">
        <v>2925</v>
      </c>
      <c r="E134" s="332">
        <v>8400.0</v>
      </c>
      <c r="F134" s="338"/>
      <c r="G134" s="319"/>
      <c r="H134" s="339"/>
      <c r="I134" s="308"/>
      <c r="J134" s="308"/>
      <c r="K134" s="308"/>
      <c r="L134" s="308"/>
      <c r="M134" s="308"/>
      <c r="N134" s="308"/>
      <c r="O134" s="308"/>
      <c r="P134" s="308"/>
      <c r="Q134" s="308"/>
      <c r="R134" s="308"/>
      <c r="S134" s="332">
        <v>8400.0</v>
      </c>
      <c r="T134" s="308"/>
      <c r="U134" s="308"/>
      <c r="V134" s="308"/>
      <c r="W134" s="308"/>
      <c r="X134" s="308"/>
      <c r="Y134" s="308"/>
      <c r="Z134" s="309"/>
      <c r="AA134" s="309"/>
      <c r="AB134" s="308"/>
      <c r="AC134" s="308"/>
    </row>
    <row r="135" hidden="1">
      <c r="A135" s="330">
        <v>45401.0</v>
      </c>
      <c r="B135" s="331" t="s">
        <v>431</v>
      </c>
      <c r="C135" s="332" t="s">
        <v>2904</v>
      </c>
      <c r="D135" s="332" t="s">
        <v>2907</v>
      </c>
      <c r="E135" s="332">
        <v>399.0</v>
      </c>
      <c r="F135" s="338"/>
      <c r="G135" s="319"/>
      <c r="H135" s="339"/>
      <c r="I135" s="308"/>
      <c r="J135" s="308"/>
      <c r="K135" s="308"/>
      <c r="L135" s="308"/>
      <c r="M135" s="308"/>
      <c r="N135" s="332">
        <v>399.0</v>
      </c>
      <c r="O135" s="308"/>
      <c r="P135" s="308"/>
      <c r="Q135" s="308"/>
      <c r="R135" s="308"/>
      <c r="S135" s="308"/>
      <c r="T135" s="308"/>
      <c r="U135" s="308"/>
      <c r="V135" s="308"/>
      <c r="W135" s="308"/>
      <c r="X135" s="308"/>
      <c r="Y135" s="308"/>
      <c r="Z135" s="309"/>
      <c r="AA135" s="309"/>
      <c r="AB135" s="308"/>
      <c r="AC135" s="308"/>
    </row>
    <row r="136" hidden="1">
      <c r="A136" s="330">
        <v>45401.0</v>
      </c>
      <c r="B136" s="331" t="s">
        <v>436</v>
      </c>
      <c r="C136" s="332" t="s">
        <v>2908</v>
      </c>
      <c r="D136" s="332" t="s">
        <v>2907</v>
      </c>
      <c r="E136" s="332">
        <v>286.0</v>
      </c>
      <c r="F136" s="338"/>
      <c r="G136" s="319"/>
      <c r="H136" s="339"/>
      <c r="I136" s="308"/>
      <c r="J136" s="308"/>
      <c r="K136" s="308"/>
      <c r="L136" s="308"/>
      <c r="M136" s="308"/>
      <c r="N136" s="332">
        <v>286.0</v>
      </c>
      <c r="O136" s="308"/>
      <c r="P136" s="308"/>
      <c r="Q136" s="308"/>
      <c r="R136" s="308"/>
      <c r="S136" s="308"/>
      <c r="T136" s="308"/>
      <c r="U136" s="308"/>
      <c r="V136" s="308"/>
      <c r="W136" s="308"/>
      <c r="X136" s="308"/>
      <c r="Y136" s="308"/>
      <c r="Z136" s="309"/>
      <c r="AA136" s="309"/>
      <c r="AB136" s="308"/>
      <c r="AC136" s="308"/>
    </row>
    <row r="137" hidden="1">
      <c r="A137" s="330">
        <v>45401.0</v>
      </c>
      <c r="B137" s="331" t="s">
        <v>94</v>
      </c>
      <c r="C137" s="332" t="s">
        <v>2904</v>
      </c>
      <c r="D137" s="332" t="s">
        <v>2925</v>
      </c>
      <c r="E137" s="332">
        <v>15000.0</v>
      </c>
      <c r="F137" s="338"/>
      <c r="G137" s="319"/>
      <c r="H137" s="339"/>
      <c r="I137" s="308"/>
      <c r="J137" s="308"/>
      <c r="K137" s="308"/>
      <c r="L137" s="308"/>
      <c r="M137" s="308"/>
      <c r="N137" s="308"/>
      <c r="O137" s="308"/>
      <c r="P137" s="308"/>
      <c r="Q137" s="308"/>
      <c r="R137" s="308"/>
      <c r="S137" s="332">
        <v>15000.0</v>
      </c>
      <c r="T137" s="308"/>
      <c r="U137" s="308"/>
      <c r="V137" s="308"/>
      <c r="W137" s="308"/>
      <c r="X137" s="308"/>
      <c r="Y137" s="308"/>
      <c r="Z137" s="309"/>
      <c r="AA137" s="309"/>
      <c r="AB137" s="308"/>
      <c r="AC137" s="308"/>
    </row>
    <row r="138" hidden="1">
      <c r="A138" s="330">
        <v>45405.0</v>
      </c>
      <c r="B138" s="331" t="s">
        <v>123</v>
      </c>
      <c r="C138" s="332" t="s">
        <v>2904</v>
      </c>
      <c r="D138" s="332" t="s">
        <v>2905</v>
      </c>
      <c r="E138" s="332">
        <v>750.0</v>
      </c>
      <c r="F138" s="338"/>
      <c r="G138" s="319"/>
      <c r="H138" s="337"/>
      <c r="I138" s="308"/>
      <c r="J138" s="308"/>
      <c r="K138" s="308"/>
      <c r="L138" s="308"/>
      <c r="M138" s="308"/>
      <c r="N138" s="308"/>
      <c r="O138" s="332">
        <v>750.0</v>
      </c>
      <c r="P138" s="308"/>
      <c r="Q138" s="308"/>
      <c r="R138" s="308"/>
      <c r="S138" s="308"/>
      <c r="T138" s="308"/>
      <c r="U138" s="308"/>
      <c r="V138" s="308"/>
      <c r="W138" s="308"/>
      <c r="X138" s="308"/>
      <c r="Y138" s="308"/>
      <c r="Z138" s="309"/>
      <c r="AA138" s="309"/>
      <c r="AB138" s="308"/>
      <c r="AC138" s="308"/>
    </row>
    <row r="139" hidden="1">
      <c r="A139" s="330">
        <v>45405.0</v>
      </c>
      <c r="B139" s="331" t="s">
        <v>201</v>
      </c>
      <c r="C139" s="332" t="s">
        <v>2908</v>
      </c>
      <c r="D139" s="332" t="s">
        <v>2907</v>
      </c>
      <c r="E139" s="332">
        <v>147.0</v>
      </c>
      <c r="F139" s="338"/>
      <c r="G139" s="319"/>
      <c r="H139" s="339"/>
      <c r="I139" s="308"/>
      <c r="J139" s="308"/>
      <c r="K139" s="308"/>
      <c r="L139" s="308"/>
      <c r="M139" s="308"/>
      <c r="N139" s="332">
        <v>147.0</v>
      </c>
      <c r="O139" s="308"/>
      <c r="P139" s="308"/>
      <c r="Q139" s="308"/>
      <c r="R139" s="308"/>
      <c r="S139" s="308"/>
      <c r="T139" s="308"/>
      <c r="U139" s="308"/>
      <c r="V139" s="308"/>
      <c r="W139" s="308"/>
      <c r="X139" s="308"/>
      <c r="Y139" s="308"/>
      <c r="Z139" s="309"/>
      <c r="AA139" s="309"/>
      <c r="AB139" s="308"/>
      <c r="AC139" s="308"/>
    </row>
    <row r="140" hidden="1">
      <c r="A140" s="330">
        <v>45405.0</v>
      </c>
      <c r="B140" s="331" t="s">
        <v>445</v>
      </c>
      <c r="C140" s="332" t="s">
        <v>2908</v>
      </c>
      <c r="D140" s="343" t="s">
        <v>2909</v>
      </c>
      <c r="E140" s="332">
        <v>525.0</v>
      </c>
      <c r="F140" s="338"/>
      <c r="G140" s="319"/>
      <c r="H140" s="337"/>
      <c r="I140" s="308"/>
      <c r="J140" s="308"/>
      <c r="K140" s="332">
        <v>525.0</v>
      </c>
      <c r="L140" s="308"/>
      <c r="M140" s="308"/>
      <c r="N140" s="308"/>
      <c r="O140" s="308"/>
      <c r="P140" s="308"/>
      <c r="Q140" s="308"/>
      <c r="R140" s="308"/>
      <c r="S140" s="308"/>
      <c r="T140" s="308"/>
      <c r="U140" s="308"/>
      <c r="V140" s="308"/>
      <c r="W140" s="308"/>
      <c r="X140" s="308"/>
      <c r="Y140" s="308"/>
      <c r="Z140" s="309"/>
      <c r="AA140" s="309"/>
      <c r="AB140" s="308"/>
      <c r="AC140" s="308"/>
    </row>
    <row r="141" hidden="1">
      <c r="A141" s="330">
        <v>45406.0</v>
      </c>
      <c r="B141" s="331" t="s">
        <v>416</v>
      </c>
      <c r="C141" s="332" t="s">
        <v>2904</v>
      </c>
      <c r="D141" s="332" t="s">
        <v>2907</v>
      </c>
      <c r="E141" s="332">
        <v>10000.0</v>
      </c>
      <c r="F141" s="338"/>
      <c r="G141" s="319"/>
      <c r="H141" s="339"/>
      <c r="I141" s="308"/>
      <c r="J141" s="308"/>
      <c r="K141" s="308"/>
      <c r="L141" s="308"/>
      <c r="M141" s="308"/>
      <c r="N141" s="308"/>
      <c r="O141" s="308"/>
      <c r="P141" s="332">
        <v>10000.0</v>
      </c>
      <c r="Q141" s="308"/>
      <c r="R141" s="308"/>
      <c r="S141" s="308"/>
      <c r="T141" s="308"/>
      <c r="U141" s="308"/>
      <c r="V141" s="308"/>
      <c r="W141" s="308"/>
      <c r="X141" s="308"/>
      <c r="Y141" s="308"/>
      <c r="Z141" s="309"/>
      <c r="AA141" s="309"/>
      <c r="AB141" s="308"/>
      <c r="AC141" s="308"/>
    </row>
    <row r="142" hidden="1">
      <c r="A142" s="330">
        <v>45406.0</v>
      </c>
      <c r="B142" s="331" t="s">
        <v>459</v>
      </c>
      <c r="C142" s="332" t="s">
        <v>2904</v>
      </c>
      <c r="D142" s="332" t="s">
        <v>2905</v>
      </c>
      <c r="E142" s="332">
        <v>3000.0</v>
      </c>
      <c r="F142" s="338"/>
      <c r="G142" s="319"/>
      <c r="H142" s="339"/>
      <c r="I142" s="308"/>
      <c r="J142" s="308"/>
      <c r="K142" s="308"/>
      <c r="L142" s="308"/>
      <c r="M142" s="308"/>
      <c r="N142" s="308"/>
      <c r="O142" s="332">
        <v>3000.0</v>
      </c>
      <c r="P142" s="308"/>
      <c r="Q142" s="308"/>
      <c r="R142" s="308"/>
      <c r="S142" s="308"/>
      <c r="T142" s="308"/>
      <c r="U142" s="308"/>
      <c r="V142" s="308"/>
      <c r="W142" s="308"/>
      <c r="X142" s="308"/>
      <c r="Y142" s="308"/>
      <c r="Z142" s="309"/>
      <c r="AA142" s="309"/>
      <c r="AB142" s="308"/>
      <c r="AC142" s="308"/>
    </row>
    <row r="143" hidden="1">
      <c r="A143" s="330">
        <v>45406.0</v>
      </c>
      <c r="B143" s="331" t="s">
        <v>449</v>
      </c>
      <c r="C143" s="332" t="s">
        <v>2908</v>
      </c>
      <c r="D143" s="332" t="s">
        <v>2907</v>
      </c>
      <c r="E143" s="332">
        <v>120.0</v>
      </c>
      <c r="F143" s="338"/>
      <c r="G143" s="319"/>
      <c r="H143" s="339"/>
      <c r="I143" s="308"/>
      <c r="J143" s="308"/>
      <c r="K143" s="308"/>
      <c r="L143" s="308"/>
      <c r="M143" s="308"/>
      <c r="N143" s="332">
        <v>120.0</v>
      </c>
      <c r="O143" s="308"/>
      <c r="P143" s="308"/>
      <c r="Q143" s="308"/>
      <c r="R143" s="308"/>
      <c r="S143" s="308"/>
      <c r="T143" s="308"/>
      <c r="U143" s="308"/>
      <c r="V143" s="308"/>
      <c r="W143" s="308"/>
      <c r="X143" s="308"/>
      <c r="Y143" s="308"/>
      <c r="Z143" s="309"/>
      <c r="AA143" s="309"/>
      <c r="AB143" s="308"/>
      <c r="AC143" s="308"/>
    </row>
    <row r="144" hidden="1">
      <c r="A144" s="330">
        <v>45407.0</v>
      </c>
      <c r="B144" s="331" t="s">
        <v>461</v>
      </c>
      <c r="C144" s="332" t="s">
        <v>2908</v>
      </c>
      <c r="D144" s="332" t="s">
        <v>2907</v>
      </c>
      <c r="E144" s="332">
        <v>1295.0</v>
      </c>
      <c r="F144" s="338"/>
      <c r="G144" s="319"/>
      <c r="H144" s="339"/>
      <c r="I144" s="308"/>
      <c r="J144" s="308"/>
      <c r="K144" s="308"/>
      <c r="L144" s="308"/>
      <c r="M144" s="308"/>
      <c r="N144" s="308"/>
      <c r="O144" s="308"/>
      <c r="P144" s="332">
        <v>1295.0</v>
      </c>
      <c r="Q144" s="308"/>
      <c r="R144" s="308"/>
      <c r="S144" s="308"/>
      <c r="T144" s="308"/>
      <c r="U144" s="308"/>
      <c r="V144" s="308"/>
      <c r="W144" s="308"/>
      <c r="X144" s="308"/>
      <c r="Y144" s="308"/>
      <c r="Z144" s="309"/>
      <c r="AA144" s="309"/>
      <c r="AB144" s="308"/>
      <c r="AC144" s="308"/>
    </row>
    <row r="145" hidden="1">
      <c r="A145" s="330">
        <v>45407.0</v>
      </c>
      <c r="B145" s="331" t="s">
        <v>416</v>
      </c>
      <c r="C145" s="332" t="s">
        <v>2904</v>
      </c>
      <c r="D145" s="332" t="s">
        <v>2907</v>
      </c>
      <c r="E145" s="332">
        <v>3000.0</v>
      </c>
      <c r="F145" s="338"/>
      <c r="G145" s="319"/>
      <c r="H145" s="339"/>
      <c r="I145" s="308"/>
      <c r="J145" s="308"/>
      <c r="K145" s="308"/>
      <c r="L145" s="308"/>
      <c r="M145" s="308"/>
      <c r="N145" s="308"/>
      <c r="O145" s="308"/>
      <c r="P145" s="332">
        <v>3000.0</v>
      </c>
      <c r="Q145" s="308"/>
      <c r="R145" s="308"/>
      <c r="S145" s="308"/>
      <c r="T145" s="308"/>
      <c r="U145" s="308"/>
      <c r="V145" s="308"/>
      <c r="W145" s="308"/>
      <c r="X145" s="308"/>
      <c r="Y145" s="308"/>
      <c r="Z145" s="309"/>
      <c r="AA145" s="309"/>
      <c r="AB145" s="308"/>
      <c r="AC145" s="308"/>
    </row>
    <row r="146" hidden="1">
      <c r="A146" s="330">
        <v>45407.0</v>
      </c>
      <c r="B146" s="331" t="s">
        <v>37</v>
      </c>
      <c r="C146" s="332" t="s">
        <v>2904</v>
      </c>
      <c r="D146" s="332" t="s">
        <v>2905</v>
      </c>
      <c r="E146" s="332">
        <v>3000.0</v>
      </c>
      <c r="F146" s="338"/>
      <c r="G146" s="319"/>
      <c r="H146" s="339"/>
      <c r="I146" s="308"/>
      <c r="J146" s="308"/>
      <c r="K146" s="308"/>
      <c r="L146" s="308"/>
      <c r="M146" s="308"/>
      <c r="N146" s="308"/>
      <c r="O146" s="332">
        <v>3000.0</v>
      </c>
      <c r="P146" s="308"/>
      <c r="Q146" s="308"/>
      <c r="R146" s="308"/>
      <c r="S146" s="308"/>
      <c r="T146" s="308"/>
      <c r="U146" s="308"/>
      <c r="V146" s="308"/>
      <c r="W146" s="308"/>
      <c r="X146" s="308"/>
      <c r="Y146" s="308"/>
      <c r="Z146" s="309"/>
      <c r="AA146" s="309"/>
      <c r="AB146" s="308"/>
      <c r="AC146" s="308"/>
    </row>
    <row r="147" hidden="1">
      <c r="A147" s="330">
        <v>45407.0</v>
      </c>
      <c r="B147" s="331" t="s">
        <v>37</v>
      </c>
      <c r="C147" s="332" t="s">
        <v>2904</v>
      </c>
      <c r="D147" s="332" t="s">
        <v>2905</v>
      </c>
      <c r="E147" s="332">
        <v>2000.0</v>
      </c>
      <c r="F147" s="338"/>
      <c r="G147" s="319"/>
      <c r="H147" s="339"/>
      <c r="I147" s="308"/>
      <c r="J147" s="308"/>
      <c r="K147" s="308"/>
      <c r="L147" s="308"/>
      <c r="M147" s="308"/>
      <c r="N147" s="308"/>
      <c r="O147" s="332">
        <v>2000.0</v>
      </c>
      <c r="P147" s="308"/>
      <c r="Q147" s="308"/>
      <c r="R147" s="308"/>
      <c r="S147" s="308"/>
      <c r="T147" s="308"/>
      <c r="U147" s="308"/>
      <c r="V147" s="308"/>
      <c r="W147" s="308"/>
      <c r="X147" s="308"/>
      <c r="Y147" s="308"/>
      <c r="Z147" s="309"/>
      <c r="AA147" s="309"/>
      <c r="AB147" s="308"/>
      <c r="AC147" s="308"/>
    </row>
    <row r="148" hidden="1">
      <c r="A148" s="330">
        <v>45407.0</v>
      </c>
      <c r="B148" s="331" t="s">
        <v>37</v>
      </c>
      <c r="C148" s="332" t="s">
        <v>2904</v>
      </c>
      <c r="D148" s="332" t="s">
        <v>2905</v>
      </c>
      <c r="E148" s="332">
        <v>1500.0</v>
      </c>
      <c r="F148" s="338"/>
      <c r="G148" s="319"/>
      <c r="H148" s="339"/>
      <c r="I148" s="308"/>
      <c r="J148" s="308"/>
      <c r="K148" s="308"/>
      <c r="L148" s="308"/>
      <c r="M148" s="308"/>
      <c r="N148" s="308"/>
      <c r="O148" s="332">
        <v>1500.0</v>
      </c>
      <c r="P148" s="308"/>
      <c r="Q148" s="308"/>
      <c r="R148" s="308"/>
      <c r="S148" s="308"/>
      <c r="T148" s="308"/>
      <c r="U148" s="308"/>
      <c r="V148" s="308"/>
      <c r="W148" s="308"/>
      <c r="X148" s="308"/>
      <c r="Y148" s="308"/>
      <c r="Z148" s="309"/>
      <c r="AA148" s="309"/>
      <c r="AB148" s="308"/>
      <c r="AC148" s="308"/>
    </row>
    <row r="149" hidden="1">
      <c r="A149" s="330">
        <v>45408.0</v>
      </c>
      <c r="B149" s="332" t="s">
        <v>382</v>
      </c>
      <c r="C149" s="332" t="s">
        <v>2908</v>
      </c>
      <c r="D149" s="332" t="s">
        <v>2907</v>
      </c>
      <c r="E149" s="332">
        <v>250.0</v>
      </c>
      <c r="F149" s="338"/>
      <c r="G149" s="319"/>
      <c r="H149" s="339"/>
      <c r="I149" s="308"/>
      <c r="J149" s="308"/>
      <c r="K149" s="308"/>
      <c r="L149" s="308"/>
      <c r="M149" s="308"/>
      <c r="N149" s="308"/>
      <c r="O149" s="308"/>
      <c r="P149" s="332">
        <v>250.0</v>
      </c>
      <c r="Q149" s="308"/>
      <c r="R149" s="308"/>
      <c r="S149" s="308"/>
      <c r="T149" s="308"/>
      <c r="U149" s="308"/>
      <c r="V149" s="308"/>
      <c r="W149" s="308"/>
      <c r="X149" s="308"/>
      <c r="Y149" s="308"/>
      <c r="Z149" s="309"/>
      <c r="AA149" s="309"/>
      <c r="AB149" s="308"/>
      <c r="AC149" s="308"/>
    </row>
    <row r="150" hidden="1">
      <c r="A150" s="330">
        <v>45408.0</v>
      </c>
      <c r="B150" s="332" t="s">
        <v>85</v>
      </c>
      <c r="C150" s="332" t="s">
        <v>2904</v>
      </c>
      <c r="D150" s="332" t="s">
        <v>2907</v>
      </c>
      <c r="E150" s="332">
        <v>2150.0</v>
      </c>
      <c r="F150" s="338"/>
      <c r="G150" s="319"/>
      <c r="H150" s="339"/>
      <c r="I150" s="308"/>
      <c r="J150" s="308"/>
      <c r="K150" s="308"/>
      <c r="L150" s="308"/>
      <c r="M150" s="308"/>
      <c r="N150" s="332">
        <v>2150.0</v>
      </c>
      <c r="O150" s="308"/>
      <c r="P150" s="308"/>
      <c r="Q150" s="308"/>
      <c r="R150" s="308"/>
      <c r="S150" s="308"/>
      <c r="T150" s="308"/>
      <c r="U150" s="308"/>
      <c r="V150" s="308"/>
      <c r="W150" s="308"/>
      <c r="X150" s="308"/>
      <c r="Y150" s="308"/>
      <c r="Z150" s="309"/>
      <c r="AA150" s="309"/>
      <c r="AB150" s="308"/>
      <c r="AC150" s="308"/>
    </row>
    <row r="151" hidden="1">
      <c r="A151" s="330">
        <v>45408.0</v>
      </c>
      <c r="B151" s="332" t="s">
        <v>85</v>
      </c>
      <c r="C151" s="332" t="s">
        <v>2904</v>
      </c>
      <c r="D151" s="332" t="s">
        <v>2907</v>
      </c>
      <c r="E151" s="332">
        <v>2150.0</v>
      </c>
      <c r="F151" s="338"/>
      <c r="G151" s="319"/>
      <c r="H151" s="339"/>
      <c r="I151" s="308"/>
      <c r="J151" s="308"/>
      <c r="K151" s="308"/>
      <c r="L151" s="308"/>
      <c r="M151" s="308"/>
      <c r="N151" s="332">
        <v>2150.0</v>
      </c>
      <c r="O151" s="308"/>
      <c r="P151" s="308"/>
      <c r="Q151" s="308"/>
      <c r="R151" s="308"/>
      <c r="S151" s="308"/>
      <c r="T151" s="308"/>
      <c r="U151" s="308"/>
      <c r="V151" s="308"/>
      <c r="W151" s="308"/>
      <c r="X151" s="308"/>
      <c r="Y151" s="308"/>
      <c r="Z151" s="309"/>
      <c r="AA151" s="309"/>
      <c r="AB151" s="308"/>
      <c r="AC151" s="308"/>
    </row>
    <row r="152" hidden="1">
      <c r="A152" s="330">
        <v>45408.0</v>
      </c>
      <c r="B152" s="332" t="s">
        <v>85</v>
      </c>
      <c r="C152" s="332" t="s">
        <v>2904</v>
      </c>
      <c r="D152" s="332" t="s">
        <v>2907</v>
      </c>
      <c r="E152" s="332">
        <v>2150.0</v>
      </c>
      <c r="F152" s="338"/>
      <c r="G152" s="319"/>
      <c r="H152" s="339"/>
      <c r="I152" s="308"/>
      <c r="J152" s="308"/>
      <c r="K152" s="308"/>
      <c r="L152" s="308"/>
      <c r="M152" s="308"/>
      <c r="N152" s="332">
        <v>2150.0</v>
      </c>
      <c r="O152" s="308"/>
      <c r="P152" s="308"/>
      <c r="Q152" s="308"/>
      <c r="R152" s="308"/>
      <c r="S152" s="308"/>
      <c r="T152" s="308"/>
      <c r="U152" s="308"/>
      <c r="V152" s="308"/>
      <c r="W152" s="308"/>
      <c r="X152" s="308"/>
      <c r="Y152" s="308"/>
      <c r="Z152" s="309"/>
      <c r="AA152" s="309"/>
      <c r="AB152" s="308"/>
      <c r="AC152" s="308"/>
    </row>
    <row r="153" hidden="1">
      <c r="A153" s="330">
        <v>45408.0</v>
      </c>
      <c r="B153" s="332" t="s">
        <v>479</v>
      </c>
      <c r="C153" s="332" t="s">
        <v>2908</v>
      </c>
      <c r="D153" s="332" t="s">
        <v>2907</v>
      </c>
      <c r="E153" s="332">
        <v>85.0</v>
      </c>
      <c r="F153" s="338"/>
      <c r="G153" s="319"/>
      <c r="H153" s="339"/>
      <c r="I153" s="308"/>
      <c r="J153" s="308"/>
      <c r="K153" s="308"/>
      <c r="L153" s="308"/>
      <c r="M153" s="308"/>
      <c r="N153" s="308"/>
      <c r="O153" s="308"/>
      <c r="P153" s="332">
        <v>85.0</v>
      </c>
      <c r="Q153" s="308"/>
      <c r="R153" s="308"/>
      <c r="S153" s="308"/>
      <c r="T153" s="308"/>
      <c r="U153" s="308"/>
      <c r="V153" s="308"/>
      <c r="W153" s="308"/>
      <c r="X153" s="308"/>
      <c r="Y153" s="308"/>
      <c r="Z153" s="309"/>
      <c r="AA153" s="309"/>
      <c r="AB153" s="308"/>
      <c r="AC153" s="308"/>
    </row>
    <row r="154" hidden="1">
      <c r="A154" s="330">
        <v>45408.0</v>
      </c>
      <c r="B154" s="332" t="s">
        <v>482</v>
      </c>
      <c r="C154" s="332" t="s">
        <v>2908</v>
      </c>
      <c r="D154" s="332" t="s">
        <v>2907</v>
      </c>
      <c r="E154" s="332">
        <v>4000.0</v>
      </c>
      <c r="F154" s="338"/>
      <c r="G154" s="319"/>
      <c r="H154" s="339"/>
      <c r="I154" s="308"/>
      <c r="J154" s="308"/>
      <c r="K154" s="308"/>
      <c r="L154" s="308"/>
      <c r="M154" s="308"/>
      <c r="N154" s="308"/>
      <c r="O154" s="308"/>
      <c r="P154" s="332">
        <v>4000.0</v>
      </c>
      <c r="Q154" s="308"/>
      <c r="R154" s="308"/>
      <c r="S154" s="308"/>
      <c r="T154" s="308"/>
      <c r="U154" s="308"/>
      <c r="V154" s="308"/>
      <c r="W154" s="308"/>
      <c r="X154" s="308"/>
      <c r="Y154" s="308"/>
      <c r="Z154" s="309"/>
      <c r="AA154" s="309"/>
      <c r="AB154" s="308"/>
      <c r="AC154" s="308"/>
    </row>
    <row r="155" hidden="1">
      <c r="A155" s="330">
        <v>45408.0</v>
      </c>
      <c r="B155" s="332" t="s">
        <v>487</v>
      </c>
      <c r="C155" s="332" t="s">
        <v>2908</v>
      </c>
      <c r="D155" s="332" t="s">
        <v>2907</v>
      </c>
      <c r="E155" s="332">
        <v>50.0</v>
      </c>
      <c r="F155" s="338"/>
      <c r="G155" s="319"/>
      <c r="H155" s="339"/>
      <c r="I155" s="308"/>
      <c r="J155" s="308"/>
      <c r="K155" s="308"/>
      <c r="L155" s="308"/>
      <c r="M155" s="308"/>
      <c r="N155" s="332">
        <v>50.0</v>
      </c>
      <c r="O155" s="308"/>
      <c r="P155" s="308"/>
      <c r="Q155" s="308"/>
      <c r="R155" s="308"/>
      <c r="S155" s="308"/>
      <c r="T155" s="308"/>
      <c r="U155" s="308"/>
      <c r="V155" s="308"/>
      <c r="W155" s="308"/>
      <c r="X155" s="308"/>
      <c r="Y155" s="308"/>
      <c r="Z155" s="309"/>
      <c r="AA155" s="309"/>
      <c r="AB155" s="308"/>
      <c r="AC155" s="308"/>
    </row>
    <row r="156" hidden="1">
      <c r="A156" s="330">
        <v>45408.0</v>
      </c>
      <c r="B156" s="332" t="s">
        <v>490</v>
      </c>
      <c r="C156" s="332" t="s">
        <v>2908</v>
      </c>
      <c r="D156" s="332" t="s">
        <v>2907</v>
      </c>
      <c r="E156" s="332">
        <v>190.0</v>
      </c>
      <c r="F156" s="338"/>
      <c r="G156" s="319"/>
      <c r="H156" s="339"/>
      <c r="I156" s="308"/>
      <c r="J156" s="308"/>
      <c r="K156" s="308"/>
      <c r="L156" s="308"/>
      <c r="M156" s="308"/>
      <c r="N156" s="332">
        <v>190.0</v>
      </c>
      <c r="O156" s="308"/>
      <c r="P156" s="308"/>
      <c r="Q156" s="308"/>
      <c r="R156" s="308"/>
      <c r="S156" s="308"/>
      <c r="T156" s="308"/>
      <c r="U156" s="308"/>
      <c r="V156" s="308"/>
      <c r="W156" s="308"/>
      <c r="X156" s="308"/>
      <c r="Y156" s="308"/>
      <c r="Z156" s="309"/>
      <c r="AA156" s="309"/>
      <c r="AB156" s="308"/>
      <c r="AC156" s="308"/>
    </row>
    <row r="157" hidden="1">
      <c r="A157" s="330">
        <v>45411.0</v>
      </c>
      <c r="B157" s="332" t="s">
        <v>494</v>
      </c>
      <c r="C157" s="332" t="s">
        <v>2908</v>
      </c>
      <c r="D157" s="332" t="s">
        <v>2907</v>
      </c>
      <c r="E157" s="332">
        <v>1759.0</v>
      </c>
      <c r="F157" s="338"/>
      <c r="G157" s="319"/>
      <c r="H157" s="339"/>
      <c r="I157" s="308"/>
      <c r="J157" s="308"/>
      <c r="K157" s="308"/>
      <c r="L157" s="308"/>
      <c r="M157" s="308"/>
      <c r="N157" s="332">
        <v>1759.0</v>
      </c>
      <c r="O157" s="308"/>
      <c r="P157" s="308"/>
      <c r="Q157" s="308"/>
      <c r="R157" s="308"/>
      <c r="S157" s="308"/>
      <c r="T157" s="308"/>
      <c r="U157" s="308"/>
      <c r="V157" s="308"/>
      <c r="W157" s="308"/>
      <c r="X157" s="308"/>
      <c r="Y157" s="308"/>
      <c r="Z157" s="309"/>
      <c r="AA157" s="309"/>
      <c r="AB157" s="308"/>
      <c r="AC157" s="308"/>
    </row>
    <row r="158" hidden="1">
      <c r="A158" s="330">
        <v>45411.0</v>
      </c>
      <c r="B158" s="332" t="s">
        <v>85</v>
      </c>
      <c r="C158" s="332" t="s">
        <v>2904</v>
      </c>
      <c r="D158" s="332" t="s">
        <v>2907</v>
      </c>
      <c r="E158" s="332">
        <v>2247.0</v>
      </c>
      <c r="F158" s="338"/>
      <c r="G158" s="319"/>
      <c r="H158" s="339"/>
      <c r="I158" s="308"/>
      <c r="J158" s="308"/>
      <c r="K158" s="308"/>
      <c r="L158" s="308"/>
      <c r="M158" s="308"/>
      <c r="N158" s="332">
        <v>2247.0</v>
      </c>
      <c r="O158" s="308"/>
      <c r="P158" s="308"/>
      <c r="Q158" s="308"/>
      <c r="R158" s="308"/>
      <c r="S158" s="308"/>
      <c r="T158" s="308"/>
      <c r="U158" s="308"/>
      <c r="V158" s="308"/>
      <c r="W158" s="308"/>
      <c r="X158" s="308"/>
      <c r="Y158" s="308"/>
      <c r="Z158" s="309"/>
      <c r="AA158" s="309"/>
      <c r="AB158" s="308"/>
      <c r="AC158" s="308"/>
    </row>
    <row r="159" hidden="1">
      <c r="A159" s="330">
        <v>45411.0</v>
      </c>
      <c r="B159" s="332" t="s">
        <v>500</v>
      </c>
      <c r="C159" s="332" t="s">
        <v>2908</v>
      </c>
      <c r="D159" s="332" t="s">
        <v>2907</v>
      </c>
      <c r="E159" s="332">
        <v>25.95</v>
      </c>
      <c r="F159" s="362">
        <v>45440.0</v>
      </c>
      <c r="G159" s="363">
        <v>25.95</v>
      </c>
      <c r="H159" s="337" t="s">
        <v>2926</v>
      </c>
      <c r="I159" s="308"/>
      <c r="J159" s="308"/>
      <c r="K159" s="308"/>
      <c r="L159" s="308"/>
      <c r="M159" s="308"/>
      <c r="N159" s="332">
        <v>25.95</v>
      </c>
      <c r="O159" s="308"/>
      <c r="P159" s="308"/>
      <c r="Q159" s="308"/>
      <c r="R159" s="308"/>
      <c r="S159" s="308"/>
      <c r="T159" s="308"/>
      <c r="U159" s="308"/>
      <c r="V159" s="308"/>
      <c r="W159" s="308"/>
      <c r="X159" s="308"/>
      <c r="Y159" s="308"/>
      <c r="Z159" s="309"/>
      <c r="AA159" s="309"/>
      <c r="AB159" s="308"/>
      <c r="AC159" s="308"/>
    </row>
    <row r="160" hidden="1">
      <c r="A160" s="330">
        <v>45411.0</v>
      </c>
      <c r="B160" s="332" t="s">
        <v>500</v>
      </c>
      <c r="C160" s="332" t="s">
        <v>2908</v>
      </c>
      <c r="D160" s="332" t="s">
        <v>2907</v>
      </c>
      <c r="E160" s="332">
        <v>175.0</v>
      </c>
      <c r="F160" s="362">
        <v>45440.0</v>
      </c>
      <c r="G160" s="363">
        <v>175.0</v>
      </c>
      <c r="H160" s="337" t="s">
        <v>2927</v>
      </c>
      <c r="I160" s="308"/>
      <c r="J160" s="308"/>
      <c r="K160" s="308"/>
      <c r="L160" s="308"/>
      <c r="M160" s="308"/>
      <c r="N160" s="332">
        <v>175.0</v>
      </c>
      <c r="O160" s="308"/>
      <c r="P160" s="308"/>
      <c r="Q160" s="308"/>
      <c r="R160" s="308"/>
      <c r="S160" s="308"/>
      <c r="T160" s="308"/>
      <c r="U160" s="308"/>
      <c r="V160" s="308"/>
      <c r="W160" s="308"/>
      <c r="X160" s="308"/>
      <c r="Y160" s="308"/>
      <c r="Z160" s="309"/>
      <c r="AA160" s="309"/>
      <c r="AB160" s="308"/>
      <c r="AC160" s="308"/>
    </row>
    <row r="161" hidden="1">
      <c r="A161" s="330">
        <v>45411.0</v>
      </c>
      <c r="B161" s="332" t="s">
        <v>500</v>
      </c>
      <c r="C161" s="332" t="s">
        <v>2908</v>
      </c>
      <c r="D161" s="332" t="s">
        <v>2907</v>
      </c>
      <c r="E161" s="332">
        <v>225.0</v>
      </c>
      <c r="F161" s="338"/>
      <c r="G161" s="319"/>
      <c r="H161" s="339"/>
      <c r="I161" s="308"/>
      <c r="J161" s="308"/>
      <c r="K161" s="308"/>
      <c r="L161" s="308"/>
      <c r="M161" s="308"/>
      <c r="N161" s="332">
        <v>225.0</v>
      </c>
      <c r="O161" s="308"/>
      <c r="P161" s="308"/>
      <c r="Q161" s="308"/>
      <c r="R161" s="308"/>
      <c r="S161" s="308"/>
      <c r="T161" s="308"/>
      <c r="U161" s="308"/>
      <c r="V161" s="308"/>
      <c r="W161" s="308"/>
      <c r="X161" s="308"/>
      <c r="Y161" s="308"/>
      <c r="Z161" s="309"/>
      <c r="AA161" s="309"/>
      <c r="AB161" s="308"/>
      <c r="AC161" s="308"/>
    </row>
    <row r="162" hidden="1">
      <c r="A162" s="330">
        <v>45411.0</v>
      </c>
      <c r="B162" s="332" t="s">
        <v>500</v>
      </c>
      <c r="C162" s="332" t="s">
        <v>2908</v>
      </c>
      <c r="D162" s="332" t="s">
        <v>2907</v>
      </c>
      <c r="E162" s="332">
        <v>655.95</v>
      </c>
      <c r="F162" s="364">
        <v>45461.0</v>
      </c>
      <c r="G162" s="365">
        <v>655.95</v>
      </c>
      <c r="H162" s="366" t="s">
        <v>2928</v>
      </c>
      <c r="I162" s="308"/>
      <c r="J162" s="308"/>
      <c r="K162" s="308"/>
      <c r="L162" s="308"/>
      <c r="M162" s="308"/>
      <c r="N162" s="332"/>
      <c r="O162" s="308"/>
      <c r="P162" s="308"/>
      <c r="Q162" s="308"/>
      <c r="R162" s="308"/>
      <c r="S162" s="308"/>
      <c r="T162" s="308"/>
      <c r="U162" s="308"/>
      <c r="V162" s="308"/>
      <c r="W162" s="308"/>
      <c r="X162" s="308"/>
      <c r="Y162" s="308"/>
      <c r="Z162" s="309"/>
      <c r="AA162" s="309"/>
      <c r="AB162" s="308"/>
      <c r="AC162" s="308"/>
    </row>
    <row r="163" hidden="1">
      <c r="A163" s="330">
        <v>45412.0</v>
      </c>
      <c r="B163" s="332" t="s">
        <v>272</v>
      </c>
      <c r="C163" s="332" t="s">
        <v>2908</v>
      </c>
      <c r="D163" s="332" t="s">
        <v>2907</v>
      </c>
      <c r="E163" s="332">
        <v>5000.0</v>
      </c>
      <c r="F163" s="359">
        <v>45440.0</v>
      </c>
      <c r="G163" s="360">
        <v>5000.0</v>
      </c>
      <c r="H163" s="361" t="s">
        <v>2929</v>
      </c>
      <c r="I163" s="308"/>
      <c r="J163" s="308"/>
      <c r="K163" s="308"/>
      <c r="L163" s="308"/>
      <c r="M163" s="332">
        <v>5000.0</v>
      </c>
      <c r="N163" s="332"/>
      <c r="O163" s="308"/>
      <c r="P163" s="308"/>
      <c r="Q163" s="308"/>
      <c r="R163" s="308"/>
      <c r="S163" s="308"/>
      <c r="T163" s="308"/>
      <c r="U163" s="308"/>
      <c r="V163" s="308"/>
      <c r="W163" s="308"/>
      <c r="X163" s="308"/>
      <c r="Y163" s="308"/>
      <c r="Z163" s="309"/>
      <c r="AA163" s="309"/>
      <c r="AB163" s="308"/>
      <c r="AC163" s="308"/>
    </row>
    <row r="164" hidden="1">
      <c r="A164" s="330">
        <v>45412.0</v>
      </c>
      <c r="B164" s="332" t="s">
        <v>482</v>
      </c>
      <c r="C164" s="332" t="s">
        <v>2908</v>
      </c>
      <c r="D164" s="332" t="s">
        <v>2907</v>
      </c>
      <c r="E164" s="332">
        <v>5000.0</v>
      </c>
      <c r="F164" s="338"/>
      <c r="G164" s="319"/>
      <c r="H164" s="339"/>
      <c r="I164" s="308"/>
      <c r="J164" s="308"/>
      <c r="K164" s="308"/>
      <c r="L164" s="308"/>
      <c r="M164" s="308"/>
      <c r="N164" s="308"/>
      <c r="O164" s="308"/>
      <c r="P164" s="332">
        <v>5000.0</v>
      </c>
      <c r="Q164" s="308"/>
      <c r="R164" s="308"/>
      <c r="S164" s="308"/>
      <c r="T164" s="308"/>
      <c r="U164" s="308"/>
      <c r="V164" s="308"/>
      <c r="W164" s="308"/>
      <c r="X164" s="308"/>
      <c r="Y164" s="308"/>
      <c r="Z164" s="309"/>
      <c r="AA164" s="309"/>
      <c r="AB164" s="308"/>
      <c r="AC164" s="308"/>
    </row>
    <row r="165" hidden="1">
      <c r="A165" s="330">
        <v>45412.0</v>
      </c>
      <c r="B165" s="332" t="s">
        <v>512</v>
      </c>
      <c r="C165" s="332" t="s">
        <v>2908</v>
      </c>
      <c r="D165" s="332" t="s">
        <v>2907</v>
      </c>
      <c r="E165" s="332">
        <v>485.0</v>
      </c>
      <c r="F165" s="338"/>
      <c r="G165" s="319"/>
      <c r="H165" s="339"/>
      <c r="I165" s="308"/>
      <c r="J165" s="308"/>
      <c r="K165" s="308"/>
      <c r="L165" s="308"/>
      <c r="M165" s="308"/>
      <c r="N165" s="332">
        <v>485.0</v>
      </c>
      <c r="O165" s="308"/>
      <c r="P165" s="308"/>
      <c r="Q165" s="308"/>
      <c r="R165" s="308"/>
      <c r="S165" s="308"/>
      <c r="T165" s="308"/>
      <c r="U165" s="308"/>
      <c r="V165" s="308"/>
      <c r="W165" s="308"/>
      <c r="X165" s="308"/>
      <c r="Y165" s="308"/>
      <c r="Z165" s="309"/>
      <c r="AA165" s="309"/>
      <c r="AB165" s="308"/>
      <c r="AC165" s="308"/>
    </row>
    <row r="166" hidden="1">
      <c r="A166" s="330">
        <v>45412.0</v>
      </c>
      <c r="B166" s="332" t="s">
        <v>516</v>
      </c>
      <c r="C166" s="332" t="s">
        <v>2904</v>
      </c>
      <c r="D166" s="343" t="s">
        <v>2909</v>
      </c>
      <c r="E166" s="332">
        <v>525.0</v>
      </c>
      <c r="F166" s="359">
        <v>45425.0</v>
      </c>
      <c r="G166" s="360">
        <v>525.0</v>
      </c>
      <c r="H166" s="361" t="s">
        <v>2930</v>
      </c>
      <c r="I166" s="308"/>
      <c r="J166" s="308"/>
      <c r="K166" s="308"/>
      <c r="L166" s="308"/>
      <c r="M166" s="308"/>
      <c r="N166" s="332">
        <v>525.0</v>
      </c>
      <c r="O166" s="308"/>
      <c r="P166" s="308"/>
      <c r="Q166" s="308"/>
      <c r="R166" s="308"/>
      <c r="S166" s="308"/>
      <c r="T166" s="308"/>
      <c r="U166" s="308"/>
      <c r="V166" s="308"/>
      <c r="W166" s="308"/>
      <c r="X166" s="308"/>
      <c r="Y166" s="308"/>
      <c r="Z166" s="309"/>
      <c r="AA166" s="309"/>
      <c r="AB166" s="308"/>
      <c r="AC166" s="308"/>
    </row>
    <row r="167" hidden="1">
      <c r="A167" s="330">
        <v>45412.0</v>
      </c>
      <c r="B167" s="332" t="s">
        <v>516</v>
      </c>
      <c r="C167" s="332" t="s">
        <v>2904</v>
      </c>
      <c r="D167" s="332" t="s">
        <v>2907</v>
      </c>
      <c r="E167" s="332">
        <v>286.0</v>
      </c>
      <c r="F167" s="359">
        <v>45425.0</v>
      </c>
      <c r="G167" s="360">
        <v>286.0</v>
      </c>
      <c r="H167" s="361" t="s">
        <v>2931</v>
      </c>
      <c r="I167" s="308"/>
      <c r="J167" s="308"/>
      <c r="K167" s="308"/>
      <c r="L167" s="308"/>
      <c r="M167" s="308"/>
      <c r="N167" s="332">
        <v>286.0</v>
      </c>
      <c r="O167" s="308"/>
      <c r="P167" s="308"/>
      <c r="Q167" s="308"/>
      <c r="R167" s="308"/>
      <c r="S167" s="308"/>
      <c r="T167" s="308"/>
      <c r="U167" s="308"/>
      <c r="V167" s="308"/>
      <c r="W167" s="308"/>
      <c r="X167" s="308"/>
      <c r="Y167" s="308"/>
      <c r="Z167" s="309"/>
      <c r="AA167" s="309"/>
      <c r="AB167" s="308"/>
      <c r="AC167" s="308"/>
    </row>
    <row r="168" hidden="1">
      <c r="A168" s="367">
        <v>45416.0</v>
      </c>
      <c r="B168" s="368" t="s">
        <v>108</v>
      </c>
      <c r="C168" s="368" t="s">
        <v>2908</v>
      </c>
      <c r="D168" s="368" t="s">
        <v>2907</v>
      </c>
      <c r="E168" s="368">
        <v>160.0</v>
      </c>
      <c r="F168" s="369" t="s">
        <v>2162</v>
      </c>
      <c r="G168" s="369" t="s">
        <v>2162</v>
      </c>
      <c r="H168" s="370"/>
      <c r="I168" s="371"/>
      <c r="J168" s="371"/>
      <c r="K168" s="371"/>
      <c r="L168" s="371"/>
      <c r="M168" s="371"/>
      <c r="N168" s="371"/>
      <c r="O168" s="371"/>
      <c r="P168" s="368">
        <v>160.0</v>
      </c>
      <c r="Q168" s="371"/>
      <c r="R168" s="371"/>
      <c r="S168" s="371"/>
      <c r="T168" s="371"/>
      <c r="U168" s="371"/>
      <c r="V168" s="371"/>
      <c r="W168" s="371"/>
      <c r="X168" s="371"/>
      <c r="Y168" s="371"/>
      <c r="Z168" s="372"/>
      <c r="AA168" s="372"/>
      <c r="AB168" s="371"/>
      <c r="AC168" s="371"/>
    </row>
    <row r="169" hidden="1">
      <c r="A169" s="330">
        <v>45416.0</v>
      </c>
      <c r="B169" s="332" t="s">
        <v>108</v>
      </c>
      <c r="C169" s="332" t="s">
        <v>2908</v>
      </c>
      <c r="D169" s="332" t="s">
        <v>2907</v>
      </c>
      <c r="E169" s="332">
        <v>65.0</v>
      </c>
      <c r="F169" s="338"/>
      <c r="G169" s="319"/>
      <c r="H169" s="338"/>
      <c r="I169" s="308"/>
      <c r="J169" s="308"/>
      <c r="K169" s="308"/>
      <c r="L169" s="308"/>
      <c r="M169" s="308"/>
      <c r="N169" s="308"/>
      <c r="O169" s="308"/>
      <c r="P169" s="332">
        <v>65.0</v>
      </c>
      <c r="Q169" s="308"/>
      <c r="R169" s="308"/>
      <c r="S169" s="308"/>
      <c r="T169" s="308"/>
      <c r="U169" s="308"/>
      <c r="V169" s="308"/>
      <c r="W169" s="308"/>
      <c r="X169" s="308"/>
      <c r="Y169" s="308"/>
      <c r="Z169" s="309"/>
      <c r="AA169" s="309"/>
      <c r="AB169" s="308"/>
      <c r="AC169" s="308"/>
    </row>
    <row r="170" hidden="1">
      <c r="A170" s="330">
        <v>45416.0</v>
      </c>
      <c r="B170" s="332" t="s">
        <v>123</v>
      </c>
      <c r="C170" s="332" t="s">
        <v>2904</v>
      </c>
      <c r="D170" s="332" t="s">
        <v>2907</v>
      </c>
      <c r="E170" s="332">
        <v>175.0</v>
      </c>
      <c r="F170" s="338"/>
      <c r="G170" s="319"/>
      <c r="H170" s="338"/>
      <c r="I170" s="308"/>
      <c r="J170" s="308"/>
      <c r="K170" s="308"/>
      <c r="L170" s="308"/>
      <c r="M170" s="308"/>
      <c r="N170" s="308"/>
      <c r="O170" s="308"/>
      <c r="P170" s="332">
        <v>175.0</v>
      </c>
      <c r="Q170" s="308"/>
      <c r="R170" s="308"/>
      <c r="S170" s="308"/>
      <c r="T170" s="308"/>
      <c r="U170" s="308"/>
      <c r="V170" s="308"/>
      <c r="W170" s="308"/>
      <c r="X170" s="308"/>
      <c r="Y170" s="308"/>
      <c r="Z170" s="309"/>
      <c r="AA170" s="309"/>
      <c r="AB170" s="308"/>
      <c r="AC170" s="308"/>
    </row>
    <row r="171" hidden="1">
      <c r="A171" s="330">
        <v>45416.0</v>
      </c>
      <c r="B171" s="332" t="s">
        <v>368</v>
      </c>
      <c r="C171" s="332" t="s">
        <v>2908</v>
      </c>
      <c r="D171" s="332" t="s">
        <v>2907</v>
      </c>
      <c r="E171" s="332">
        <v>260.0</v>
      </c>
      <c r="F171" s="338"/>
      <c r="G171" s="319"/>
      <c r="H171" s="355"/>
      <c r="I171" s="308"/>
      <c r="J171" s="308"/>
      <c r="K171" s="308"/>
      <c r="L171" s="308"/>
      <c r="M171" s="308"/>
      <c r="N171" s="332">
        <v>260.0</v>
      </c>
      <c r="O171" s="308"/>
      <c r="P171" s="308"/>
      <c r="Q171" s="308"/>
      <c r="R171" s="308"/>
      <c r="S171" s="308"/>
      <c r="T171" s="308"/>
      <c r="U171" s="308"/>
      <c r="V171" s="308"/>
      <c r="W171" s="308"/>
      <c r="X171" s="308"/>
      <c r="Y171" s="308"/>
      <c r="Z171" s="309"/>
      <c r="AA171" s="309"/>
      <c r="AB171" s="308"/>
      <c r="AC171" s="308"/>
    </row>
    <row r="172" hidden="1">
      <c r="A172" s="330">
        <v>45419.0</v>
      </c>
      <c r="B172" s="332" t="s">
        <v>522</v>
      </c>
      <c r="C172" s="332" t="s">
        <v>2908</v>
      </c>
      <c r="D172" s="332" t="s">
        <v>2907</v>
      </c>
      <c r="E172" s="332">
        <v>150.0</v>
      </c>
      <c r="F172" s="338"/>
      <c r="G172" s="319"/>
      <c r="H172" s="338"/>
      <c r="I172" s="308"/>
      <c r="J172" s="308"/>
      <c r="K172" s="308"/>
      <c r="L172" s="308"/>
      <c r="M172" s="308"/>
      <c r="N172" s="332">
        <v>150.0</v>
      </c>
      <c r="O172" s="308"/>
      <c r="P172" s="308"/>
      <c r="Q172" s="308"/>
      <c r="R172" s="308"/>
      <c r="S172" s="308"/>
      <c r="T172" s="308"/>
      <c r="U172" s="308"/>
      <c r="V172" s="308"/>
      <c r="W172" s="308"/>
      <c r="X172" s="308"/>
      <c r="Y172" s="308"/>
      <c r="Z172" s="309"/>
      <c r="AA172" s="309"/>
      <c r="AB172" s="308"/>
      <c r="AC172" s="308"/>
    </row>
    <row r="173" hidden="1">
      <c r="A173" s="330">
        <v>45419.0</v>
      </c>
      <c r="B173" s="332" t="s">
        <v>547</v>
      </c>
      <c r="C173" s="332" t="s">
        <v>2904</v>
      </c>
      <c r="D173" s="332" t="s">
        <v>2914</v>
      </c>
      <c r="E173" s="332"/>
      <c r="F173" s="338"/>
      <c r="G173" s="319"/>
      <c r="H173" s="338"/>
      <c r="I173" s="308"/>
      <c r="J173" s="308"/>
      <c r="K173" s="308"/>
      <c r="L173" s="308"/>
      <c r="M173" s="308"/>
      <c r="N173" s="332"/>
      <c r="O173" s="308"/>
      <c r="P173" s="308"/>
      <c r="Q173" s="308"/>
      <c r="R173" s="308"/>
      <c r="S173" s="308"/>
      <c r="T173" s="308"/>
      <c r="U173" s="308"/>
      <c r="V173" s="308"/>
      <c r="W173" s="308"/>
      <c r="X173" s="308"/>
      <c r="Y173" s="308"/>
      <c r="Z173" s="309"/>
      <c r="AA173" s="309"/>
      <c r="AB173" s="308"/>
      <c r="AC173" s="308"/>
    </row>
    <row r="174" hidden="1">
      <c r="A174" s="330">
        <v>45419.0</v>
      </c>
      <c r="B174" s="332" t="s">
        <v>541</v>
      </c>
      <c r="C174" s="332" t="s">
        <v>2904</v>
      </c>
      <c r="D174" s="332" t="s">
        <v>2907</v>
      </c>
      <c r="E174" s="332">
        <v>639.0</v>
      </c>
      <c r="F174" s="338"/>
      <c r="G174" s="319"/>
      <c r="H174" s="338"/>
      <c r="I174" s="308"/>
      <c r="J174" s="308"/>
      <c r="K174" s="308"/>
      <c r="L174" s="308"/>
      <c r="M174" s="308"/>
      <c r="N174" s="308"/>
      <c r="O174" s="308"/>
      <c r="P174" s="332">
        <v>639.0</v>
      </c>
      <c r="Q174" s="308"/>
      <c r="R174" s="308"/>
      <c r="S174" s="308"/>
      <c r="T174" s="308"/>
      <c r="U174" s="308"/>
      <c r="V174" s="308"/>
      <c r="W174" s="308"/>
      <c r="X174" s="308"/>
      <c r="Y174" s="308"/>
      <c r="Z174" s="309"/>
      <c r="AA174" s="309"/>
      <c r="AB174" s="308"/>
      <c r="AC174" s="308"/>
    </row>
    <row r="175" hidden="1">
      <c r="A175" s="330">
        <v>45419.0</v>
      </c>
      <c r="B175" s="332" t="s">
        <v>545</v>
      </c>
      <c r="C175" s="332" t="s">
        <v>2908</v>
      </c>
      <c r="D175" s="332" t="s">
        <v>2907</v>
      </c>
      <c r="E175" s="332">
        <v>150.0</v>
      </c>
      <c r="F175" s="338"/>
      <c r="G175" s="319"/>
      <c r="H175" s="338"/>
      <c r="I175" s="308"/>
      <c r="J175" s="308"/>
      <c r="K175" s="308"/>
      <c r="L175" s="308"/>
      <c r="M175" s="308"/>
      <c r="N175" s="332">
        <v>150.0</v>
      </c>
      <c r="O175" s="308"/>
      <c r="P175" s="308"/>
      <c r="Q175" s="308"/>
      <c r="R175" s="308"/>
      <c r="S175" s="308"/>
      <c r="T175" s="308"/>
      <c r="U175" s="308"/>
      <c r="V175" s="308"/>
      <c r="W175" s="308"/>
      <c r="X175" s="308"/>
      <c r="Y175" s="308"/>
      <c r="Z175" s="309"/>
      <c r="AA175" s="309"/>
      <c r="AB175" s="308"/>
      <c r="AC175" s="308"/>
    </row>
    <row r="176" hidden="1">
      <c r="A176" s="330">
        <v>45419.0</v>
      </c>
      <c r="B176" s="332" t="s">
        <v>314</v>
      </c>
      <c r="C176" s="332" t="s">
        <v>2904</v>
      </c>
      <c r="D176" s="332" t="s">
        <v>2907</v>
      </c>
      <c r="E176" s="332">
        <v>250.0</v>
      </c>
      <c r="F176" s="338"/>
      <c r="G176" s="319"/>
      <c r="H176" s="338"/>
      <c r="I176" s="308"/>
      <c r="J176" s="308"/>
      <c r="K176" s="308"/>
      <c r="L176" s="308"/>
      <c r="M176" s="308"/>
      <c r="N176" s="332">
        <v>250.0</v>
      </c>
      <c r="O176" s="308"/>
      <c r="P176" s="308"/>
      <c r="Q176" s="308"/>
      <c r="R176" s="308"/>
      <c r="S176" s="308"/>
      <c r="T176" s="308"/>
      <c r="U176" s="308"/>
      <c r="V176" s="308"/>
      <c r="W176" s="308"/>
      <c r="X176" s="308"/>
      <c r="Y176" s="308"/>
      <c r="Z176" s="309"/>
      <c r="AA176" s="309"/>
      <c r="AB176" s="308"/>
      <c r="AC176" s="308"/>
    </row>
    <row r="177" hidden="1">
      <c r="A177" s="373">
        <v>45419.0</v>
      </c>
      <c r="B177" s="332" t="s">
        <v>314</v>
      </c>
      <c r="C177" s="332" t="s">
        <v>2904</v>
      </c>
      <c r="D177" s="332" t="s">
        <v>2907</v>
      </c>
      <c r="E177" s="332">
        <v>250.0</v>
      </c>
      <c r="F177" s="338"/>
      <c r="G177" s="319"/>
      <c r="H177" s="338"/>
      <c r="I177" s="308"/>
      <c r="J177" s="308"/>
      <c r="K177" s="308"/>
      <c r="L177" s="308"/>
      <c r="M177" s="308"/>
      <c r="N177" s="332">
        <v>250.0</v>
      </c>
      <c r="O177" s="308"/>
      <c r="P177" s="308"/>
      <c r="Q177" s="308"/>
      <c r="R177" s="308"/>
      <c r="S177" s="308"/>
      <c r="T177" s="308"/>
      <c r="U177" s="308"/>
      <c r="V177" s="308"/>
      <c r="W177" s="308"/>
      <c r="X177" s="308"/>
      <c r="Y177" s="308"/>
      <c r="Z177" s="309"/>
      <c r="AA177" s="309"/>
      <c r="AB177" s="308"/>
      <c r="AC177" s="308"/>
    </row>
    <row r="178" hidden="1">
      <c r="A178" s="330">
        <v>45419.0</v>
      </c>
      <c r="B178" s="332" t="s">
        <v>314</v>
      </c>
      <c r="C178" s="332" t="s">
        <v>2904</v>
      </c>
      <c r="D178" s="332" t="s">
        <v>2907</v>
      </c>
      <c r="E178" s="332">
        <v>250.0</v>
      </c>
      <c r="F178" s="338"/>
      <c r="G178" s="319"/>
      <c r="H178" s="338"/>
      <c r="I178" s="308"/>
      <c r="J178" s="308"/>
      <c r="K178" s="308"/>
      <c r="L178" s="308"/>
      <c r="M178" s="308"/>
      <c r="N178" s="332">
        <v>250.0</v>
      </c>
      <c r="O178" s="308"/>
      <c r="P178" s="308"/>
      <c r="Q178" s="308"/>
      <c r="R178" s="308"/>
      <c r="S178" s="308"/>
      <c r="T178" s="308"/>
      <c r="U178" s="308"/>
      <c r="V178" s="308"/>
      <c r="W178" s="308"/>
      <c r="X178" s="308"/>
      <c r="Y178" s="308"/>
      <c r="Z178" s="309"/>
      <c r="AA178" s="309"/>
      <c r="AB178" s="308"/>
      <c r="AC178" s="308"/>
    </row>
    <row r="179" hidden="1">
      <c r="A179" s="330">
        <v>45419.0</v>
      </c>
      <c r="B179" s="332" t="s">
        <v>314</v>
      </c>
      <c r="C179" s="332" t="s">
        <v>2904</v>
      </c>
      <c r="D179" s="332" t="s">
        <v>2907</v>
      </c>
      <c r="E179" s="332">
        <v>250.0</v>
      </c>
      <c r="F179" s="338"/>
      <c r="G179" s="319"/>
      <c r="H179" s="338"/>
      <c r="I179" s="308"/>
      <c r="J179" s="308"/>
      <c r="K179" s="308"/>
      <c r="L179" s="308"/>
      <c r="M179" s="308"/>
      <c r="N179" s="332">
        <v>250.0</v>
      </c>
      <c r="O179" s="308"/>
      <c r="P179" s="308"/>
      <c r="Q179" s="308"/>
      <c r="R179" s="308"/>
      <c r="S179" s="308"/>
      <c r="T179" s="308"/>
      <c r="U179" s="308"/>
      <c r="V179" s="308"/>
      <c r="W179" s="308"/>
      <c r="X179" s="308"/>
      <c r="Y179" s="308"/>
      <c r="Z179" s="309"/>
      <c r="AA179" s="309"/>
      <c r="AB179" s="308"/>
      <c r="AC179" s="308"/>
    </row>
    <row r="180" hidden="1">
      <c r="A180" s="330">
        <v>45419.0</v>
      </c>
      <c r="B180" s="332" t="s">
        <v>188</v>
      </c>
      <c r="C180" s="332" t="s">
        <v>2904</v>
      </c>
      <c r="D180" s="332" t="s">
        <v>2907</v>
      </c>
      <c r="E180" s="332">
        <v>5000.0</v>
      </c>
      <c r="F180" s="338"/>
      <c r="G180" s="319"/>
      <c r="H180" s="338"/>
      <c r="I180" s="308"/>
      <c r="J180" s="308"/>
      <c r="K180" s="308"/>
      <c r="L180" s="308"/>
      <c r="M180" s="308"/>
      <c r="N180" s="308"/>
      <c r="O180" s="308"/>
      <c r="P180" s="332">
        <v>5000.0</v>
      </c>
      <c r="Q180" s="308"/>
      <c r="R180" s="308"/>
      <c r="S180" s="308"/>
      <c r="T180" s="308"/>
      <c r="U180" s="308"/>
      <c r="V180" s="308"/>
      <c r="W180" s="308"/>
      <c r="X180" s="308"/>
      <c r="Y180" s="308"/>
      <c r="Z180" s="309"/>
      <c r="AA180" s="309"/>
      <c r="AB180" s="308"/>
      <c r="AC180" s="308"/>
    </row>
    <row r="181" hidden="1">
      <c r="A181" s="330">
        <v>45421.0</v>
      </c>
      <c r="B181" s="332" t="s">
        <v>111</v>
      </c>
      <c r="C181" s="332" t="s">
        <v>2908</v>
      </c>
      <c r="D181" s="332" t="s">
        <v>2907</v>
      </c>
      <c r="E181" s="332">
        <v>4000.0</v>
      </c>
      <c r="F181" s="338"/>
      <c r="G181" s="319"/>
      <c r="H181" s="338"/>
      <c r="I181" s="308"/>
      <c r="J181" s="308"/>
      <c r="K181" s="308"/>
      <c r="L181" s="308"/>
      <c r="M181" s="308"/>
      <c r="N181" s="332">
        <v>4000.0</v>
      </c>
      <c r="O181" s="308"/>
      <c r="P181" s="308"/>
      <c r="Q181" s="308"/>
      <c r="R181" s="308"/>
      <c r="S181" s="308"/>
      <c r="T181" s="308"/>
      <c r="U181" s="308"/>
      <c r="V181" s="308"/>
      <c r="W181" s="308"/>
      <c r="X181" s="308"/>
      <c r="Y181" s="308"/>
      <c r="Z181" s="309"/>
      <c r="AA181" s="309"/>
      <c r="AB181" s="308"/>
      <c r="AC181" s="308"/>
    </row>
    <row r="182" hidden="1">
      <c r="A182" s="330">
        <v>45421.0</v>
      </c>
      <c r="B182" s="332" t="s">
        <v>284</v>
      </c>
      <c r="C182" s="332" t="s">
        <v>2904</v>
      </c>
      <c r="D182" s="332" t="s">
        <v>2907</v>
      </c>
      <c r="E182" s="332">
        <v>10000.0</v>
      </c>
      <c r="F182" s="338"/>
      <c r="G182" s="319"/>
      <c r="H182" s="338"/>
      <c r="I182" s="308"/>
      <c r="J182" s="308"/>
      <c r="K182" s="308"/>
      <c r="L182" s="308"/>
      <c r="M182" s="308"/>
      <c r="N182" s="332">
        <v>10000.0</v>
      </c>
      <c r="O182" s="308"/>
      <c r="P182" s="308"/>
      <c r="Q182" s="308"/>
      <c r="R182" s="308"/>
      <c r="S182" s="308"/>
      <c r="T182" s="308"/>
      <c r="U182" s="308"/>
      <c r="V182" s="308"/>
      <c r="W182" s="308"/>
      <c r="X182" s="308"/>
      <c r="Y182" s="308"/>
      <c r="Z182" s="309"/>
      <c r="AA182" s="309"/>
      <c r="AB182" s="308"/>
      <c r="AC182" s="308"/>
    </row>
    <row r="183" hidden="1">
      <c r="A183" s="330">
        <v>45421.0</v>
      </c>
      <c r="B183" s="332" t="s">
        <v>251</v>
      </c>
      <c r="C183" s="332" t="s">
        <v>2908</v>
      </c>
      <c r="D183" s="332" t="s">
        <v>2907</v>
      </c>
      <c r="E183" s="332">
        <v>85.0</v>
      </c>
      <c r="F183" s="338"/>
      <c r="G183" s="319"/>
      <c r="H183" s="338"/>
      <c r="I183" s="308"/>
      <c r="J183" s="308"/>
      <c r="K183" s="308"/>
      <c r="L183" s="308"/>
      <c r="M183" s="308"/>
      <c r="N183" s="332">
        <v>85.0</v>
      </c>
      <c r="O183" s="308"/>
      <c r="P183" s="308"/>
      <c r="Q183" s="308"/>
      <c r="R183" s="308"/>
      <c r="S183" s="308"/>
      <c r="T183" s="308"/>
      <c r="U183" s="308"/>
      <c r="V183" s="308"/>
      <c r="W183" s="308"/>
      <c r="X183" s="308"/>
      <c r="Y183" s="308"/>
      <c r="Z183" s="309"/>
      <c r="AA183" s="309"/>
      <c r="AB183" s="308"/>
      <c r="AC183" s="308"/>
    </row>
    <row r="184" hidden="1">
      <c r="A184" s="330">
        <v>45421.0</v>
      </c>
      <c r="B184" s="332" t="s">
        <v>541</v>
      </c>
      <c r="C184" s="332" t="s">
        <v>2904</v>
      </c>
      <c r="D184" s="332" t="s">
        <v>2925</v>
      </c>
      <c r="E184" s="344" t="s">
        <v>2932</v>
      </c>
      <c r="F184" s="338"/>
      <c r="G184" s="319"/>
      <c r="H184" s="338"/>
      <c r="I184" s="308"/>
      <c r="J184" s="308"/>
      <c r="K184" s="308"/>
      <c r="L184" s="308"/>
      <c r="M184" s="308"/>
      <c r="N184" s="308"/>
      <c r="O184" s="308"/>
      <c r="P184" s="308"/>
      <c r="Q184" s="308"/>
      <c r="R184" s="308"/>
      <c r="S184" s="374"/>
      <c r="T184" s="308"/>
      <c r="U184" s="308"/>
      <c r="V184" s="308"/>
      <c r="W184" s="308"/>
      <c r="X184" s="308"/>
      <c r="Y184" s="308"/>
      <c r="Z184" s="309"/>
      <c r="AA184" s="309"/>
      <c r="AB184" s="308"/>
      <c r="AC184" s="308"/>
    </row>
    <row r="185" hidden="1">
      <c r="A185" s="330">
        <v>45421.0</v>
      </c>
      <c r="B185" s="332" t="s">
        <v>561</v>
      </c>
      <c r="C185" s="332" t="s">
        <v>2908</v>
      </c>
      <c r="D185" s="332" t="s">
        <v>2907</v>
      </c>
      <c r="E185" s="332">
        <v>1195.0</v>
      </c>
      <c r="F185" s="338"/>
      <c r="G185" s="319"/>
      <c r="H185" s="338"/>
      <c r="I185" s="308"/>
      <c r="J185" s="308"/>
      <c r="K185" s="308"/>
      <c r="L185" s="308"/>
      <c r="M185" s="308"/>
      <c r="N185" s="332">
        <v>1195.0</v>
      </c>
      <c r="O185" s="308"/>
      <c r="P185" s="308"/>
      <c r="Q185" s="308"/>
      <c r="R185" s="308"/>
      <c r="S185" s="308"/>
      <c r="T185" s="308"/>
      <c r="U185" s="308"/>
      <c r="V185" s="308"/>
      <c r="W185" s="308"/>
      <c r="X185" s="308"/>
      <c r="Y185" s="308"/>
      <c r="Z185" s="309"/>
      <c r="AA185" s="309"/>
      <c r="AB185" s="308"/>
      <c r="AC185" s="308"/>
    </row>
    <row r="186" hidden="1">
      <c r="A186" s="330">
        <v>45421.0</v>
      </c>
      <c r="B186" s="332" t="s">
        <v>558</v>
      </c>
      <c r="C186" s="332" t="s">
        <v>2908</v>
      </c>
      <c r="D186" s="332" t="s">
        <v>2907</v>
      </c>
      <c r="E186" s="332">
        <v>250.0</v>
      </c>
      <c r="F186" s="338"/>
      <c r="G186" s="319"/>
      <c r="H186" s="338"/>
      <c r="I186" s="308"/>
      <c r="J186" s="308"/>
      <c r="K186" s="308"/>
      <c r="L186" s="308"/>
      <c r="M186" s="308"/>
      <c r="N186" s="308"/>
      <c r="O186" s="308"/>
      <c r="P186" s="332">
        <v>250.0</v>
      </c>
      <c r="Q186" s="308"/>
      <c r="R186" s="308"/>
      <c r="S186" s="308"/>
      <c r="T186" s="308"/>
      <c r="U186" s="308"/>
      <c r="V186" s="308"/>
      <c r="W186" s="308"/>
      <c r="X186" s="308"/>
      <c r="Y186" s="308"/>
      <c r="Z186" s="309"/>
      <c r="AA186" s="309"/>
      <c r="AB186" s="308"/>
      <c r="AC186" s="308"/>
    </row>
    <row r="187" hidden="1">
      <c r="A187" s="330">
        <v>45421.0</v>
      </c>
      <c r="B187" s="332" t="s">
        <v>479</v>
      </c>
      <c r="C187" s="332" t="s">
        <v>2908</v>
      </c>
      <c r="D187" s="332" t="s">
        <v>2907</v>
      </c>
      <c r="E187" s="332">
        <v>1280.0</v>
      </c>
      <c r="F187" s="338"/>
      <c r="G187" s="319"/>
      <c r="H187" s="338"/>
      <c r="I187" s="308"/>
      <c r="J187" s="308"/>
      <c r="K187" s="308"/>
      <c r="L187" s="308"/>
      <c r="M187" s="308"/>
      <c r="N187" s="332">
        <v>1280.0</v>
      </c>
      <c r="O187" s="308"/>
      <c r="P187" s="308"/>
      <c r="Q187" s="308"/>
      <c r="R187" s="308"/>
      <c r="S187" s="308"/>
      <c r="T187" s="308"/>
      <c r="U187" s="308"/>
      <c r="V187" s="308"/>
      <c r="W187" s="308"/>
      <c r="X187" s="308"/>
      <c r="Y187" s="308"/>
      <c r="Z187" s="309"/>
      <c r="AA187" s="309"/>
      <c r="AB187" s="308"/>
      <c r="AC187" s="308"/>
    </row>
    <row r="188" hidden="1">
      <c r="A188" s="330">
        <v>45421.0</v>
      </c>
      <c r="B188" s="332" t="s">
        <v>479</v>
      </c>
      <c r="C188" s="332" t="s">
        <v>2908</v>
      </c>
      <c r="D188" s="332" t="s">
        <v>2907</v>
      </c>
      <c r="E188" s="332">
        <v>456.0</v>
      </c>
      <c r="F188" s="359">
        <v>45475.0</v>
      </c>
      <c r="G188" s="360">
        <v>456.0</v>
      </c>
      <c r="H188" s="361" t="s">
        <v>2933</v>
      </c>
      <c r="I188" s="308"/>
      <c r="J188" s="308"/>
      <c r="K188" s="308"/>
      <c r="L188" s="308"/>
      <c r="M188" s="308"/>
      <c r="N188" s="332"/>
      <c r="O188" s="308"/>
      <c r="P188" s="308"/>
      <c r="Q188" s="308"/>
      <c r="R188" s="308"/>
      <c r="S188" s="308"/>
      <c r="T188" s="308"/>
      <c r="U188" s="308"/>
      <c r="V188" s="308"/>
      <c r="W188" s="308"/>
      <c r="X188" s="308"/>
      <c r="Y188" s="308"/>
      <c r="Z188" s="309"/>
      <c r="AA188" s="309"/>
      <c r="AB188" s="308"/>
      <c r="AC188" s="308"/>
    </row>
    <row r="189" hidden="1">
      <c r="A189" s="330">
        <v>45429.0</v>
      </c>
      <c r="B189" s="332" t="s">
        <v>569</v>
      </c>
      <c r="C189" s="332" t="s">
        <v>2908</v>
      </c>
      <c r="D189" s="332" t="s">
        <v>2911</v>
      </c>
      <c r="E189" s="332">
        <v>90.0</v>
      </c>
      <c r="F189" s="338"/>
      <c r="G189" s="319"/>
      <c r="H189" s="338"/>
      <c r="I189" s="308"/>
      <c r="J189" s="308"/>
      <c r="K189" s="308"/>
      <c r="L189" s="308"/>
      <c r="M189" s="308"/>
      <c r="N189" s="308"/>
      <c r="O189" s="308"/>
      <c r="P189" s="308"/>
      <c r="Q189" s="332">
        <v>90.0</v>
      </c>
      <c r="R189" s="308"/>
      <c r="S189" s="308"/>
      <c r="T189" s="308"/>
      <c r="U189" s="308"/>
      <c r="V189" s="308"/>
      <c r="W189" s="308"/>
      <c r="X189" s="308"/>
      <c r="Y189" s="308"/>
      <c r="Z189" s="309"/>
      <c r="AA189" s="309"/>
      <c r="AB189" s="308"/>
      <c r="AC189" s="308"/>
    </row>
    <row r="190" hidden="1">
      <c r="A190" s="330">
        <v>45429.0</v>
      </c>
      <c r="B190" s="332" t="s">
        <v>487</v>
      </c>
      <c r="C190" s="332" t="s">
        <v>2908</v>
      </c>
      <c r="D190" s="332" t="s">
        <v>2907</v>
      </c>
      <c r="E190" s="332">
        <v>40.0</v>
      </c>
      <c r="F190" s="338"/>
      <c r="G190" s="319"/>
      <c r="H190" s="338"/>
      <c r="I190" s="308"/>
      <c r="J190" s="308"/>
      <c r="K190" s="308"/>
      <c r="L190" s="308"/>
      <c r="M190" s="308"/>
      <c r="N190" s="308"/>
      <c r="O190" s="308"/>
      <c r="P190" s="332">
        <v>40.0</v>
      </c>
      <c r="Q190" s="308"/>
      <c r="R190" s="308"/>
      <c r="S190" s="308"/>
      <c r="T190" s="308"/>
      <c r="U190" s="308"/>
      <c r="V190" s="308"/>
      <c r="W190" s="308"/>
      <c r="X190" s="308"/>
      <c r="Y190" s="308"/>
      <c r="Z190" s="309"/>
      <c r="AA190" s="309"/>
      <c r="AB190" s="308"/>
      <c r="AC190" s="308"/>
    </row>
    <row r="191" hidden="1">
      <c r="A191" s="330">
        <v>45429.0</v>
      </c>
      <c r="B191" s="332" t="s">
        <v>574</v>
      </c>
      <c r="C191" s="332" t="s">
        <v>2908</v>
      </c>
      <c r="D191" s="332" t="s">
        <v>2907</v>
      </c>
      <c r="E191" s="332">
        <v>2500.0</v>
      </c>
      <c r="F191" s="338"/>
      <c r="G191" s="319"/>
      <c r="H191" s="338"/>
      <c r="I191" s="308"/>
      <c r="J191" s="308"/>
      <c r="K191" s="308"/>
      <c r="L191" s="308"/>
      <c r="M191" s="332">
        <v>2500.0</v>
      </c>
      <c r="N191" s="308"/>
      <c r="O191" s="308"/>
      <c r="P191" s="332"/>
      <c r="Q191" s="308"/>
      <c r="R191" s="308"/>
      <c r="S191" s="308"/>
      <c r="T191" s="308"/>
      <c r="U191" s="308"/>
      <c r="V191" s="308"/>
      <c r="W191" s="308"/>
      <c r="X191" s="308"/>
      <c r="Y191" s="308"/>
      <c r="Z191" s="309"/>
      <c r="AA191" s="309"/>
      <c r="AB191" s="308"/>
      <c r="AC191" s="308"/>
    </row>
    <row r="192" hidden="1">
      <c r="A192" s="330">
        <v>45429.0</v>
      </c>
      <c r="B192" s="358" t="s">
        <v>577</v>
      </c>
      <c r="C192" s="332" t="s">
        <v>2908</v>
      </c>
      <c r="D192" s="332" t="s">
        <v>2907</v>
      </c>
      <c r="E192" s="332">
        <v>3838.0</v>
      </c>
      <c r="F192" s="338"/>
      <c r="G192" s="319"/>
      <c r="H192" s="338"/>
      <c r="I192" s="308"/>
      <c r="J192" s="308"/>
      <c r="K192" s="308"/>
      <c r="L192" s="308"/>
      <c r="M192" s="308"/>
      <c r="N192" s="308"/>
      <c r="O192" s="308"/>
      <c r="P192" s="332">
        <v>3838.0</v>
      </c>
      <c r="Q192" s="308"/>
      <c r="R192" s="308"/>
      <c r="S192" s="308"/>
      <c r="T192" s="308"/>
      <c r="U192" s="308"/>
      <c r="V192" s="308"/>
      <c r="W192" s="308"/>
      <c r="X192" s="308"/>
      <c r="Y192" s="308"/>
      <c r="Z192" s="309"/>
      <c r="AA192" s="309"/>
      <c r="AB192" s="308"/>
      <c r="AC192" s="308"/>
    </row>
    <row r="193" hidden="1">
      <c r="A193" s="330">
        <v>45429.0</v>
      </c>
      <c r="B193" s="332" t="s">
        <v>137</v>
      </c>
      <c r="C193" s="332" t="s">
        <v>2904</v>
      </c>
      <c r="D193" s="332" t="s">
        <v>2907</v>
      </c>
      <c r="E193" s="332">
        <v>1900.0</v>
      </c>
      <c r="F193" s="338"/>
      <c r="G193" s="319"/>
      <c r="H193" s="338"/>
      <c r="I193" s="308"/>
      <c r="J193" s="308"/>
      <c r="K193" s="308"/>
      <c r="L193" s="308"/>
      <c r="M193" s="308"/>
      <c r="N193" s="308"/>
      <c r="O193" s="308"/>
      <c r="P193" s="332">
        <v>1900.0</v>
      </c>
      <c r="Q193" s="308"/>
      <c r="R193" s="308"/>
      <c r="S193" s="308"/>
      <c r="T193" s="308"/>
      <c r="U193" s="308"/>
      <c r="V193" s="308"/>
      <c r="W193" s="308"/>
      <c r="X193" s="308"/>
      <c r="Y193" s="308"/>
      <c r="Z193" s="309"/>
      <c r="AA193" s="309"/>
      <c r="AB193" s="308"/>
      <c r="AC193" s="308"/>
    </row>
    <row r="194" hidden="1">
      <c r="A194" s="330">
        <v>45429.0</v>
      </c>
      <c r="B194" s="332" t="s">
        <v>2934</v>
      </c>
      <c r="C194" s="332" t="s">
        <v>2908</v>
      </c>
      <c r="D194" s="332" t="s">
        <v>2907</v>
      </c>
      <c r="E194" s="332">
        <v>2500.0</v>
      </c>
      <c r="F194" s="338"/>
      <c r="G194" s="319"/>
      <c r="H194" s="338"/>
      <c r="I194" s="308"/>
      <c r="J194" s="308"/>
      <c r="K194" s="308"/>
      <c r="L194" s="308"/>
      <c r="M194" s="332">
        <v>2500.0</v>
      </c>
      <c r="N194" s="308"/>
      <c r="O194" s="308"/>
      <c r="P194" s="332"/>
      <c r="Q194" s="308"/>
      <c r="R194" s="308"/>
      <c r="S194" s="308"/>
      <c r="T194" s="308"/>
      <c r="U194" s="308"/>
      <c r="V194" s="308"/>
      <c r="W194" s="308"/>
      <c r="X194" s="308"/>
      <c r="Y194" s="308"/>
      <c r="Z194" s="309"/>
      <c r="AA194" s="309"/>
      <c r="AB194" s="308"/>
      <c r="AC194" s="308"/>
    </row>
    <row r="195" hidden="1">
      <c r="A195" s="330">
        <v>45429.0</v>
      </c>
      <c r="B195" s="358" t="s">
        <v>586</v>
      </c>
      <c r="C195" s="332" t="s">
        <v>2908</v>
      </c>
      <c r="D195" s="332" t="s">
        <v>2907</v>
      </c>
      <c r="E195" s="332">
        <v>2000.0</v>
      </c>
      <c r="F195" s="338"/>
      <c r="G195" s="319"/>
      <c r="H195" s="338"/>
      <c r="I195" s="308"/>
      <c r="J195" s="308"/>
      <c r="K195" s="308"/>
      <c r="L195" s="308"/>
      <c r="M195" s="308"/>
      <c r="N195" s="308"/>
      <c r="O195" s="308"/>
      <c r="P195" s="332">
        <v>2000.0</v>
      </c>
      <c r="Q195" s="308"/>
      <c r="R195" s="308"/>
      <c r="S195" s="308"/>
      <c r="T195" s="308"/>
      <c r="U195" s="308"/>
      <c r="V195" s="308"/>
      <c r="W195" s="308"/>
      <c r="X195" s="308"/>
      <c r="Y195" s="308"/>
      <c r="Z195" s="309"/>
      <c r="AA195" s="309"/>
      <c r="AB195" s="308"/>
      <c r="AC195" s="308"/>
    </row>
    <row r="196" hidden="1">
      <c r="A196" s="330">
        <v>45429.0</v>
      </c>
      <c r="B196" s="332" t="s">
        <v>589</v>
      </c>
      <c r="C196" s="332" t="s">
        <v>2908</v>
      </c>
      <c r="D196" s="332" t="s">
        <v>2907</v>
      </c>
      <c r="E196" s="375" t="s">
        <v>2935</v>
      </c>
      <c r="F196" s="359">
        <v>45449.0</v>
      </c>
      <c r="G196" s="360">
        <v>174.0</v>
      </c>
      <c r="H196" s="361" t="s">
        <v>2936</v>
      </c>
      <c r="I196" s="308"/>
      <c r="J196" s="308"/>
      <c r="K196" s="308"/>
      <c r="L196" s="308"/>
      <c r="M196" s="308"/>
      <c r="N196" s="308"/>
      <c r="O196" s="308"/>
      <c r="P196" s="375" t="s">
        <v>2935</v>
      </c>
      <c r="Q196" s="308"/>
      <c r="R196" s="308"/>
      <c r="S196" s="308"/>
      <c r="T196" s="308"/>
      <c r="U196" s="308"/>
      <c r="V196" s="308"/>
      <c r="W196" s="308"/>
      <c r="X196" s="308"/>
      <c r="Y196" s="308"/>
      <c r="Z196" s="309"/>
      <c r="AA196" s="309"/>
      <c r="AB196" s="308"/>
      <c r="AC196" s="308"/>
    </row>
    <row r="197" hidden="1">
      <c r="A197" s="367">
        <v>45429.0</v>
      </c>
      <c r="B197" s="368" t="s">
        <v>487</v>
      </c>
      <c r="C197" s="368"/>
      <c r="D197" s="368" t="s">
        <v>2914</v>
      </c>
      <c r="E197" s="376">
        <v>0.0</v>
      </c>
      <c r="F197" s="370"/>
      <c r="G197" s="371"/>
      <c r="H197" s="370"/>
      <c r="I197" s="371"/>
      <c r="J197" s="371"/>
      <c r="K197" s="371"/>
      <c r="L197" s="371"/>
      <c r="M197" s="371"/>
      <c r="N197" s="371"/>
      <c r="O197" s="371"/>
      <c r="P197" s="376"/>
      <c r="Q197" s="371"/>
      <c r="R197" s="371"/>
      <c r="S197" s="371"/>
      <c r="T197" s="371"/>
      <c r="U197" s="371"/>
      <c r="V197" s="371"/>
      <c r="W197" s="371"/>
      <c r="X197" s="371"/>
      <c r="Y197" s="371"/>
      <c r="Z197" s="372"/>
      <c r="AA197" s="372"/>
      <c r="AB197" s="371"/>
      <c r="AC197" s="371"/>
    </row>
    <row r="198" hidden="1">
      <c r="A198" s="330">
        <v>45429.0</v>
      </c>
      <c r="B198" s="332" t="s">
        <v>595</v>
      </c>
      <c r="C198" s="332" t="s">
        <v>2904</v>
      </c>
      <c r="D198" s="332" t="s">
        <v>2907</v>
      </c>
      <c r="E198" s="332">
        <v>499.0</v>
      </c>
      <c r="F198" s="338"/>
      <c r="G198" s="319"/>
      <c r="H198" s="338"/>
      <c r="I198" s="308"/>
      <c r="J198" s="308"/>
      <c r="K198" s="308"/>
      <c r="L198" s="308"/>
      <c r="M198" s="308"/>
      <c r="N198" s="308"/>
      <c r="O198" s="308"/>
      <c r="P198" s="332">
        <v>499.0</v>
      </c>
      <c r="Q198" s="308"/>
      <c r="R198" s="308"/>
      <c r="S198" s="308"/>
      <c r="T198" s="308"/>
      <c r="U198" s="308"/>
      <c r="V198" s="308"/>
      <c r="W198" s="308"/>
      <c r="X198" s="308"/>
      <c r="Y198" s="308"/>
      <c r="Z198" s="309"/>
      <c r="AA198" s="309"/>
      <c r="AB198" s="308"/>
      <c r="AC198" s="308"/>
    </row>
    <row r="199" hidden="1">
      <c r="A199" s="367">
        <v>45429.0</v>
      </c>
      <c r="B199" s="368" t="s">
        <v>545</v>
      </c>
      <c r="C199" s="368"/>
      <c r="D199" s="368" t="s">
        <v>2914</v>
      </c>
      <c r="E199" s="376"/>
      <c r="F199" s="370"/>
      <c r="G199" s="371"/>
      <c r="H199" s="370"/>
      <c r="I199" s="371"/>
      <c r="J199" s="371"/>
      <c r="K199" s="371"/>
      <c r="L199" s="371"/>
      <c r="M199" s="371"/>
      <c r="N199" s="371"/>
      <c r="O199" s="371"/>
      <c r="P199" s="376"/>
      <c r="Q199" s="371"/>
      <c r="R199" s="371"/>
      <c r="S199" s="371"/>
      <c r="T199" s="371"/>
      <c r="U199" s="371"/>
      <c r="V199" s="371"/>
      <c r="W199" s="371"/>
      <c r="X199" s="371"/>
      <c r="Y199" s="371"/>
      <c r="Z199" s="372"/>
      <c r="AA199" s="372"/>
      <c r="AB199" s="371"/>
      <c r="AC199" s="371"/>
    </row>
    <row r="200" hidden="1">
      <c r="A200" s="330">
        <v>45429.0</v>
      </c>
      <c r="B200" s="358" t="s">
        <v>600</v>
      </c>
      <c r="C200" s="332" t="s">
        <v>2908</v>
      </c>
      <c r="D200" s="332" t="s">
        <v>2907</v>
      </c>
      <c r="E200" s="332">
        <v>375.0</v>
      </c>
      <c r="F200" s="338"/>
      <c r="G200" s="319"/>
      <c r="H200" s="338"/>
      <c r="I200" s="308"/>
      <c r="J200" s="308"/>
      <c r="K200" s="308"/>
      <c r="L200" s="308"/>
      <c r="M200" s="308"/>
      <c r="N200" s="308"/>
      <c r="O200" s="308"/>
      <c r="P200" s="332">
        <v>375.0</v>
      </c>
      <c r="Q200" s="308"/>
      <c r="R200" s="308"/>
      <c r="S200" s="308"/>
      <c r="T200" s="308"/>
      <c r="U200" s="308"/>
      <c r="V200" s="308"/>
      <c r="W200" s="308"/>
      <c r="X200" s="308"/>
      <c r="Y200" s="308"/>
      <c r="Z200" s="309"/>
      <c r="AA200" s="309"/>
      <c r="AB200" s="308"/>
      <c r="AC200" s="308"/>
    </row>
    <row r="201" hidden="1">
      <c r="A201" s="330">
        <v>45434.0</v>
      </c>
      <c r="B201" s="358" t="s">
        <v>604</v>
      </c>
      <c r="C201" s="332" t="s">
        <v>2908</v>
      </c>
      <c r="D201" s="332" t="s">
        <v>2907</v>
      </c>
      <c r="E201" s="332">
        <v>605.0</v>
      </c>
      <c r="F201" s="338"/>
      <c r="G201" s="319"/>
      <c r="H201" s="338"/>
      <c r="I201" s="308"/>
      <c r="J201" s="308"/>
      <c r="K201" s="308"/>
      <c r="L201" s="308"/>
      <c r="M201" s="308"/>
      <c r="N201" s="332">
        <v>605.0</v>
      </c>
      <c r="O201" s="308"/>
      <c r="P201" s="308"/>
      <c r="Q201" s="308"/>
      <c r="R201" s="308"/>
      <c r="S201" s="308"/>
      <c r="T201" s="308"/>
      <c r="U201" s="308"/>
      <c r="V201" s="308"/>
      <c r="W201" s="308"/>
      <c r="X201" s="308"/>
      <c r="Y201" s="308"/>
      <c r="Z201" s="309"/>
      <c r="AA201" s="309"/>
      <c r="AB201" s="308"/>
      <c r="AC201" s="308"/>
    </row>
    <row r="202" hidden="1">
      <c r="A202" s="330">
        <v>45434.0</v>
      </c>
      <c r="B202" s="358" t="s">
        <v>606</v>
      </c>
      <c r="C202" s="332" t="s">
        <v>2908</v>
      </c>
      <c r="D202" s="332" t="s">
        <v>2907</v>
      </c>
      <c r="E202" s="332">
        <v>286.0</v>
      </c>
      <c r="F202" s="359">
        <v>45461.0</v>
      </c>
      <c r="G202" s="360">
        <v>286.0</v>
      </c>
      <c r="H202" s="361" t="s">
        <v>2937</v>
      </c>
      <c r="I202" s="308"/>
      <c r="J202" s="308"/>
      <c r="K202" s="308"/>
      <c r="L202" s="308"/>
      <c r="M202" s="308"/>
      <c r="N202" s="332">
        <v>286.0</v>
      </c>
      <c r="O202" s="308"/>
      <c r="P202" s="308"/>
      <c r="Q202" s="308"/>
      <c r="R202" s="308"/>
      <c r="S202" s="308"/>
      <c r="T202" s="308"/>
      <c r="U202" s="308"/>
      <c r="V202" s="308"/>
      <c r="W202" s="308"/>
      <c r="X202" s="308"/>
      <c r="Y202" s="308"/>
      <c r="Z202" s="309"/>
      <c r="AA202" s="309"/>
      <c r="AB202" s="308"/>
      <c r="AC202" s="308"/>
    </row>
    <row r="203" hidden="1">
      <c r="A203" s="330">
        <v>45434.0</v>
      </c>
      <c r="B203" s="358" t="s">
        <v>366</v>
      </c>
      <c r="C203" s="332" t="s">
        <v>2904</v>
      </c>
      <c r="D203" s="332" t="s">
        <v>2907</v>
      </c>
      <c r="E203" s="332">
        <v>116.0</v>
      </c>
      <c r="F203" s="359">
        <v>45440.0</v>
      </c>
      <c r="G203" s="360">
        <v>116.0</v>
      </c>
      <c r="H203" s="361" t="s">
        <v>2938</v>
      </c>
      <c r="I203" s="308"/>
      <c r="J203" s="308"/>
      <c r="K203" s="308"/>
      <c r="L203" s="308"/>
      <c r="M203" s="308"/>
      <c r="N203" s="332">
        <v>116.0</v>
      </c>
      <c r="O203" s="308"/>
      <c r="P203" s="308"/>
      <c r="Q203" s="308"/>
      <c r="R203" s="308"/>
      <c r="S203" s="308"/>
      <c r="T203" s="308"/>
      <c r="U203" s="308"/>
      <c r="V203" s="308"/>
      <c r="W203" s="308"/>
      <c r="X203" s="308"/>
      <c r="Y203" s="308"/>
      <c r="Z203" s="309"/>
      <c r="AA203" s="309"/>
      <c r="AB203" s="308"/>
      <c r="AC203" s="308"/>
    </row>
    <row r="204" hidden="1">
      <c r="A204" s="330">
        <v>45434.0</v>
      </c>
      <c r="B204" s="358" t="s">
        <v>37</v>
      </c>
      <c r="C204" s="332" t="s">
        <v>2904</v>
      </c>
      <c r="D204" s="332" t="s">
        <v>2905</v>
      </c>
      <c r="E204" s="332">
        <v>1500.0</v>
      </c>
      <c r="F204" s="338"/>
      <c r="G204" s="319"/>
      <c r="H204" s="338"/>
      <c r="I204" s="308"/>
      <c r="J204" s="308"/>
      <c r="K204" s="308"/>
      <c r="L204" s="308"/>
      <c r="M204" s="308"/>
      <c r="N204" s="308"/>
      <c r="O204" s="332">
        <v>1500.0</v>
      </c>
      <c r="P204" s="308"/>
      <c r="Q204" s="308"/>
      <c r="R204" s="308"/>
      <c r="S204" s="308"/>
      <c r="T204" s="308"/>
      <c r="U204" s="308"/>
      <c r="V204" s="308"/>
      <c r="W204" s="308"/>
      <c r="X204" s="308"/>
      <c r="Y204" s="308"/>
      <c r="Z204" s="309"/>
      <c r="AA204" s="309"/>
      <c r="AB204" s="308"/>
      <c r="AC204" s="308"/>
    </row>
    <row r="205" hidden="1">
      <c r="A205" s="330">
        <v>45434.0</v>
      </c>
      <c r="B205" s="358" t="s">
        <v>2939</v>
      </c>
      <c r="C205" s="332" t="s">
        <v>2908</v>
      </c>
      <c r="D205" s="332" t="s">
        <v>2907</v>
      </c>
      <c r="E205" s="332">
        <v>399.4</v>
      </c>
      <c r="F205" s="359">
        <v>45440.0</v>
      </c>
      <c r="G205" s="360">
        <v>399.4</v>
      </c>
      <c r="H205" s="361" t="s">
        <v>2940</v>
      </c>
      <c r="I205" s="308"/>
      <c r="J205" s="308"/>
      <c r="K205" s="308"/>
      <c r="L205" s="308"/>
      <c r="M205" s="308"/>
      <c r="N205" s="332">
        <v>399.4</v>
      </c>
      <c r="O205" s="308"/>
      <c r="P205" s="308"/>
      <c r="Q205" s="308"/>
      <c r="R205" s="308"/>
      <c r="S205" s="308"/>
      <c r="T205" s="308"/>
      <c r="U205" s="308"/>
      <c r="V205" s="308"/>
      <c r="W205" s="308"/>
      <c r="X205" s="308"/>
      <c r="Y205" s="308"/>
      <c r="Z205" s="309"/>
      <c r="AA205" s="309"/>
      <c r="AB205" s="308"/>
      <c r="AC205" s="308"/>
    </row>
    <row r="206" hidden="1">
      <c r="A206" s="330">
        <v>45440.0</v>
      </c>
      <c r="B206" s="358" t="s">
        <v>616</v>
      </c>
      <c r="C206" s="332" t="s">
        <v>2908</v>
      </c>
      <c r="D206" s="332" t="s">
        <v>2907</v>
      </c>
      <c r="E206" s="332">
        <v>380.0</v>
      </c>
      <c r="F206" s="338"/>
      <c r="G206" s="319"/>
      <c r="H206" s="338"/>
      <c r="I206" s="308"/>
      <c r="J206" s="308"/>
      <c r="K206" s="308"/>
      <c r="L206" s="308"/>
      <c r="M206" s="308"/>
      <c r="N206" s="332">
        <v>380.0</v>
      </c>
      <c r="O206" s="308"/>
      <c r="P206" s="308"/>
      <c r="Q206" s="308"/>
      <c r="R206" s="308"/>
      <c r="S206" s="308"/>
      <c r="T206" s="308"/>
      <c r="U206" s="308"/>
      <c r="V206" s="308"/>
      <c r="W206" s="308"/>
      <c r="X206" s="308"/>
      <c r="Y206" s="308"/>
      <c r="Z206" s="309"/>
      <c r="AA206" s="309"/>
      <c r="AB206" s="308"/>
      <c r="AC206" s="308"/>
    </row>
    <row r="207" hidden="1">
      <c r="A207" s="330">
        <v>45440.0</v>
      </c>
      <c r="B207" s="358" t="s">
        <v>620</v>
      </c>
      <c r="C207" s="332" t="s">
        <v>2908</v>
      </c>
      <c r="D207" s="332" t="s">
        <v>2907</v>
      </c>
      <c r="E207" s="332">
        <v>1375.0</v>
      </c>
      <c r="F207" s="338"/>
      <c r="G207" s="319"/>
      <c r="H207" s="338"/>
      <c r="I207" s="308"/>
      <c r="J207" s="308"/>
      <c r="K207" s="308"/>
      <c r="L207" s="308"/>
      <c r="M207" s="308"/>
      <c r="N207" s="332">
        <v>1375.0</v>
      </c>
      <c r="O207" s="308"/>
      <c r="P207" s="308"/>
      <c r="Q207" s="308"/>
      <c r="R207" s="308"/>
      <c r="S207" s="308"/>
      <c r="T207" s="308"/>
      <c r="U207" s="308"/>
      <c r="V207" s="308"/>
      <c r="W207" s="308"/>
      <c r="X207" s="308"/>
      <c r="Y207" s="308"/>
      <c r="Z207" s="309"/>
      <c r="AA207" s="309"/>
      <c r="AB207" s="308"/>
      <c r="AC207" s="308"/>
    </row>
    <row r="208" hidden="1">
      <c r="A208" s="330">
        <v>45440.0</v>
      </c>
      <c r="B208" s="358" t="s">
        <v>272</v>
      </c>
      <c r="C208" s="332" t="s">
        <v>2908</v>
      </c>
      <c r="D208" s="332" t="s">
        <v>2907</v>
      </c>
      <c r="E208" s="332">
        <v>4000.0</v>
      </c>
      <c r="F208" s="338"/>
      <c r="G208" s="319"/>
      <c r="H208" s="338"/>
      <c r="I208" s="308"/>
      <c r="J208" s="308"/>
      <c r="K208" s="308"/>
      <c r="L208" s="308"/>
      <c r="M208" s="308"/>
      <c r="N208" s="332">
        <v>4000.0</v>
      </c>
      <c r="O208" s="308"/>
      <c r="P208" s="308"/>
      <c r="Q208" s="308"/>
      <c r="R208" s="308"/>
      <c r="S208" s="308"/>
      <c r="T208" s="308"/>
      <c r="U208" s="308"/>
      <c r="V208" s="308"/>
      <c r="W208" s="308"/>
      <c r="X208" s="308"/>
      <c r="Y208" s="308"/>
      <c r="Z208" s="309"/>
      <c r="AA208" s="309"/>
      <c r="AB208" s="308"/>
      <c r="AC208" s="308"/>
    </row>
    <row r="209" hidden="1">
      <c r="A209" s="330">
        <v>45441.0</v>
      </c>
      <c r="B209" s="358" t="s">
        <v>624</v>
      </c>
      <c r="C209" s="332" t="s">
        <v>2904</v>
      </c>
      <c r="D209" s="332" t="s">
        <v>2907</v>
      </c>
      <c r="E209" s="332">
        <v>115.0</v>
      </c>
      <c r="F209" s="333"/>
      <c r="G209" s="319"/>
      <c r="H209" s="338"/>
      <c r="I209" s="308"/>
      <c r="J209" s="308"/>
      <c r="K209" s="308"/>
      <c r="L209" s="308"/>
      <c r="M209" s="308"/>
      <c r="N209" s="332">
        <v>115.0</v>
      </c>
      <c r="O209" s="308"/>
      <c r="P209" s="308"/>
      <c r="Q209" s="308"/>
      <c r="R209" s="308"/>
      <c r="S209" s="308"/>
      <c r="T209" s="308"/>
      <c r="U209" s="308"/>
      <c r="V209" s="308"/>
      <c r="W209" s="308"/>
      <c r="X209" s="308"/>
      <c r="Y209" s="308"/>
      <c r="Z209" s="309"/>
      <c r="AA209" s="309"/>
      <c r="AB209" s="308"/>
      <c r="AC209" s="308"/>
    </row>
    <row r="210" hidden="1">
      <c r="A210" s="330">
        <v>45441.0</v>
      </c>
      <c r="B210" s="332" t="s">
        <v>247</v>
      </c>
      <c r="C210" s="332" t="s">
        <v>2908</v>
      </c>
      <c r="D210" s="332" t="s">
        <v>2907</v>
      </c>
      <c r="E210" s="332">
        <v>2100.0</v>
      </c>
      <c r="F210" s="338"/>
      <c r="G210" s="319"/>
      <c r="H210" s="338"/>
      <c r="I210" s="308"/>
      <c r="J210" s="308"/>
      <c r="K210" s="308"/>
      <c r="L210" s="308"/>
      <c r="M210" s="308"/>
      <c r="N210" s="332">
        <v>2100.0</v>
      </c>
      <c r="O210" s="308"/>
      <c r="P210" s="308"/>
      <c r="Q210" s="308"/>
      <c r="R210" s="308"/>
      <c r="S210" s="308"/>
      <c r="T210" s="308"/>
      <c r="U210" s="308"/>
      <c r="V210" s="308"/>
      <c r="W210" s="308"/>
      <c r="X210" s="308"/>
      <c r="Y210" s="308"/>
      <c r="Z210" s="309"/>
      <c r="AA210" s="309"/>
      <c r="AB210" s="308"/>
      <c r="AC210" s="308"/>
    </row>
    <row r="211" hidden="1">
      <c r="A211" s="330">
        <v>45441.0</v>
      </c>
      <c r="B211" s="332" t="s">
        <v>111</v>
      </c>
      <c r="C211" s="332" t="s">
        <v>2908</v>
      </c>
      <c r="D211" s="332" t="s">
        <v>2907</v>
      </c>
      <c r="E211" s="332">
        <v>2905.0</v>
      </c>
      <c r="F211" s="338"/>
      <c r="G211" s="319"/>
      <c r="H211" s="338"/>
      <c r="I211" s="308"/>
      <c r="J211" s="308"/>
      <c r="K211" s="308"/>
      <c r="L211" s="308"/>
      <c r="M211" s="308"/>
      <c r="N211" s="332">
        <v>2905.0</v>
      </c>
      <c r="O211" s="308"/>
      <c r="P211" s="308"/>
      <c r="Q211" s="308"/>
      <c r="R211" s="308"/>
      <c r="S211" s="308"/>
      <c r="T211" s="308"/>
      <c r="U211" s="308"/>
      <c r="V211" s="308"/>
      <c r="W211" s="308"/>
      <c r="X211" s="308"/>
      <c r="Y211" s="308"/>
      <c r="Z211" s="309"/>
      <c r="AA211" s="309"/>
      <c r="AB211" s="308"/>
      <c r="AC211" s="308"/>
    </row>
    <row r="212" hidden="1">
      <c r="A212" s="330">
        <v>45442.0</v>
      </c>
      <c r="B212" s="332" t="s">
        <v>155</v>
      </c>
      <c r="C212" s="332" t="s">
        <v>2908</v>
      </c>
      <c r="D212" s="332" t="s">
        <v>2905</v>
      </c>
      <c r="E212" s="332">
        <v>120.0</v>
      </c>
      <c r="F212" s="338"/>
      <c r="G212" s="319"/>
      <c r="H212" s="338"/>
      <c r="I212" s="308"/>
      <c r="J212" s="308"/>
      <c r="K212" s="308"/>
      <c r="L212" s="308"/>
      <c r="M212" s="308"/>
      <c r="N212" s="308"/>
      <c r="O212" s="332">
        <v>120.0</v>
      </c>
      <c r="P212" s="308"/>
      <c r="Q212" s="308"/>
      <c r="R212" s="308"/>
      <c r="S212" s="308"/>
      <c r="T212" s="308"/>
      <c r="U212" s="308"/>
      <c r="V212" s="308"/>
      <c r="W212" s="308"/>
      <c r="X212" s="308"/>
      <c r="Y212" s="308"/>
      <c r="Z212" s="309"/>
      <c r="AA212" s="309"/>
      <c r="AB212" s="308"/>
      <c r="AC212" s="308"/>
    </row>
    <row r="213" hidden="1">
      <c r="A213" s="330">
        <v>45442.0</v>
      </c>
      <c r="B213" s="332" t="s">
        <v>586</v>
      </c>
      <c r="C213" s="332" t="s">
        <v>2908</v>
      </c>
      <c r="D213" s="332" t="s">
        <v>2907</v>
      </c>
      <c r="E213" s="332">
        <v>500.0</v>
      </c>
      <c r="F213" s="338"/>
      <c r="G213" s="319"/>
      <c r="H213" s="338"/>
      <c r="I213" s="308"/>
      <c r="J213" s="308"/>
      <c r="K213" s="308"/>
      <c r="L213" s="308"/>
      <c r="M213" s="308"/>
      <c r="N213" s="332">
        <v>500.0</v>
      </c>
      <c r="O213" s="308"/>
      <c r="P213" s="308"/>
      <c r="Q213" s="308"/>
      <c r="R213" s="308"/>
      <c r="S213" s="308"/>
      <c r="T213" s="308"/>
      <c r="U213" s="308"/>
      <c r="V213" s="308"/>
      <c r="W213" s="308"/>
      <c r="X213" s="308"/>
      <c r="Y213" s="308"/>
      <c r="Z213" s="309"/>
      <c r="AA213" s="309"/>
      <c r="AB213" s="308"/>
      <c r="AC213" s="308"/>
    </row>
    <row r="214" hidden="1">
      <c r="A214" s="330">
        <v>45442.0</v>
      </c>
      <c r="B214" s="332" t="s">
        <v>636</v>
      </c>
      <c r="C214" s="332" t="s">
        <v>2908</v>
      </c>
      <c r="D214" s="332" t="s">
        <v>2907</v>
      </c>
      <c r="E214" s="332">
        <v>1696.0</v>
      </c>
      <c r="F214" s="338"/>
      <c r="G214" s="319"/>
      <c r="H214" s="338"/>
      <c r="I214" s="308"/>
      <c r="J214" s="308"/>
      <c r="K214" s="308"/>
      <c r="L214" s="308"/>
      <c r="M214" s="308"/>
      <c r="N214" s="332">
        <v>1696.0</v>
      </c>
      <c r="O214" s="308"/>
      <c r="P214" s="308"/>
      <c r="Q214" s="308"/>
      <c r="R214" s="308"/>
      <c r="S214" s="308"/>
      <c r="T214" s="308"/>
      <c r="U214" s="308"/>
      <c r="V214" s="308"/>
      <c r="W214" s="308"/>
      <c r="X214" s="308"/>
      <c r="Y214" s="308"/>
      <c r="Z214" s="309"/>
      <c r="AA214" s="309"/>
      <c r="AB214" s="308"/>
      <c r="AC214" s="308"/>
    </row>
    <row r="215" hidden="1">
      <c r="A215" s="330">
        <v>45442.0</v>
      </c>
      <c r="B215" s="332" t="s">
        <v>639</v>
      </c>
      <c r="C215" s="332" t="s">
        <v>2908</v>
      </c>
      <c r="D215" s="332" t="s">
        <v>2907</v>
      </c>
      <c r="E215" s="332">
        <v>1696.0</v>
      </c>
      <c r="F215" s="338"/>
      <c r="G215" s="319"/>
      <c r="H215" s="338"/>
      <c r="I215" s="308"/>
      <c r="J215" s="308"/>
      <c r="K215" s="308"/>
      <c r="L215" s="308"/>
      <c r="M215" s="308"/>
      <c r="N215" s="332">
        <v>1696.0</v>
      </c>
      <c r="O215" s="308"/>
      <c r="P215" s="308"/>
      <c r="Q215" s="308"/>
      <c r="R215" s="308"/>
      <c r="S215" s="308"/>
      <c r="T215" s="308"/>
      <c r="U215" s="308"/>
      <c r="V215" s="308"/>
      <c r="W215" s="308"/>
      <c r="X215" s="308"/>
      <c r="Y215" s="308"/>
      <c r="Z215" s="309"/>
      <c r="AA215" s="309"/>
      <c r="AB215" s="308"/>
      <c r="AC215" s="308"/>
    </row>
    <row r="216" hidden="1">
      <c r="A216" s="330">
        <v>45442.0</v>
      </c>
      <c r="B216" s="332" t="s">
        <v>148</v>
      </c>
      <c r="C216" s="332" t="s">
        <v>2908</v>
      </c>
      <c r="D216" s="332" t="s">
        <v>2907</v>
      </c>
      <c r="E216" s="332">
        <v>200.0</v>
      </c>
      <c r="F216" s="359">
        <v>45449.0</v>
      </c>
      <c r="G216" s="360">
        <v>200.0</v>
      </c>
      <c r="H216" s="361" t="s">
        <v>2941</v>
      </c>
      <c r="I216" s="308"/>
      <c r="J216" s="308"/>
      <c r="K216" s="308"/>
      <c r="L216" s="308"/>
      <c r="M216" s="308"/>
      <c r="N216" s="332">
        <v>200.0</v>
      </c>
      <c r="O216" s="308"/>
      <c r="P216" s="308"/>
      <c r="Q216" s="308"/>
      <c r="R216" s="308"/>
      <c r="S216" s="308"/>
      <c r="T216" s="308"/>
      <c r="U216" s="308"/>
      <c r="V216" s="308"/>
      <c r="W216" s="308"/>
      <c r="X216" s="308"/>
      <c r="Y216" s="308"/>
      <c r="Z216" s="309"/>
      <c r="AA216" s="309"/>
      <c r="AB216" s="308"/>
      <c r="AC216" s="308"/>
    </row>
    <row r="217" hidden="1">
      <c r="A217" s="330">
        <v>45446.0</v>
      </c>
      <c r="B217" s="332" t="s">
        <v>516</v>
      </c>
      <c r="C217" s="332" t="s">
        <v>2908</v>
      </c>
      <c r="D217" s="332" t="s">
        <v>2925</v>
      </c>
      <c r="E217" s="344" t="s">
        <v>2932</v>
      </c>
      <c r="F217" s="338"/>
      <c r="G217" s="319"/>
      <c r="H217" s="338"/>
      <c r="I217" s="308"/>
      <c r="J217" s="308"/>
      <c r="K217" s="308"/>
      <c r="L217" s="308"/>
      <c r="M217" s="308"/>
      <c r="N217" s="308"/>
      <c r="O217" s="308"/>
      <c r="P217" s="308"/>
      <c r="Q217" s="308"/>
      <c r="R217" s="308"/>
      <c r="S217" s="344"/>
      <c r="T217" s="308"/>
      <c r="U217" s="308"/>
      <c r="V217" s="308"/>
      <c r="W217" s="308"/>
      <c r="X217" s="308"/>
      <c r="Y217" s="308"/>
      <c r="Z217" s="309"/>
      <c r="AA217" s="309"/>
      <c r="AB217" s="308"/>
      <c r="AC217" s="308"/>
    </row>
    <row r="218" hidden="1">
      <c r="A218" s="330">
        <v>45446.0</v>
      </c>
      <c r="B218" s="332" t="s">
        <v>595</v>
      </c>
      <c r="C218" s="332" t="s">
        <v>2904</v>
      </c>
      <c r="D218" s="332" t="s">
        <v>2907</v>
      </c>
      <c r="E218" s="344" t="s">
        <v>2932</v>
      </c>
      <c r="F218" s="338"/>
      <c r="G218" s="319"/>
      <c r="H218" s="338"/>
      <c r="I218" s="308"/>
      <c r="J218" s="308"/>
      <c r="K218" s="308"/>
      <c r="L218" s="308"/>
      <c r="M218" s="308"/>
      <c r="N218" s="344"/>
      <c r="O218" s="308"/>
      <c r="P218" s="308"/>
      <c r="Q218" s="308"/>
      <c r="R218" s="308"/>
      <c r="S218" s="308"/>
      <c r="T218" s="308"/>
      <c r="U218" s="308"/>
      <c r="V218" s="308"/>
      <c r="W218" s="308"/>
      <c r="X218" s="308"/>
      <c r="Y218" s="308"/>
      <c r="Z218" s="309"/>
      <c r="AA218" s="309"/>
      <c r="AB218" s="308"/>
      <c r="AC218" s="308"/>
    </row>
    <row r="219" hidden="1">
      <c r="A219" s="330">
        <v>45446.0</v>
      </c>
      <c r="B219" s="332" t="s">
        <v>407</v>
      </c>
      <c r="C219" s="332" t="s">
        <v>2908</v>
      </c>
      <c r="D219" s="332" t="s">
        <v>2907</v>
      </c>
      <c r="E219" s="332">
        <v>768.0</v>
      </c>
      <c r="F219" s="338"/>
      <c r="G219" s="319"/>
      <c r="H219" s="338"/>
      <c r="I219" s="308"/>
      <c r="J219" s="308"/>
      <c r="K219" s="308"/>
      <c r="L219" s="308"/>
      <c r="M219" s="308"/>
      <c r="N219" s="332">
        <v>768.0</v>
      </c>
      <c r="O219" s="308"/>
      <c r="P219" s="308"/>
      <c r="Q219" s="308"/>
      <c r="R219" s="308"/>
      <c r="S219" s="308"/>
      <c r="T219" s="308"/>
      <c r="U219" s="308"/>
      <c r="V219" s="308"/>
      <c r="W219" s="308"/>
      <c r="X219" s="308"/>
      <c r="Y219" s="308"/>
      <c r="Z219" s="309"/>
      <c r="AA219" s="309"/>
      <c r="AB219" s="308"/>
      <c r="AC219" s="308"/>
    </row>
    <row r="220" hidden="1">
      <c r="A220" s="330">
        <v>45446.0</v>
      </c>
      <c r="B220" s="332" t="s">
        <v>650</v>
      </c>
      <c r="C220" s="332" t="s">
        <v>2908</v>
      </c>
      <c r="D220" s="332" t="s">
        <v>2907</v>
      </c>
      <c r="E220" s="332">
        <v>975.0</v>
      </c>
      <c r="F220" s="338"/>
      <c r="G220" s="319"/>
      <c r="H220" s="338"/>
      <c r="I220" s="308"/>
      <c r="J220" s="308"/>
      <c r="K220" s="308"/>
      <c r="L220" s="308"/>
      <c r="M220" s="308"/>
      <c r="N220" s="332">
        <v>975.0</v>
      </c>
      <c r="O220" s="308"/>
      <c r="P220" s="308"/>
      <c r="Q220" s="308"/>
      <c r="R220" s="308"/>
      <c r="S220" s="308"/>
      <c r="T220" s="308"/>
      <c r="U220" s="308"/>
      <c r="V220" s="308"/>
      <c r="W220" s="308"/>
      <c r="X220" s="308"/>
      <c r="Y220" s="308"/>
      <c r="Z220" s="309"/>
      <c r="AA220" s="309"/>
      <c r="AB220" s="308"/>
      <c r="AC220" s="308"/>
    </row>
    <row r="221" hidden="1">
      <c r="A221" s="330">
        <v>45446.0</v>
      </c>
      <c r="B221" s="332" t="s">
        <v>653</v>
      </c>
      <c r="C221" s="332" t="s">
        <v>2908</v>
      </c>
      <c r="D221" s="332" t="s">
        <v>2907</v>
      </c>
      <c r="E221" s="332">
        <v>200.0</v>
      </c>
      <c r="F221" s="338"/>
      <c r="G221" s="319"/>
      <c r="H221" s="338"/>
      <c r="I221" s="308"/>
      <c r="J221" s="308"/>
      <c r="K221" s="308"/>
      <c r="L221" s="308"/>
      <c r="M221" s="308"/>
      <c r="N221" s="332">
        <v>200.0</v>
      </c>
      <c r="O221" s="308"/>
      <c r="P221" s="308"/>
      <c r="Q221" s="308"/>
      <c r="R221" s="308"/>
      <c r="S221" s="308"/>
      <c r="T221" s="308"/>
      <c r="U221" s="308"/>
      <c r="V221" s="308"/>
      <c r="W221" s="308"/>
      <c r="X221" s="308"/>
      <c r="Y221" s="308"/>
      <c r="Z221" s="309"/>
      <c r="AA221" s="309"/>
      <c r="AB221" s="308"/>
      <c r="AC221" s="308"/>
    </row>
    <row r="222" hidden="1">
      <c r="A222" s="330">
        <v>45448.0</v>
      </c>
      <c r="B222" s="332" t="s">
        <v>541</v>
      </c>
      <c r="C222" s="332" t="s">
        <v>2904</v>
      </c>
      <c r="D222" s="332" t="s">
        <v>2907</v>
      </c>
      <c r="E222" s="332">
        <v>124.0</v>
      </c>
      <c r="F222" s="338"/>
      <c r="G222" s="319"/>
      <c r="H222" s="338"/>
      <c r="I222" s="308"/>
      <c r="J222" s="308"/>
      <c r="K222" s="308"/>
      <c r="L222" s="308"/>
      <c r="M222" s="308"/>
      <c r="N222" s="332">
        <v>124.0</v>
      </c>
      <c r="O222" s="308"/>
      <c r="P222" s="308"/>
      <c r="Q222" s="308"/>
      <c r="R222" s="308"/>
      <c r="S222" s="308"/>
      <c r="T222" s="308"/>
      <c r="U222" s="308"/>
      <c r="V222" s="308"/>
      <c r="W222" s="308"/>
      <c r="X222" s="308"/>
      <c r="Y222" s="308"/>
      <c r="Z222" s="309"/>
      <c r="AA222" s="309"/>
      <c r="AB222" s="308"/>
      <c r="AC222" s="308"/>
    </row>
    <row r="223" hidden="1">
      <c r="A223" s="330">
        <v>45448.0</v>
      </c>
      <c r="B223" s="332" t="s">
        <v>141</v>
      </c>
      <c r="C223" s="332" t="s">
        <v>2908</v>
      </c>
      <c r="D223" s="332" t="s">
        <v>2905</v>
      </c>
      <c r="E223" s="332">
        <v>4750.0</v>
      </c>
      <c r="F223" s="338"/>
      <c r="G223" s="319"/>
      <c r="H223" s="338"/>
      <c r="I223" s="308"/>
      <c r="J223" s="308"/>
      <c r="K223" s="308"/>
      <c r="L223" s="308"/>
      <c r="M223" s="308"/>
      <c r="N223" s="308"/>
      <c r="O223" s="332">
        <v>4750.0</v>
      </c>
      <c r="P223" s="308"/>
      <c r="Q223" s="308"/>
      <c r="R223" s="308"/>
      <c r="S223" s="308"/>
      <c r="T223" s="308"/>
      <c r="U223" s="308"/>
      <c r="V223" s="308"/>
      <c r="W223" s="308"/>
      <c r="X223" s="308"/>
      <c r="Y223" s="308"/>
      <c r="Z223" s="309"/>
      <c r="AA223" s="309"/>
      <c r="AB223" s="308"/>
      <c r="AC223" s="308"/>
    </row>
    <row r="224" hidden="1">
      <c r="A224" s="330">
        <v>45448.0</v>
      </c>
      <c r="B224" s="332" t="s">
        <v>247</v>
      </c>
      <c r="C224" s="332" t="s">
        <v>2908</v>
      </c>
      <c r="D224" s="332" t="s">
        <v>2907</v>
      </c>
      <c r="E224" s="332">
        <v>975.0</v>
      </c>
      <c r="F224" s="338"/>
      <c r="G224" s="319"/>
      <c r="H224" s="338"/>
      <c r="I224" s="308"/>
      <c r="J224" s="308"/>
      <c r="K224" s="308"/>
      <c r="L224" s="308"/>
      <c r="M224" s="308"/>
      <c r="N224" s="332">
        <v>975.0</v>
      </c>
      <c r="O224" s="308"/>
      <c r="P224" s="308"/>
      <c r="Q224" s="308"/>
      <c r="R224" s="308"/>
      <c r="S224" s="308"/>
      <c r="T224" s="308"/>
      <c r="U224" s="308"/>
      <c r="V224" s="308"/>
      <c r="W224" s="308"/>
      <c r="X224" s="308"/>
      <c r="Y224" s="308"/>
      <c r="Z224" s="309"/>
      <c r="AA224" s="309"/>
      <c r="AB224" s="308"/>
      <c r="AC224" s="308"/>
    </row>
    <row r="225" hidden="1">
      <c r="A225" s="330">
        <v>45448.0</v>
      </c>
      <c r="B225" s="332" t="s">
        <v>240</v>
      </c>
      <c r="C225" s="332" t="s">
        <v>2908</v>
      </c>
      <c r="D225" s="332" t="s">
        <v>2907</v>
      </c>
      <c r="E225" s="332">
        <v>764.31</v>
      </c>
      <c r="F225" s="338"/>
      <c r="G225" s="319"/>
      <c r="H225" s="338"/>
      <c r="I225" s="308"/>
      <c r="J225" s="308"/>
      <c r="K225" s="308"/>
      <c r="L225" s="308"/>
      <c r="M225" s="308"/>
      <c r="N225" s="332">
        <v>764.31</v>
      </c>
      <c r="O225" s="308"/>
      <c r="P225" s="308"/>
      <c r="Q225" s="308"/>
      <c r="R225" s="308"/>
      <c r="S225" s="308"/>
      <c r="T225" s="308"/>
      <c r="U225" s="308"/>
      <c r="V225" s="308"/>
      <c r="W225" s="308"/>
      <c r="X225" s="308"/>
      <c r="Y225" s="308"/>
      <c r="Z225" s="309"/>
      <c r="AA225" s="309"/>
      <c r="AB225" s="308"/>
      <c r="AC225" s="308"/>
    </row>
    <row r="226" hidden="1">
      <c r="A226" s="330">
        <v>45448.0</v>
      </c>
      <c r="B226" s="332" t="s">
        <v>586</v>
      </c>
      <c r="C226" s="332" t="s">
        <v>2908</v>
      </c>
      <c r="D226" s="332" t="s">
        <v>2907</v>
      </c>
      <c r="E226" s="332">
        <v>0.0</v>
      </c>
      <c r="F226" s="338"/>
      <c r="G226" s="319"/>
      <c r="H226" s="338"/>
      <c r="I226" s="308"/>
      <c r="J226" s="308"/>
      <c r="K226" s="308"/>
      <c r="L226" s="308"/>
      <c r="M226" s="308"/>
      <c r="N226" s="332">
        <v>0.0</v>
      </c>
      <c r="O226" s="308"/>
      <c r="P226" s="308"/>
      <c r="Q226" s="308"/>
      <c r="R226" s="308"/>
      <c r="S226" s="308"/>
      <c r="T226" s="308"/>
      <c r="U226" s="308"/>
      <c r="V226" s="308"/>
      <c r="W226" s="308"/>
      <c r="X226" s="308"/>
      <c r="Y226" s="308"/>
      <c r="Z226" s="309"/>
      <c r="AA226" s="309"/>
      <c r="AB226" s="308"/>
      <c r="AC226" s="308"/>
    </row>
    <row r="227" hidden="1">
      <c r="A227" s="330">
        <v>45455.0</v>
      </c>
      <c r="B227" s="332" t="s">
        <v>2942</v>
      </c>
      <c r="C227" s="332" t="s">
        <v>2908</v>
      </c>
      <c r="D227" s="332" t="s">
        <v>2907</v>
      </c>
      <c r="E227" s="332">
        <v>3680.0</v>
      </c>
      <c r="F227" s="338"/>
      <c r="G227" s="319"/>
      <c r="H227" s="338"/>
      <c r="I227" s="308"/>
      <c r="J227" s="308"/>
      <c r="K227" s="308"/>
      <c r="L227" s="308"/>
      <c r="M227" s="308"/>
      <c r="N227" s="332">
        <v>3680.0</v>
      </c>
      <c r="O227" s="308"/>
      <c r="P227" s="308"/>
      <c r="Q227" s="308"/>
      <c r="R227" s="308"/>
      <c r="S227" s="308"/>
      <c r="T227" s="308"/>
      <c r="U227" s="308"/>
      <c r="V227" s="308"/>
      <c r="W227" s="308"/>
      <c r="X227" s="308"/>
      <c r="Y227" s="308"/>
      <c r="Z227" s="309"/>
      <c r="AA227" s="309"/>
      <c r="AB227" s="308"/>
      <c r="AC227" s="308"/>
    </row>
    <row r="228" hidden="1">
      <c r="A228" s="330">
        <v>45455.0</v>
      </c>
      <c r="B228" s="332" t="s">
        <v>148</v>
      </c>
      <c r="C228" s="332" t="s">
        <v>2908</v>
      </c>
      <c r="D228" s="358" t="s">
        <v>2907</v>
      </c>
      <c r="E228" s="332">
        <v>190.0</v>
      </c>
      <c r="F228" s="359">
        <v>45475.0</v>
      </c>
      <c r="G228" s="360">
        <v>190.0</v>
      </c>
      <c r="H228" s="361" t="s">
        <v>2943</v>
      </c>
      <c r="I228" s="308"/>
      <c r="J228" s="308"/>
      <c r="K228" s="308"/>
      <c r="L228" s="308"/>
      <c r="M228" s="308"/>
      <c r="N228" s="332">
        <v>190.0</v>
      </c>
      <c r="O228" s="308"/>
      <c r="P228" s="308"/>
      <c r="Q228" s="308"/>
      <c r="R228" s="308"/>
      <c r="S228" s="308"/>
      <c r="T228" s="308"/>
      <c r="U228" s="308"/>
      <c r="V228" s="308"/>
      <c r="W228" s="308"/>
      <c r="X228" s="308"/>
      <c r="Y228" s="308"/>
      <c r="Z228" s="309"/>
      <c r="AA228" s="309"/>
      <c r="AB228" s="308"/>
      <c r="AC228" s="308"/>
    </row>
    <row r="229" hidden="1">
      <c r="A229" s="330">
        <v>45455.0</v>
      </c>
      <c r="B229" s="332" t="s">
        <v>666</v>
      </c>
      <c r="C229" s="332" t="s">
        <v>2908</v>
      </c>
      <c r="D229" s="332" t="s">
        <v>2907</v>
      </c>
      <c r="E229" s="332">
        <v>95.0</v>
      </c>
      <c r="F229" s="338"/>
      <c r="G229" s="319"/>
      <c r="H229" s="338"/>
      <c r="I229" s="308"/>
      <c r="J229" s="308"/>
      <c r="K229" s="308"/>
      <c r="L229" s="308"/>
      <c r="M229" s="308"/>
      <c r="N229" s="332">
        <v>95.0</v>
      </c>
      <c r="O229" s="308"/>
      <c r="P229" s="308"/>
      <c r="Q229" s="308"/>
      <c r="R229" s="308"/>
      <c r="S229" s="308"/>
      <c r="T229" s="308"/>
      <c r="U229" s="308"/>
      <c r="V229" s="308"/>
      <c r="W229" s="308"/>
      <c r="X229" s="308"/>
      <c r="Y229" s="308"/>
      <c r="Z229" s="309"/>
      <c r="AA229" s="309"/>
      <c r="AB229" s="308"/>
      <c r="AC229" s="308"/>
    </row>
    <row r="230" hidden="1">
      <c r="A230" s="330">
        <v>45455.0</v>
      </c>
      <c r="B230" s="332" t="s">
        <v>586</v>
      </c>
      <c r="C230" s="332" t="s">
        <v>2908</v>
      </c>
      <c r="D230" s="332" t="s">
        <v>2907</v>
      </c>
      <c r="E230" s="332">
        <v>600.0</v>
      </c>
      <c r="F230" s="338"/>
      <c r="G230" s="319"/>
      <c r="H230" s="338"/>
      <c r="I230" s="308"/>
      <c r="J230" s="308"/>
      <c r="K230" s="308"/>
      <c r="L230" s="308"/>
      <c r="M230" s="308"/>
      <c r="N230" s="332">
        <v>600.0</v>
      </c>
      <c r="O230" s="308"/>
      <c r="P230" s="308"/>
      <c r="Q230" s="308"/>
      <c r="R230" s="308"/>
      <c r="S230" s="308"/>
      <c r="T230" s="308"/>
      <c r="U230" s="308"/>
      <c r="V230" s="308"/>
      <c r="W230" s="308"/>
      <c r="X230" s="308"/>
      <c r="Y230" s="308"/>
      <c r="Z230" s="309"/>
      <c r="AA230" s="309"/>
      <c r="AB230" s="308"/>
      <c r="AC230" s="308"/>
    </row>
    <row r="231" hidden="1">
      <c r="A231" s="330">
        <v>45455.0</v>
      </c>
      <c r="B231" s="332" t="s">
        <v>183</v>
      </c>
      <c r="C231" s="332" t="s">
        <v>2908</v>
      </c>
      <c r="D231" s="332" t="s">
        <v>2907</v>
      </c>
      <c r="E231" s="332">
        <v>170.0</v>
      </c>
      <c r="F231" s="359">
        <v>45455.0</v>
      </c>
      <c r="G231" s="360">
        <v>170.0</v>
      </c>
      <c r="H231" s="361" t="s">
        <v>2944</v>
      </c>
      <c r="I231" s="308"/>
      <c r="J231" s="308"/>
      <c r="K231" s="308"/>
      <c r="L231" s="308"/>
      <c r="M231" s="308"/>
      <c r="N231" s="332">
        <v>170.0</v>
      </c>
      <c r="O231" s="308"/>
      <c r="P231" s="308"/>
      <c r="Q231" s="308"/>
      <c r="R231" s="308"/>
      <c r="S231" s="308"/>
      <c r="T231" s="308"/>
      <c r="U231" s="308"/>
      <c r="V231" s="308"/>
      <c r="W231" s="308"/>
      <c r="X231" s="308"/>
      <c r="Y231" s="308"/>
      <c r="Z231" s="309"/>
      <c r="AA231" s="309"/>
      <c r="AB231" s="308"/>
      <c r="AC231" s="308"/>
    </row>
    <row r="232" hidden="1">
      <c r="A232" s="330">
        <v>45455.0</v>
      </c>
      <c r="B232" s="332" t="s">
        <v>673</v>
      </c>
      <c r="C232" s="332" t="s">
        <v>2908</v>
      </c>
      <c r="D232" s="332" t="s">
        <v>2907</v>
      </c>
      <c r="E232" s="332">
        <v>1696.0</v>
      </c>
      <c r="F232" s="338"/>
      <c r="G232" s="319"/>
      <c r="H232" s="338"/>
      <c r="I232" s="308"/>
      <c r="J232" s="308"/>
      <c r="K232" s="308"/>
      <c r="L232" s="308"/>
      <c r="M232" s="308"/>
      <c r="N232" s="332">
        <v>1696.0</v>
      </c>
      <c r="O232" s="308"/>
      <c r="P232" s="308"/>
      <c r="Q232" s="308"/>
      <c r="R232" s="308"/>
      <c r="S232" s="308"/>
      <c r="T232" s="308"/>
      <c r="U232" s="308"/>
      <c r="V232" s="308"/>
      <c r="W232" s="308"/>
      <c r="X232" s="308"/>
      <c r="Y232" s="308"/>
      <c r="Z232" s="309"/>
      <c r="AA232" s="309"/>
      <c r="AB232" s="308"/>
      <c r="AC232" s="308"/>
    </row>
    <row r="233" hidden="1">
      <c r="A233" s="330">
        <v>45455.0</v>
      </c>
      <c r="B233" s="332" t="s">
        <v>675</v>
      </c>
      <c r="C233" s="332" t="s">
        <v>2908</v>
      </c>
      <c r="D233" s="332" t="s">
        <v>2907</v>
      </c>
      <c r="E233" s="332">
        <v>1696.0</v>
      </c>
      <c r="F233" s="338"/>
      <c r="G233" s="319"/>
      <c r="H233" s="338"/>
      <c r="I233" s="308"/>
      <c r="J233" s="308"/>
      <c r="K233" s="308"/>
      <c r="L233" s="308"/>
      <c r="M233" s="308"/>
      <c r="N233" s="332">
        <v>1696.0</v>
      </c>
      <c r="O233" s="308"/>
      <c r="P233" s="308"/>
      <c r="Q233" s="308"/>
      <c r="R233" s="308"/>
      <c r="S233" s="308"/>
      <c r="T233" s="308"/>
      <c r="U233" s="308"/>
      <c r="V233" s="308"/>
      <c r="W233" s="308"/>
      <c r="X233" s="308"/>
      <c r="Y233" s="308"/>
      <c r="Z233" s="309"/>
      <c r="AA233" s="309"/>
      <c r="AB233" s="308"/>
      <c r="AC233" s="308"/>
    </row>
    <row r="234" hidden="1">
      <c r="A234" s="330">
        <v>45455.0</v>
      </c>
      <c r="B234" s="332" t="s">
        <v>219</v>
      </c>
      <c r="C234" s="332" t="s">
        <v>2904</v>
      </c>
      <c r="D234" s="332" t="s">
        <v>2914</v>
      </c>
      <c r="E234" s="368">
        <v>0.0</v>
      </c>
      <c r="F234" s="338"/>
      <c r="G234" s="319"/>
      <c r="H234" s="338"/>
      <c r="I234" s="308"/>
      <c r="J234" s="308"/>
      <c r="K234" s="308"/>
      <c r="L234" s="308"/>
      <c r="M234" s="308"/>
      <c r="N234" s="377"/>
      <c r="O234" s="308"/>
      <c r="P234" s="308"/>
      <c r="Q234" s="308"/>
      <c r="R234" s="308"/>
      <c r="S234" s="308"/>
      <c r="T234" s="308"/>
      <c r="U234" s="308"/>
      <c r="V234" s="308"/>
      <c r="W234" s="308"/>
      <c r="X234" s="308"/>
      <c r="Y234" s="308"/>
      <c r="Z234" s="309"/>
      <c r="AA234" s="309"/>
      <c r="AB234" s="308"/>
      <c r="AC234" s="308"/>
    </row>
    <row r="235" hidden="1">
      <c r="A235" s="330">
        <v>45461.0</v>
      </c>
      <c r="B235" s="332" t="s">
        <v>685</v>
      </c>
      <c r="C235" s="332" t="s">
        <v>2908</v>
      </c>
      <c r="D235" s="332" t="s">
        <v>2907</v>
      </c>
      <c r="E235" s="332">
        <v>675.0</v>
      </c>
      <c r="F235" s="338"/>
      <c r="G235" s="319"/>
      <c r="H235" s="338"/>
      <c r="I235" s="308"/>
      <c r="J235" s="308"/>
      <c r="K235" s="308"/>
      <c r="L235" s="308"/>
      <c r="M235" s="332">
        <v>675.0</v>
      </c>
      <c r="N235" s="308"/>
      <c r="O235" s="308"/>
      <c r="P235" s="308"/>
      <c r="Q235" s="308"/>
      <c r="R235" s="308"/>
      <c r="S235" s="308"/>
      <c r="T235" s="308"/>
      <c r="U235" s="308"/>
      <c r="V235" s="308"/>
      <c r="W235" s="308"/>
      <c r="X235" s="308"/>
      <c r="Y235" s="308"/>
      <c r="Z235" s="309"/>
      <c r="AA235" s="309"/>
      <c r="AB235" s="308"/>
      <c r="AC235" s="308"/>
    </row>
    <row r="236" hidden="1">
      <c r="A236" s="330">
        <v>45461.0</v>
      </c>
      <c r="B236" s="332" t="s">
        <v>685</v>
      </c>
      <c r="C236" s="332" t="s">
        <v>2908</v>
      </c>
      <c r="D236" s="332" t="s">
        <v>2914</v>
      </c>
      <c r="E236" s="378"/>
      <c r="F236" s="338"/>
      <c r="G236" s="319"/>
      <c r="H236" s="338"/>
      <c r="I236" s="308"/>
      <c r="J236" s="308"/>
      <c r="K236" s="308"/>
      <c r="L236" s="308"/>
      <c r="M236" s="308"/>
      <c r="N236" s="332"/>
      <c r="O236" s="308"/>
      <c r="P236" s="308"/>
      <c r="Q236" s="308"/>
      <c r="R236" s="308"/>
      <c r="S236" s="308"/>
      <c r="T236" s="308"/>
      <c r="U236" s="308"/>
      <c r="V236" s="308"/>
      <c r="W236" s="308"/>
      <c r="X236" s="308"/>
      <c r="Y236" s="308"/>
      <c r="Z236" s="309"/>
      <c r="AA236" s="309"/>
      <c r="AB236" s="308"/>
      <c r="AC236" s="308"/>
    </row>
    <row r="237" hidden="1">
      <c r="A237" s="330">
        <v>45461.0</v>
      </c>
      <c r="B237" s="332" t="s">
        <v>624</v>
      </c>
      <c r="C237" s="332" t="s">
        <v>2904</v>
      </c>
      <c r="D237" s="332" t="s">
        <v>2907</v>
      </c>
      <c r="E237" s="332">
        <v>295.0</v>
      </c>
      <c r="F237" s="359">
        <v>45470.0</v>
      </c>
      <c r="G237" s="360">
        <v>295.0</v>
      </c>
      <c r="H237" s="361" t="s">
        <v>2945</v>
      </c>
      <c r="I237" s="308"/>
      <c r="J237" s="308"/>
      <c r="K237" s="308"/>
      <c r="L237" s="308"/>
      <c r="M237" s="308"/>
      <c r="N237" s="332">
        <v>295.0</v>
      </c>
      <c r="O237" s="308"/>
      <c r="P237" s="308"/>
      <c r="Q237" s="308"/>
      <c r="R237" s="308"/>
      <c r="S237" s="308"/>
      <c r="T237" s="308"/>
      <c r="U237" s="308"/>
      <c r="V237" s="308"/>
      <c r="W237" s="308"/>
      <c r="X237" s="308"/>
      <c r="Y237" s="308"/>
      <c r="Z237" s="309"/>
      <c r="AA237" s="309"/>
      <c r="AB237" s="308"/>
      <c r="AC237" s="308"/>
    </row>
    <row r="238" hidden="1">
      <c r="A238" s="330">
        <v>45461.0</v>
      </c>
      <c r="B238" s="332" t="s">
        <v>123</v>
      </c>
      <c r="C238" s="332" t="s">
        <v>2908</v>
      </c>
      <c r="D238" s="332" t="s">
        <v>2907</v>
      </c>
      <c r="E238" s="332">
        <v>2970.0</v>
      </c>
      <c r="F238" s="338"/>
      <c r="G238" s="319"/>
      <c r="H238" s="338"/>
      <c r="I238" s="308"/>
      <c r="J238" s="308"/>
      <c r="K238" s="308"/>
      <c r="L238" s="308"/>
      <c r="M238" s="308"/>
      <c r="N238" s="332">
        <v>2970.0</v>
      </c>
      <c r="O238" s="308"/>
      <c r="P238" s="308"/>
      <c r="Q238" s="308"/>
      <c r="R238" s="308"/>
      <c r="S238" s="308"/>
      <c r="T238" s="308"/>
      <c r="U238" s="308"/>
      <c r="V238" s="308"/>
      <c r="W238" s="308"/>
      <c r="X238" s="308"/>
      <c r="Y238" s="308"/>
      <c r="Z238" s="309"/>
      <c r="AA238" s="309"/>
      <c r="AB238" s="308"/>
      <c r="AC238" s="308"/>
    </row>
    <row r="239" hidden="1">
      <c r="A239" s="330">
        <v>45461.0</v>
      </c>
      <c r="B239" s="332" t="s">
        <v>694</v>
      </c>
      <c r="C239" s="332" t="s">
        <v>2908</v>
      </c>
      <c r="D239" s="332" t="s">
        <v>2907</v>
      </c>
      <c r="E239" s="344" t="s">
        <v>2932</v>
      </c>
      <c r="F239" s="338"/>
      <c r="G239" s="319"/>
      <c r="H239" s="338"/>
      <c r="I239" s="308"/>
      <c r="J239" s="308"/>
      <c r="K239" s="308"/>
      <c r="L239" s="308"/>
      <c r="M239" s="308"/>
      <c r="N239" s="374"/>
      <c r="O239" s="308"/>
      <c r="P239" s="308"/>
      <c r="Q239" s="308"/>
      <c r="R239" s="308"/>
      <c r="S239" s="308"/>
      <c r="T239" s="308"/>
      <c r="U239" s="308"/>
      <c r="V239" s="308"/>
      <c r="W239" s="308"/>
      <c r="X239" s="308"/>
      <c r="Y239" s="308"/>
      <c r="Z239" s="309"/>
      <c r="AA239" s="309"/>
      <c r="AB239" s="308"/>
      <c r="AC239" s="308"/>
    </row>
    <row r="240" hidden="1">
      <c r="A240" s="331" t="s">
        <v>2946</v>
      </c>
      <c r="B240" s="332" t="s">
        <v>706</v>
      </c>
      <c r="C240" s="332" t="s">
        <v>2908</v>
      </c>
      <c r="D240" s="332" t="s">
        <v>2907</v>
      </c>
      <c r="E240" s="332">
        <v>174.0</v>
      </c>
      <c r="F240" s="359">
        <v>45449.0</v>
      </c>
      <c r="G240" s="360">
        <v>174.0</v>
      </c>
      <c r="H240" s="361" t="s">
        <v>2947</v>
      </c>
      <c r="I240" s="308"/>
      <c r="J240" s="308"/>
      <c r="K240" s="308"/>
      <c r="L240" s="308"/>
      <c r="M240" s="308"/>
      <c r="N240" s="308"/>
      <c r="O240" s="308"/>
      <c r="P240" s="308"/>
      <c r="Q240" s="308"/>
      <c r="R240" s="308"/>
      <c r="S240" s="308"/>
      <c r="T240" s="308"/>
      <c r="U240" s="308"/>
      <c r="V240" s="308"/>
      <c r="W240" s="308"/>
      <c r="X240" s="308"/>
      <c r="Y240" s="308"/>
      <c r="Z240" s="309"/>
      <c r="AA240" s="309"/>
      <c r="AB240" s="308"/>
      <c r="AC240" s="308"/>
    </row>
    <row r="241" hidden="1">
      <c r="A241" s="331" t="s">
        <v>2946</v>
      </c>
      <c r="B241" s="332" t="s">
        <v>1303</v>
      </c>
      <c r="C241" s="332" t="s">
        <v>2908</v>
      </c>
      <c r="D241" s="332" t="s">
        <v>2907</v>
      </c>
      <c r="E241" s="332">
        <v>170.0</v>
      </c>
      <c r="F241" s="359">
        <v>45461.0</v>
      </c>
      <c r="G241" s="360">
        <v>170.0</v>
      </c>
      <c r="H241" s="361" t="s">
        <v>2948</v>
      </c>
      <c r="I241" s="308"/>
      <c r="J241" s="308"/>
      <c r="K241" s="308"/>
      <c r="L241" s="308"/>
      <c r="M241" s="308"/>
      <c r="N241" s="308"/>
      <c r="O241" s="308"/>
      <c r="P241" s="308"/>
      <c r="Q241" s="308"/>
      <c r="R241" s="308"/>
      <c r="S241" s="308"/>
      <c r="T241" s="308"/>
      <c r="U241" s="308"/>
      <c r="V241" s="308"/>
      <c r="W241" s="308"/>
      <c r="X241" s="308"/>
      <c r="Y241" s="308"/>
      <c r="Z241" s="309"/>
      <c r="AA241" s="309"/>
      <c r="AB241" s="308"/>
      <c r="AC241" s="308"/>
    </row>
    <row r="242" hidden="1">
      <c r="A242" s="330">
        <v>45468.0</v>
      </c>
      <c r="B242" s="332" t="s">
        <v>697</v>
      </c>
      <c r="C242" s="332" t="s">
        <v>2908</v>
      </c>
      <c r="D242" s="332" t="s">
        <v>2907</v>
      </c>
      <c r="E242" s="332">
        <v>779.0</v>
      </c>
      <c r="F242" s="338"/>
      <c r="G242" s="319"/>
      <c r="H242" s="338"/>
      <c r="I242" s="308"/>
      <c r="J242" s="308"/>
      <c r="K242" s="308"/>
      <c r="L242" s="308"/>
      <c r="M242" s="308"/>
      <c r="N242" s="332">
        <v>779.0</v>
      </c>
      <c r="O242" s="308"/>
      <c r="P242" s="308"/>
      <c r="Q242" s="308"/>
      <c r="R242" s="308"/>
      <c r="S242" s="308"/>
      <c r="T242" s="308"/>
      <c r="U242" s="308"/>
      <c r="V242" s="308"/>
      <c r="W242" s="308"/>
      <c r="X242" s="308"/>
      <c r="Y242" s="308"/>
      <c r="Z242" s="309"/>
      <c r="AA242" s="309"/>
      <c r="AB242" s="308"/>
      <c r="AC242" s="308"/>
    </row>
    <row r="243" hidden="1">
      <c r="A243" s="330">
        <v>45468.0</v>
      </c>
      <c r="B243" s="332" t="s">
        <v>699</v>
      </c>
      <c r="C243" s="332" t="s">
        <v>2908</v>
      </c>
      <c r="D243" s="332" t="s">
        <v>2907</v>
      </c>
      <c r="E243" s="332">
        <v>779.0</v>
      </c>
      <c r="F243" s="338"/>
      <c r="G243" s="319"/>
      <c r="H243" s="338"/>
      <c r="I243" s="308"/>
      <c r="J243" s="308"/>
      <c r="K243" s="308"/>
      <c r="L243" s="308"/>
      <c r="M243" s="308"/>
      <c r="N243" s="332">
        <v>779.0</v>
      </c>
      <c r="O243" s="308"/>
      <c r="P243" s="308"/>
      <c r="Q243" s="308"/>
      <c r="R243" s="308"/>
      <c r="S243" s="308"/>
      <c r="T243" s="308"/>
      <c r="U243" s="308"/>
      <c r="V243" s="308"/>
      <c r="W243" s="308"/>
      <c r="X243" s="308"/>
      <c r="Y243" s="308"/>
      <c r="Z243" s="309"/>
      <c r="AA243" s="309"/>
      <c r="AB243" s="308"/>
      <c r="AC243" s="308"/>
    </row>
    <row r="244" hidden="1">
      <c r="A244" s="330">
        <v>45469.0</v>
      </c>
      <c r="B244" s="332" t="s">
        <v>703</v>
      </c>
      <c r="C244" s="332" t="s">
        <v>2908</v>
      </c>
      <c r="D244" s="332" t="s">
        <v>2907</v>
      </c>
      <c r="E244" s="332">
        <v>779.0</v>
      </c>
      <c r="F244" s="338"/>
      <c r="G244" s="319"/>
      <c r="H244" s="338"/>
      <c r="I244" s="308"/>
      <c r="J244" s="308"/>
      <c r="K244" s="308"/>
      <c r="L244" s="308"/>
      <c r="M244" s="308"/>
      <c r="N244" s="332">
        <v>779.0</v>
      </c>
      <c r="O244" s="308"/>
      <c r="P244" s="308"/>
      <c r="Q244" s="308"/>
      <c r="R244" s="308"/>
      <c r="S244" s="308"/>
      <c r="T244" s="308"/>
      <c r="U244" s="308"/>
      <c r="V244" s="308"/>
      <c r="W244" s="308"/>
      <c r="X244" s="308"/>
      <c r="Y244" s="308"/>
      <c r="Z244" s="309"/>
      <c r="AA244" s="309"/>
      <c r="AB244" s="308"/>
      <c r="AC244" s="308"/>
    </row>
    <row r="245" hidden="1">
      <c r="A245" s="330">
        <v>45469.0</v>
      </c>
      <c r="B245" s="332" t="s">
        <v>706</v>
      </c>
      <c r="C245" s="332" t="s">
        <v>2908</v>
      </c>
      <c r="D245" s="332" t="s">
        <v>2907</v>
      </c>
      <c r="E245" s="332">
        <v>779.0</v>
      </c>
      <c r="F245" s="338"/>
      <c r="G245" s="319"/>
      <c r="H245" s="338"/>
      <c r="I245" s="308"/>
      <c r="J245" s="308"/>
      <c r="K245" s="308"/>
      <c r="L245" s="308"/>
      <c r="M245" s="308"/>
      <c r="N245" s="332">
        <v>779.0</v>
      </c>
      <c r="O245" s="308"/>
      <c r="P245" s="308"/>
      <c r="Q245" s="308"/>
      <c r="R245" s="308"/>
      <c r="S245" s="308"/>
      <c r="T245" s="308"/>
      <c r="U245" s="308"/>
      <c r="V245" s="308"/>
      <c r="W245" s="308"/>
      <c r="X245" s="308"/>
      <c r="Y245" s="308"/>
      <c r="Z245" s="309"/>
      <c r="AA245" s="309"/>
      <c r="AB245" s="308"/>
      <c r="AC245" s="308"/>
    </row>
    <row r="246" hidden="1">
      <c r="A246" s="330">
        <v>45469.0</v>
      </c>
      <c r="B246" s="332" t="s">
        <v>707</v>
      </c>
      <c r="C246" s="332" t="s">
        <v>2908</v>
      </c>
      <c r="D246" s="332" t="s">
        <v>2907</v>
      </c>
      <c r="E246" s="332">
        <v>820.0</v>
      </c>
      <c r="F246" s="338"/>
      <c r="G246" s="319"/>
      <c r="H246" s="338"/>
      <c r="I246" s="308"/>
      <c r="J246" s="308"/>
      <c r="K246" s="308"/>
      <c r="L246" s="308"/>
      <c r="M246" s="308"/>
      <c r="N246" s="332">
        <v>820.0</v>
      </c>
      <c r="O246" s="308"/>
      <c r="P246" s="332">
        <v>820.0</v>
      </c>
      <c r="Q246" s="308"/>
      <c r="R246" s="308"/>
      <c r="S246" s="308"/>
      <c r="T246" s="308"/>
      <c r="U246" s="308"/>
      <c r="V246" s="308"/>
      <c r="W246" s="308"/>
      <c r="X246" s="308"/>
      <c r="Y246" s="308"/>
      <c r="Z246" s="309"/>
      <c r="AA246" s="309"/>
      <c r="AB246" s="308"/>
      <c r="AC246" s="308"/>
    </row>
    <row r="247" hidden="1">
      <c r="A247" s="330">
        <v>45470.0</v>
      </c>
      <c r="B247" s="332" t="s">
        <v>710</v>
      </c>
      <c r="C247" s="332" t="s">
        <v>2908</v>
      </c>
      <c r="D247" s="332" t="s">
        <v>2907</v>
      </c>
      <c r="E247" s="332">
        <v>779.0</v>
      </c>
      <c r="F247" s="338"/>
      <c r="G247" s="319"/>
      <c r="H247" s="338"/>
      <c r="I247" s="308"/>
      <c r="J247" s="308"/>
      <c r="K247" s="308"/>
      <c r="L247" s="308"/>
      <c r="M247" s="308"/>
      <c r="N247" s="308"/>
      <c r="O247" s="308"/>
      <c r="P247" s="332">
        <v>779.0</v>
      </c>
      <c r="Q247" s="308"/>
      <c r="R247" s="308"/>
      <c r="S247" s="308"/>
      <c r="T247" s="308"/>
      <c r="U247" s="308"/>
      <c r="V247" s="308"/>
      <c r="W247" s="308"/>
      <c r="X247" s="308"/>
      <c r="Y247" s="308"/>
      <c r="Z247" s="309"/>
      <c r="AA247" s="309"/>
      <c r="AB247" s="308"/>
      <c r="AC247" s="308"/>
    </row>
    <row r="248" hidden="1">
      <c r="A248" s="330">
        <v>45470.0</v>
      </c>
      <c r="B248" s="332" t="s">
        <v>272</v>
      </c>
      <c r="C248" s="332"/>
      <c r="D248" s="332" t="s">
        <v>2911</v>
      </c>
      <c r="E248" s="332">
        <v>135.0</v>
      </c>
      <c r="F248" s="338"/>
      <c r="G248" s="319"/>
      <c r="H248" s="338"/>
      <c r="I248" s="308"/>
      <c r="J248" s="308"/>
      <c r="K248" s="308"/>
      <c r="L248" s="308"/>
      <c r="M248" s="308"/>
      <c r="N248" s="308"/>
      <c r="O248" s="308"/>
      <c r="P248" s="308"/>
      <c r="Q248" s="332">
        <v>135.0</v>
      </c>
      <c r="R248" s="308"/>
      <c r="S248" s="308"/>
      <c r="T248" s="308"/>
      <c r="U248" s="308"/>
      <c r="V248" s="308"/>
      <c r="W248" s="308"/>
      <c r="X248" s="308"/>
      <c r="Y248" s="308"/>
      <c r="Z248" s="309"/>
      <c r="AA248" s="309"/>
      <c r="AB248" s="308"/>
      <c r="AC248" s="308"/>
    </row>
    <row r="249" hidden="1">
      <c r="A249" s="330">
        <v>45470.0</v>
      </c>
      <c r="B249" s="332" t="s">
        <v>715</v>
      </c>
      <c r="C249" s="332" t="s">
        <v>2908</v>
      </c>
      <c r="D249" s="332" t="s">
        <v>2911</v>
      </c>
      <c r="E249" s="332">
        <v>221.25</v>
      </c>
      <c r="F249" s="338"/>
      <c r="G249" s="319"/>
      <c r="H249" s="338"/>
      <c r="I249" s="308"/>
      <c r="J249" s="308"/>
      <c r="K249" s="308"/>
      <c r="L249" s="308"/>
      <c r="M249" s="308"/>
      <c r="N249" s="308"/>
      <c r="O249" s="308"/>
      <c r="P249" s="308"/>
      <c r="Q249" s="332">
        <v>221.25</v>
      </c>
      <c r="R249" s="308"/>
      <c r="S249" s="308"/>
      <c r="T249" s="308"/>
      <c r="U249" s="308"/>
      <c r="V249" s="308"/>
      <c r="W249" s="308"/>
      <c r="X249" s="308"/>
      <c r="Y249" s="308"/>
      <c r="Z249" s="309"/>
      <c r="AA249" s="309"/>
      <c r="AB249" s="308"/>
      <c r="AC249" s="308"/>
    </row>
    <row r="250" hidden="1">
      <c r="A250" s="330">
        <v>45470.0</v>
      </c>
      <c r="B250" s="332" t="s">
        <v>183</v>
      </c>
      <c r="C250" s="332" t="s">
        <v>2908</v>
      </c>
      <c r="D250" s="332" t="s">
        <v>2907</v>
      </c>
      <c r="E250" s="332">
        <v>300.0</v>
      </c>
      <c r="F250" s="359">
        <v>45475.0</v>
      </c>
      <c r="G250" s="360">
        <v>300.0</v>
      </c>
      <c r="H250" s="361" t="s">
        <v>2949</v>
      </c>
      <c r="I250" s="308"/>
      <c r="J250" s="308"/>
      <c r="K250" s="308"/>
      <c r="L250" s="308"/>
      <c r="M250" s="308"/>
      <c r="N250" s="308"/>
      <c r="O250" s="308"/>
      <c r="P250" s="332">
        <v>300.0</v>
      </c>
      <c r="Q250" s="308"/>
      <c r="R250" s="308"/>
      <c r="S250" s="308"/>
      <c r="T250" s="308"/>
      <c r="U250" s="308"/>
      <c r="V250" s="308"/>
      <c r="W250" s="308"/>
      <c r="X250" s="308"/>
      <c r="Y250" s="308"/>
      <c r="Z250" s="309"/>
      <c r="AA250" s="309"/>
      <c r="AB250" s="308"/>
      <c r="AC250" s="308"/>
    </row>
    <row r="251" hidden="1">
      <c r="A251" s="330">
        <v>45470.0</v>
      </c>
      <c r="B251" s="332" t="s">
        <v>720</v>
      </c>
      <c r="C251" s="332" t="s">
        <v>2908</v>
      </c>
      <c r="D251" s="332" t="s">
        <v>2911</v>
      </c>
      <c r="E251" s="332">
        <v>155.0</v>
      </c>
      <c r="F251" s="338"/>
      <c r="G251" s="319"/>
      <c r="H251" s="338"/>
      <c r="I251" s="308"/>
      <c r="J251" s="308"/>
      <c r="K251" s="308"/>
      <c r="L251" s="308"/>
      <c r="M251" s="308"/>
      <c r="N251" s="308"/>
      <c r="O251" s="308"/>
      <c r="P251" s="308"/>
      <c r="Q251" s="332">
        <v>155.0</v>
      </c>
      <c r="R251" s="308"/>
      <c r="S251" s="308"/>
      <c r="T251" s="308"/>
      <c r="U251" s="308"/>
      <c r="V251" s="308"/>
      <c r="W251" s="308"/>
      <c r="X251" s="308"/>
      <c r="Y251" s="308"/>
      <c r="Z251" s="309"/>
      <c r="AA251" s="309"/>
      <c r="AB251" s="308"/>
      <c r="AC251" s="308"/>
    </row>
    <row r="252" hidden="1">
      <c r="A252" s="330">
        <v>45475.0</v>
      </c>
      <c r="B252" s="379" t="s">
        <v>2950</v>
      </c>
      <c r="C252" s="332" t="s">
        <v>2908</v>
      </c>
      <c r="D252" s="332" t="s">
        <v>2907</v>
      </c>
      <c r="E252" s="332">
        <v>74.81</v>
      </c>
      <c r="F252" s="359">
        <v>45475.0</v>
      </c>
      <c r="G252" s="360">
        <v>74.81</v>
      </c>
      <c r="H252" s="361" t="s">
        <v>2951</v>
      </c>
      <c r="I252" s="308"/>
      <c r="J252" s="308"/>
      <c r="K252" s="308"/>
      <c r="L252" s="308"/>
      <c r="M252" s="308"/>
      <c r="N252" s="308"/>
      <c r="O252" s="308"/>
      <c r="P252" s="308"/>
      <c r="Q252" s="308"/>
      <c r="R252" s="308"/>
      <c r="S252" s="308"/>
      <c r="T252" s="308"/>
      <c r="U252" s="308"/>
      <c r="V252" s="308"/>
      <c r="W252" s="308"/>
      <c r="X252" s="308"/>
      <c r="Y252" s="308"/>
      <c r="Z252" s="309"/>
      <c r="AA252" s="309"/>
      <c r="AB252" s="308"/>
      <c r="AC252" s="308"/>
    </row>
    <row r="253" hidden="1">
      <c r="A253" s="330">
        <v>45474.0</v>
      </c>
      <c r="B253" s="332" t="s">
        <v>427</v>
      </c>
      <c r="C253" s="332"/>
      <c r="D253" s="332" t="s">
        <v>2907</v>
      </c>
      <c r="E253" s="332">
        <v>240.0</v>
      </c>
      <c r="F253" s="338"/>
      <c r="G253" s="319"/>
      <c r="H253" s="338"/>
      <c r="I253" s="308"/>
      <c r="J253" s="308"/>
      <c r="K253" s="308"/>
      <c r="L253" s="308"/>
      <c r="M253" s="308"/>
      <c r="N253" s="332">
        <v>240.0</v>
      </c>
      <c r="O253" s="308"/>
      <c r="P253" s="308"/>
      <c r="Q253" s="308"/>
      <c r="R253" s="308"/>
      <c r="S253" s="308"/>
      <c r="T253" s="308"/>
      <c r="U253" s="308"/>
      <c r="V253" s="308"/>
      <c r="W253" s="308"/>
      <c r="X253" s="308"/>
      <c r="Y253" s="308"/>
      <c r="Z253" s="309"/>
      <c r="AA253" s="309"/>
      <c r="AB253" s="308"/>
      <c r="AC253" s="308"/>
    </row>
    <row r="254" hidden="1">
      <c r="A254" s="330">
        <v>45474.0</v>
      </c>
      <c r="B254" s="332" t="s">
        <v>725</v>
      </c>
      <c r="C254" s="332" t="s">
        <v>2908</v>
      </c>
      <c r="D254" s="332" t="s">
        <v>2907</v>
      </c>
      <c r="E254" s="332">
        <v>5000.0</v>
      </c>
      <c r="F254" s="338"/>
      <c r="G254" s="319"/>
      <c r="H254" s="338"/>
      <c r="I254" s="308"/>
      <c r="J254" s="308"/>
      <c r="K254" s="308"/>
      <c r="L254" s="308"/>
      <c r="M254" s="308"/>
      <c r="N254" s="332">
        <v>5000.0</v>
      </c>
      <c r="O254" s="308"/>
      <c r="P254" s="308"/>
      <c r="Q254" s="308"/>
      <c r="R254" s="308"/>
      <c r="S254" s="308"/>
      <c r="T254" s="308"/>
      <c r="U254" s="308"/>
      <c r="V254" s="308"/>
      <c r="W254" s="308"/>
      <c r="X254" s="308"/>
      <c r="Y254" s="308"/>
      <c r="Z254" s="309"/>
      <c r="AA254" s="309"/>
      <c r="AB254" s="308"/>
      <c r="AC254" s="308"/>
    </row>
    <row r="255" hidden="1">
      <c r="A255" s="330">
        <v>45474.0</v>
      </c>
      <c r="B255" s="332" t="s">
        <v>728</v>
      </c>
      <c r="C255" s="332"/>
      <c r="D255" s="332"/>
      <c r="E255" s="332">
        <v>1500.0</v>
      </c>
      <c r="F255" s="338"/>
      <c r="G255" s="319"/>
      <c r="H255" s="338"/>
      <c r="I255" s="308"/>
      <c r="J255" s="308"/>
      <c r="K255" s="308"/>
      <c r="L255" s="308"/>
      <c r="M255" s="308"/>
      <c r="N255" s="332">
        <v>1500.0</v>
      </c>
      <c r="O255" s="308"/>
      <c r="P255" s="308"/>
      <c r="Q255" s="308"/>
      <c r="R255" s="308"/>
      <c r="S255" s="308"/>
      <c r="T255" s="308"/>
      <c r="U255" s="308"/>
      <c r="V255" s="308"/>
      <c r="W255" s="308"/>
      <c r="X255" s="308"/>
      <c r="Y255" s="308"/>
      <c r="Z255" s="309"/>
      <c r="AA255" s="309"/>
      <c r="AB255" s="308"/>
      <c r="AC255" s="308"/>
    </row>
    <row r="256" hidden="1">
      <c r="A256" s="330">
        <v>45474.0</v>
      </c>
      <c r="B256" s="332" t="s">
        <v>183</v>
      </c>
      <c r="C256" s="332"/>
      <c r="D256" s="332" t="s">
        <v>2952</v>
      </c>
      <c r="E256" s="332">
        <v>5000.0</v>
      </c>
      <c r="F256" s="338"/>
      <c r="G256" s="319"/>
      <c r="H256" s="338"/>
      <c r="I256" s="308"/>
      <c r="J256" s="308"/>
      <c r="K256" s="308"/>
      <c r="L256" s="308"/>
      <c r="M256" s="308"/>
      <c r="N256" s="332">
        <v>5000.0</v>
      </c>
      <c r="O256" s="308"/>
      <c r="P256" s="308"/>
      <c r="Q256" s="308"/>
      <c r="R256" s="308"/>
      <c r="S256" s="308"/>
      <c r="T256" s="308"/>
      <c r="U256" s="308"/>
      <c r="V256" s="308"/>
      <c r="W256" s="308"/>
      <c r="X256" s="308"/>
      <c r="Y256" s="308"/>
      <c r="Z256" s="309"/>
      <c r="AA256" s="309"/>
      <c r="AB256" s="308"/>
      <c r="AC256" s="308"/>
    </row>
    <row r="257" hidden="1">
      <c r="A257" s="330">
        <v>45488.0</v>
      </c>
      <c r="B257" s="332" t="s">
        <v>733</v>
      </c>
      <c r="C257" s="332"/>
      <c r="D257" s="332" t="s">
        <v>2907</v>
      </c>
      <c r="E257" s="332">
        <v>74.84</v>
      </c>
      <c r="F257" s="338"/>
      <c r="G257" s="319"/>
      <c r="H257" s="338"/>
      <c r="I257" s="308"/>
      <c r="J257" s="308"/>
      <c r="K257" s="308"/>
      <c r="L257" s="308"/>
      <c r="M257" s="308"/>
      <c r="N257" s="332">
        <v>74.84</v>
      </c>
      <c r="O257" s="308"/>
      <c r="P257" s="308"/>
      <c r="Q257" s="308"/>
      <c r="R257" s="308"/>
      <c r="S257" s="308"/>
      <c r="T257" s="308"/>
      <c r="U257" s="308"/>
      <c r="V257" s="308"/>
      <c r="W257" s="308"/>
      <c r="X257" s="308"/>
      <c r="Y257" s="308"/>
      <c r="Z257" s="309"/>
      <c r="AA257" s="309"/>
      <c r="AB257" s="308"/>
      <c r="AC257" s="308"/>
    </row>
    <row r="258" hidden="1">
      <c r="A258" s="330">
        <v>45488.0</v>
      </c>
      <c r="B258" s="332" t="s">
        <v>737</v>
      </c>
      <c r="C258" s="332"/>
      <c r="D258" s="332" t="s">
        <v>2925</v>
      </c>
      <c r="E258" s="332">
        <v>2586.0</v>
      </c>
      <c r="F258" s="338"/>
      <c r="G258" s="319"/>
      <c r="H258" s="338"/>
      <c r="I258" s="308"/>
      <c r="J258" s="308"/>
      <c r="K258" s="308"/>
      <c r="L258" s="308"/>
      <c r="M258" s="308"/>
      <c r="N258" s="332">
        <v>2586.0</v>
      </c>
      <c r="O258" s="308"/>
      <c r="P258" s="308"/>
      <c r="Q258" s="308"/>
      <c r="R258" s="308"/>
      <c r="S258" s="308"/>
      <c r="T258" s="308"/>
      <c r="U258" s="308"/>
      <c r="V258" s="308"/>
      <c r="W258" s="308"/>
      <c r="X258" s="308"/>
      <c r="Y258" s="308"/>
      <c r="Z258" s="309"/>
      <c r="AA258" s="309"/>
      <c r="AB258" s="308"/>
      <c r="AC258" s="308"/>
    </row>
    <row r="259" hidden="1">
      <c r="A259" s="330">
        <v>45491.0</v>
      </c>
      <c r="B259" s="332" t="s">
        <v>741</v>
      </c>
      <c r="C259" s="332"/>
      <c r="D259" s="332" t="s">
        <v>2907</v>
      </c>
      <c r="E259" s="332">
        <v>286.0</v>
      </c>
      <c r="F259" s="338"/>
      <c r="G259" s="319"/>
      <c r="H259" s="338"/>
      <c r="I259" s="308"/>
      <c r="J259" s="308"/>
      <c r="K259" s="308"/>
      <c r="L259" s="308"/>
      <c r="M259" s="308"/>
      <c r="N259" s="332">
        <v>286.0</v>
      </c>
      <c r="O259" s="308"/>
      <c r="P259" s="308"/>
      <c r="Q259" s="308"/>
      <c r="R259" s="308"/>
      <c r="S259" s="308"/>
      <c r="T259" s="308"/>
      <c r="U259" s="308"/>
      <c r="V259" s="308"/>
      <c r="W259" s="308"/>
      <c r="X259" s="308"/>
      <c r="Y259" s="308"/>
      <c r="Z259" s="309"/>
      <c r="AA259" s="309"/>
      <c r="AB259" s="308"/>
      <c r="AC259" s="308"/>
    </row>
    <row r="260" hidden="1">
      <c r="A260" s="330">
        <v>45491.0</v>
      </c>
      <c r="B260" s="332" t="s">
        <v>123</v>
      </c>
      <c r="C260" s="332"/>
      <c r="D260" s="332" t="s">
        <v>2907</v>
      </c>
      <c r="E260" s="332">
        <v>174.93</v>
      </c>
      <c r="F260" s="338"/>
      <c r="G260" s="319"/>
      <c r="H260" s="338"/>
      <c r="I260" s="308"/>
      <c r="J260" s="308"/>
      <c r="K260" s="308"/>
      <c r="L260" s="308"/>
      <c r="M260" s="308"/>
      <c r="N260" s="332">
        <v>174.93</v>
      </c>
      <c r="O260" s="308"/>
      <c r="P260" s="308"/>
      <c r="Q260" s="308"/>
      <c r="R260" s="308"/>
      <c r="S260" s="308"/>
      <c r="T260" s="308"/>
      <c r="U260" s="308"/>
      <c r="V260" s="308"/>
      <c r="W260" s="308"/>
      <c r="X260" s="308"/>
      <c r="Y260" s="308"/>
      <c r="Z260" s="309"/>
      <c r="AA260" s="309"/>
      <c r="AB260" s="308"/>
      <c r="AC260" s="308"/>
    </row>
    <row r="261" hidden="1">
      <c r="A261" s="330">
        <v>45491.0</v>
      </c>
      <c r="B261" s="332" t="s">
        <v>747</v>
      </c>
      <c r="C261" s="332" t="s">
        <v>2908</v>
      </c>
      <c r="D261" s="332" t="s">
        <v>2907</v>
      </c>
      <c r="E261" s="332">
        <v>99.95</v>
      </c>
      <c r="F261" s="338"/>
      <c r="G261" s="319"/>
      <c r="H261" s="338"/>
      <c r="I261" s="308"/>
      <c r="J261" s="308"/>
      <c r="K261" s="308"/>
      <c r="L261" s="308"/>
      <c r="M261" s="308"/>
      <c r="N261" s="332">
        <v>99.95</v>
      </c>
      <c r="O261" s="308"/>
      <c r="P261" s="308"/>
      <c r="Q261" s="308"/>
      <c r="R261" s="308"/>
      <c r="S261" s="308"/>
      <c r="T261" s="308"/>
      <c r="U261" s="308"/>
      <c r="V261" s="308"/>
      <c r="W261" s="308"/>
      <c r="X261" s="308"/>
      <c r="Y261" s="308"/>
      <c r="Z261" s="309"/>
      <c r="AA261" s="309"/>
      <c r="AB261" s="308"/>
      <c r="AC261" s="308"/>
    </row>
    <row r="262" hidden="1">
      <c r="A262" s="330">
        <v>45491.0</v>
      </c>
      <c r="B262" s="332" t="s">
        <v>747</v>
      </c>
      <c r="C262" s="332" t="s">
        <v>2908</v>
      </c>
      <c r="D262" s="332" t="s">
        <v>2907</v>
      </c>
      <c r="E262" s="332">
        <v>89.95</v>
      </c>
      <c r="F262" s="338"/>
      <c r="G262" s="319"/>
      <c r="H262" s="338"/>
      <c r="I262" s="308"/>
      <c r="J262" s="308"/>
      <c r="K262" s="308"/>
      <c r="L262" s="308"/>
      <c r="M262" s="308"/>
      <c r="N262" s="332">
        <v>89.95</v>
      </c>
      <c r="O262" s="308"/>
      <c r="P262" s="308"/>
      <c r="Q262" s="308"/>
      <c r="R262" s="308"/>
      <c r="S262" s="308"/>
      <c r="T262" s="308"/>
      <c r="U262" s="308"/>
      <c r="V262" s="308"/>
      <c r="W262" s="308"/>
      <c r="X262" s="308"/>
      <c r="Y262" s="308"/>
      <c r="Z262" s="309"/>
      <c r="AA262" s="309"/>
      <c r="AB262" s="308"/>
      <c r="AC262" s="308"/>
    </row>
    <row r="263" hidden="1">
      <c r="A263" s="330">
        <v>45491.0</v>
      </c>
      <c r="B263" s="332" t="s">
        <v>747</v>
      </c>
      <c r="C263" s="332" t="s">
        <v>2908</v>
      </c>
      <c r="D263" s="332" t="s">
        <v>2907</v>
      </c>
      <c r="E263" s="332">
        <v>74.95</v>
      </c>
      <c r="F263" s="338"/>
      <c r="G263" s="319"/>
      <c r="H263" s="338"/>
      <c r="I263" s="308"/>
      <c r="J263" s="308"/>
      <c r="K263" s="308"/>
      <c r="L263" s="308"/>
      <c r="M263" s="308"/>
      <c r="N263" s="332">
        <v>74.95</v>
      </c>
      <c r="O263" s="308"/>
      <c r="P263" s="308"/>
      <c r="Q263" s="308"/>
      <c r="R263" s="308"/>
      <c r="S263" s="308"/>
      <c r="T263" s="308"/>
      <c r="U263" s="308"/>
      <c r="V263" s="308"/>
      <c r="W263" s="308"/>
      <c r="X263" s="308"/>
      <c r="Y263" s="308"/>
      <c r="Z263" s="309"/>
      <c r="AA263" s="309"/>
      <c r="AB263" s="308"/>
      <c r="AC263" s="308"/>
    </row>
    <row r="264" hidden="1">
      <c r="A264" s="330">
        <v>45491.0</v>
      </c>
      <c r="B264" s="332" t="s">
        <v>752</v>
      </c>
      <c r="C264" s="332" t="s">
        <v>2904</v>
      </c>
      <c r="D264" s="332" t="s">
        <v>2907</v>
      </c>
      <c r="E264" s="332">
        <v>1796.0</v>
      </c>
      <c r="F264" s="338"/>
      <c r="G264" s="319"/>
      <c r="H264" s="338"/>
      <c r="I264" s="308"/>
      <c r="J264" s="308"/>
      <c r="K264" s="308"/>
      <c r="L264" s="308"/>
      <c r="M264" s="308"/>
      <c r="N264" s="332">
        <v>1796.0</v>
      </c>
      <c r="O264" s="308"/>
      <c r="P264" s="308"/>
      <c r="Q264" s="308"/>
      <c r="R264" s="308"/>
      <c r="S264" s="308"/>
      <c r="T264" s="308"/>
      <c r="U264" s="308"/>
      <c r="V264" s="308"/>
      <c r="W264" s="308"/>
      <c r="X264" s="308"/>
      <c r="Y264" s="308"/>
      <c r="Z264" s="309"/>
      <c r="AA264" s="309"/>
      <c r="AB264" s="308"/>
      <c r="AC264" s="308"/>
    </row>
    <row r="265" hidden="1">
      <c r="A265" s="330">
        <v>45492.0</v>
      </c>
      <c r="B265" s="332" t="s">
        <v>757</v>
      </c>
      <c r="C265" s="332" t="s">
        <v>2908</v>
      </c>
      <c r="D265" s="332" t="s">
        <v>2907</v>
      </c>
      <c r="E265" s="332">
        <v>2500.0</v>
      </c>
      <c r="F265" s="338"/>
      <c r="G265" s="319"/>
      <c r="H265" s="338"/>
      <c r="I265" s="308"/>
      <c r="J265" s="308"/>
      <c r="K265" s="308"/>
      <c r="L265" s="308"/>
      <c r="M265" s="308"/>
      <c r="N265" s="332">
        <v>2500.0</v>
      </c>
      <c r="O265" s="308"/>
      <c r="P265" s="308"/>
      <c r="Q265" s="308"/>
      <c r="R265" s="308"/>
      <c r="S265" s="308"/>
      <c r="T265" s="308"/>
      <c r="U265" s="308"/>
      <c r="V265" s="308"/>
      <c r="W265" s="308"/>
      <c r="X265" s="308"/>
      <c r="Y265" s="308"/>
      <c r="Z265" s="309"/>
      <c r="AA265" s="309"/>
      <c r="AB265" s="308"/>
      <c r="AC265" s="308"/>
    </row>
    <row r="266" hidden="1">
      <c r="A266" s="330">
        <v>45492.0</v>
      </c>
      <c r="B266" s="332" t="s">
        <v>760</v>
      </c>
      <c r="C266" s="332" t="s">
        <v>2908</v>
      </c>
      <c r="D266" s="332" t="s">
        <v>2952</v>
      </c>
      <c r="E266" s="332">
        <v>2116.0</v>
      </c>
      <c r="F266" s="338"/>
      <c r="G266" s="319"/>
      <c r="H266" s="338"/>
      <c r="I266" s="308"/>
      <c r="J266" s="308"/>
      <c r="K266" s="308"/>
      <c r="L266" s="308"/>
      <c r="M266" s="308"/>
      <c r="N266" s="332">
        <v>2116.0</v>
      </c>
      <c r="O266" s="308"/>
      <c r="P266" s="308"/>
      <c r="Q266" s="308"/>
      <c r="R266" s="308"/>
      <c r="S266" s="308"/>
      <c r="T266" s="308"/>
      <c r="U266" s="308"/>
      <c r="V266" s="308"/>
      <c r="W266" s="308"/>
      <c r="X266" s="308"/>
      <c r="Y266" s="308"/>
      <c r="Z266" s="309"/>
      <c r="AA266" s="309"/>
      <c r="AB266" s="308"/>
      <c r="AC266" s="308"/>
    </row>
    <row r="267" hidden="1">
      <c r="A267" s="330">
        <v>45496.0</v>
      </c>
      <c r="B267" s="332" t="s">
        <v>765</v>
      </c>
      <c r="C267" s="332" t="s">
        <v>2904</v>
      </c>
      <c r="D267" s="332" t="s">
        <v>2914</v>
      </c>
      <c r="E267" s="377"/>
      <c r="F267" s="338"/>
      <c r="G267" s="319"/>
      <c r="H267" s="338"/>
      <c r="I267" s="308"/>
      <c r="J267" s="308"/>
      <c r="K267" s="308"/>
      <c r="L267" s="308"/>
      <c r="M267" s="308"/>
      <c r="N267" s="377"/>
      <c r="O267" s="308"/>
      <c r="P267" s="308"/>
      <c r="Q267" s="308"/>
      <c r="R267" s="308"/>
      <c r="S267" s="308"/>
      <c r="T267" s="308"/>
      <c r="U267" s="308"/>
      <c r="V267" s="308"/>
      <c r="W267" s="308"/>
      <c r="X267" s="308"/>
      <c r="Y267" s="308"/>
      <c r="Z267" s="309"/>
      <c r="AA267" s="309"/>
      <c r="AB267" s="308"/>
      <c r="AC267" s="308"/>
    </row>
    <row r="268" hidden="1">
      <c r="A268" s="330">
        <v>45496.0</v>
      </c>
      <c r="B268" s="332" t="s">
        <v>771</v>
      </c>
      <c r="C268" s="332"/>
      <c r="D268" s="332" t="s">
        <v>2907</v>
      </c>
      <c r="E268" s="332">
        <v>275.0</v>
      </c>
      <c r="F268" s="338"/>
      <c r="G268" s="319"/>
      <c r="H268" s="338"/>
      <c r="I268" s="308"/>
      <c r="J268" s="308"/>
      <c r="K268" s="308"/>
      <c r="L268" s="308"/>
      <c r="M268" s="308"/>
      <c r="N268" s="332">
        <v>275.0</v>
      </c>
      <c r="O268" s="308"/>
      <c r="P268" s="308"/>
      <c r="Q268" s="308"/>
      <c r="R268" s="308"/>
      <c r="S268" s="308"/>
      <c r="T268" s="308"/>
      <c r="U268" s="308"/>
      <c r="V268" s="308"/>
      <c r="W268" s="308"/>
      <c r="X268" s="308"/>
      <c r="Y268" s="308"/>
      <c r="Z268" s="309"/>
      <c r="AA268" s="309"/>
      <c r="AB268" s="308"/>
      <c r="AC268" s="308"/>
    </row>
    <row r="269" hidden="1">
      <c r="A269" s="330">
        <v>45496.0</v>
      </c>
      <c r="B269" s="332" t="s">
        <v>775</v>
      </c>
      <c r="C269" s="332"/>
      <c r="D269" s="332" t="s">
        <v>2907</v>
      </c>
      <c r="E269" s="374"/>
      <c r="F269" s="338"/>
      <c r="G269" s="319"/>
      <c r="H269" s="338"/>
      <c r="I269" s="308"/>
      <c r="J269" s="308"/>
      <c r="K269" s="308"/>
      <c r="L269" s="308"/>
      <c r="M269" s="308"/>
      <c r="N269" s="374"/>
      <c r="O269" s="308"/>
      <c r="P269" s="308"/>
      <c r="Q269" s="308"/>
      <c r="R269" s="308"/>
      <c r="S269" s="308"/>
      <c r="T269" s="308"/>
      <c r="U269" s="308"/>
      <c r="V269" s="308"/>
      <c r="W269" s="308"/>
      <c r="X269" s="308"/>
      <c r="Y269" s="308"/>
      <c r="Z269" s="309"/>
      <c r="AA269" s="309"/>
      <c r="AB269" s="308"/>
      <c r="AC269" s="308"/>
    </row>
    <row r="270" hidden="1">
      <c r="A270" s="330">
        <v>45496.0</v>
      </c>
      <c r="B270" s="332" t="s">
        <v>785</v>
      </c>
      <c r="C270" s="332"/>
      <c r="D270" s="332" t="s">
        <v>2907</v>
      </c>
      <c r="E270" s="332">
        <v>49.0</v>
      </c>
      <c r="F270" s="338"/>
      <c r="G270" s="319"/>
      <c r="H270" s="338"/>
      <c r="I270" s="308"/>
      <c r="J270" s="308"/>
      <c r="K270" s="308"/>
      <c r="L270" s="308"/>
      <c r="M270" s="308"/>
      <c r="N270" s="332">
        <v>49.0</v>
      </c>
      <c r="O270" s="308"/>
      <c r="P270" s="308"/>
      <c r="Q270" s="308"/>
      <c r="R270" s="308"/>
      <c r="S270" s="308"/>
      <c r="T270" s="308"/>
      <c r="U270" s="308"/>
      <c r="V270" s="308"/>
      <c r="W270" s="308"/>
      <c r="X270" s="308"/>
      <c r="Y270" s="308"/>
      <c r="Z270" s="309"/>
      <c r="AA270" s="309"/>
      <c r="AB270" s="308"/>
      <c r="AC270" s="308"/>
    </row>
    <row r="271" hidden="1">
      <c r="A271" s="330">
        <v>45498.0</v>
      </c>
      <c r="B271" s="332" t="s">
        <v>789</v>
      </c>
      <c r="C271" s="332" t="s">
        <v>2904</v>
      </c>
      <c r="D271" s="332" t="s">
        <v>2907</v>
      </c>
      <c r="E271" s="332">
        <v>75.0</v>
      </c>
      <c r="F271" s="338"/>
      <c r="G271" s="319"/>
      <c r="H271" s="338"/>
      <c r="I271" s="308"/>
      <c r="J271" s="308"/>
      <c r="K271" s="308"/>
      <c r="L271" s="308"/>
      <c r="M271" s="308"/>
      <c r="N271" s="332">
        <v>75.0</v>
      </c>
      <c r="O271" s="308"/>
      <c r="P271" s="308"/>
      <c r="Q271" s="308"/>
      <c r="R271" s="308"/>
      <c r="S271" s="308"/>
      <c r="T271" s="308"/>
      <c r="U271" s="308"/>
      <c r="V271" s="308"/>
      <c r="W271" s="308"/>
      <c r="X271" s="308"/>
      <c r="Y271" s="308"/>
      <c r="Z271" s="309"/>
      <c r="AA271" s="309"/>
      <c r="AB271" s="308"/>
      <c r="AC271" s="308"/>
    </row>
    <row r="272" hidden="1">
      <c r="A272" s="330">
        <v>45498.0</v>
      </c>
      <c r="B272" s="332" t="s">
        <v>794</v>
      </c>
      <c r="C272" s="332"/>
      <c r="D272" s="380" t="s">
        <v>2907</v>
      </c>
      <c r="E272" s="332">
        <v>93.0</v>
      </c>
      <c r="F272" s="338"/>
      <c r="G272" s="319"/>
      <c r="H272" s="338"/>
      <c r="I272" s="308"/>
      <c r="J272" s="308"/>
      <c r="K272" s="308"/>
      <c r="L272" s="308"/>
      <c r="M272" s="308"/>
      <c r="N272" s="332">
        <v>93.0</v>
      </c>
      <c r="O272" s="308"/>
      <c r="P272" s="308"/>
      <c r="Q272" s="308"/>
      <c r="R272" s="308"/>
      <c r="S272" s="308"/>
      <c r="T272" s="308"/>
      <c r="U272" s="308"/>
      <c r="V272" s="308"/>
      <c r="W272" s="308"/>
      <c r="X272" s="308"/>
      <c r="Y272" s="308"/>
      <c r="Z272" s="309"/>
      <c r="AA272" s="309"/>
      <c r="AB272" s="308"/>
      <c r="AC272" s="308"/>
    </row>
    <row r="273" hidden="1">
      <c r="A273" s="330">
        <v>45498.0</v>
      </c>
      <c r="B273" s="332" t="s">
        <v>760</v>
      </c>
      <c r="C273" s="332" t="s">
        <v>2908</v>
      </c>
      <c r="D273" s="380" t="s">
        <v>2907</v>
      </c>
      <c r="E273" s="332">
        <v>21625.0</v>
      </c>
      <c r="F273" s="338"/>
      <c r="G273" s="319"/>
      <c r="H273" s="338"/>
      <c r="I273" s="308"/>
      <c r="J273" s="308"/>
      <c r="K273" s="308"/>
      <c r="L273" s="308"/>
      <c r="M273" s="308"/>
      <c r="N273" s="332">
        <v>21625.0</v>
      </c>
      <c r="O273" s="308"/>
      <c r="P273" s="308"/>
      <c r="Q273" s="308"/>
      <c r="R273" s="308"/>
      <c r="S273" s="308"/>
      <c r="T273" s="308"/>
      <c r="U273" s="308"/>
      <c r="V273" s="308"/>
      <c r="W273" s="308"/>
      <c r="X273" s="308"/>
      <c r="Y273" s="308"/>
      <c r="Z273" s="309"/>
      <c r="AA273" s="309"/>
      <c r="AB273" s="308"/>
      <c r="AC273" s="308"/>
    </row>
    <row r="274" hidden="1">
      <c r="A274" s="330">
        <v>45498.0</v>
      </c>
      <c r="B274" s="332" t="s">
        <v>123</v>
      </c>
      <c r="C274" s="332" t="s">
        <v>2904</v>
      </c>
      <c r="D274" s="380" t="s">
        <v>2907</v>
      </c>
      <c r="E274" s="332">
        <v>24.99</v>
      </c>
      <c r="F274" s="338"/>
      <c r="G274" s="319"/>
      <c r="H274" s="338"/>
      <c r="I274" s="308"/>
      <c r="J274" s="308"/>
      <c r="K274" s="308"/>
      <c r="L274" s="308"/>
      <c r="M274" s="308"/>
      <c r="N274" s="332">
        <v>24.99</v>
      </c>
      <c r="O274" s="308"/>
      <c r="P274" s="308"/>
      <c r="Q274" s="308"/>
      <c r="R274" s="308"/>
      <c r="S274" s="308"/>
      <c r="T274" s="308"/>
      <c r="U274" s="308"/>
      <c r="V274" s="308"/>
      <c r="W274" s="308"/>
      <c r="X274" s="308"/>
      <c r="Y274" s="308"/>
      <c r="Z274" s="309"/>
      <c r="AA274" s="309"/>
      <c r="AB274" s="308"/>
      <c r="AC274" s="308"/>
    </row>
    <row r="275" hidden="1">
      <c r="A275" s="330">
        <v>45498.0</v>
      </c>
      <c r="B275" s="332" t="s">
        <v>636</v>
      </c>
      <c r="C275" s="332"/>
      <c r="D275" s="380" t="s">
        <v>2907</v>
      </c>
      <c r="E275" s="332">
        <v>600.0</v>
      </c>
      <c r="F275" s="338"/>
      <c r="G275" s="319"/>
      <c r="H275" s="338"/>
      <c r="I275" s="308"/>
      <c r="J275" s="308"/>
      <c r="K275" s="308"/>
      <c r="L275" s="308"/>
      <c r="M275" s="308"/>
      <c r="N275" s="332">
        <v>600.0</v>
      </c>
      <c r="O275" s="308"/>
      <c r="P275" s="308"/>
      <c r="Q275" s="308"/>
      <c r="R275" s="308"/>
      <c r="S275" s="308"/>
      <c r="T275" s="308"/>
      <c r="U275" s="308"/>
      <c r="V275" s="308"/>
      <c r="W275" s="308"/>
      <c r="X275" s="308"/>
      <c r="Y275" s="308"/>
      <c r="Z275" s="309"/>
      <c r="AA275" s="309"/>
      <c r="AB275" s="308"/>
      <c r="AC275" s="308"/>
    </row>
    <row r="276" hidden="1">
      <c r="A276" s="330">
        <v>45498.0</v>
      </c>
      <c r="B276" s="332" t="s">
        <v>193</v>
      </c>
      <c r="C276" s="332" t="s">
        <v>2908</v>
      </c>
      <c r="D276" s="380" t="s">
        <v>2907</v>
      </c>
      <c r="E276" s="332">
        <v>2500.0</v>
      </c>
      <c r="F276" s="338"/>
      <c r="G276" s="319"/>
      <c r="H276" s="338"/>
      <c r="I276" s="308"/>
      <c r="J276" s="308"/>
      <c r="K276" s="308"/>
      <c r="L276" s="308"/>
      <c r="M276" s="308"/>
      <c r="N276" s="332">
        <v>2500.0</v>
      </c>
      <c r="O276" s="308"/>
      <c r="P276" s="308"/>
      <c r="Q276" s="308"/>
      <c r="R276" s="308"/>
      <c r="S276" s="308"/>
      <c r="T276" s="308"/>
      <c r="U276" s="308"/>
      <c r="V276" s="308"/>
      <c r="W276" s="308"/>
      <c r="X276" s="308"/>
      <c r="Y276" s="308"/>
      <c r="Z276" s="309"/>
      <c r="AA276" s="309"/>
      <c r="AB276" s="308"/>
      <c r="AC276" s="308"/>
    </row>
    <row r="277" hidden="1">
      <c r="A277" s="330">
        <v>45499.0</v>
      </c>
      <c r="B277" s="332" t="s">
        <v>794</v>
      </c>
      <c r="C277" s="332"/>
      <c r="D277" s="332" t="s">
        <v>2907</v>
      </c>
      <c r="E277" s="332">
        <v>299.0</v>
      </c>
      <c r="F277" s="338"/>
      <c r="G277" s="319"/>
      <c r="H277" s="338"/>
      <c r="I277" s="308"/>
      <c r="J277" s="308"/>
      <c r="K277" s="308"/>
      <c r="L277" s="308"/>
      <c r="M277" s="308"/>
      <c r="N277" s="332">
        <v>299.0</v>
      </c>
      <c r="O277" s="308"/>
      <c r="P277" s="308"/>
      <c r="Q277" s="308"/>
      <c r="R277" s="308"/>
      <c r="S277" s="308"/>
      <c r="T277" s="308"/>
      <c r="U277" s="308"/>
      <c r="V277" s="308"/>
      <c r="W277" s="308"/>
      <c r="X277" s="308"/>
      <c r="Y277" s="308"/>
      <c r="Z277" s="309"/>
      <c r="AA277" s="309"/>
      <c r="AB277" s="308"/>
      <c r="AC277" s="308"/>
    </row>
    <row r="278" hidden="1">
      <c r="A278" s="330">
        <v>45499.0</v>
      </c>
      <c r="B278" s="332" t="s">
        <v>305</v>
      </c>
      <c r="C278" s="332" t="s">
        <v>2908</v>
      </c>
      <c r="D278" s="332" t="s">
        <v>2907</v>
      </c>
      <c r="E278" s="332">
        <v>1295.0</v>
      </c>
      <c r="F278" s="338"/>
      <c r="G278" s="319"/>
      <c r="H278" s="338"/>
      <c r="I278" s="308"/>
      <c r="J278" s="308"/>
      <c r="K278" s="308"/>
      <c r="L278" s="308"/>
      <c r="M278" s="308"/>
      <c r="N278" s="332">
        <v>1295.0</v>
      </c>
      <c r="O278" s="308"/>
      <c r="P278" s="308"/>
      <c r="Q278" s="308"/>
      <c r="R278" s="308"/>
      <c r="S278" s="308"/>
      <c r="T278" s="308"/>
      <c r="U278" s="308"/>
      <c r="V278" s="308"/>
      <c r="W278" s="308"/>
      <c r="X278" s="308"/>
      <c r="Y278" s="308"/>
      <c r="Z278" s="309"/>
      <c r="AA278" s="309"/>
      <c r="AB278" s="308"/>
      <c r="AC278" s="308"/>
    </row>
    <row r="279" hidden="1">
      <c r="A279" s="330">
        <v>45499.0</v>
      </c>
      <c r="B279" s="332" t="s">
        <v>94</v>
      </c>
      <c r="C279" s="332" t="s">
        <v>2908</v>
      </c>
      <c r="D279" s="332" t="s">
        <v>2907</v>
      </c>
      <c r="E279" s="332">
        <v>274.0</v>
      </c>
      <c r="F279" s="338"/>
      <c r="G279" s="319"/>
      <c r="H279" s="338"/>
      <c r="I279" s="308"/>
      <c r="J279" s="308"/>
      <c r="K279" s="308"/>
      <c r="L279" s="308"/>
      <c r="M279" s="308"/>
      <c r="N279" s="332">
        <v>274.0</v>
      </c>
      <c r="O279" s="308"/>
      <c r="P279" s="308"/>
      <c r="Q279" s="308"/>
      <c r="R279" s="308"/>
      <c r="S279" s="308"/>
      <c r="T279" s="308"/>
      <c r="U279" s="308"/>
      <c r="V279" s="308"/>
      <c r="W279" s="308"/>
      <c r="X279" s="308"/>
      <c r="Y279" s="308"/>
      <c r="Z279" s="309"/>
      <c r="AA279" s="309"/>
      <c r="AB279" s="308"/>
      <c r="AC279" s="308"/>
    </row>
    <row r="280" hidden="1">
      <c r="A280" s="330">
        <v>45499.0</v>
      </c>
      <c r="B280" s="332" t="s">
        <v>675</v>
      </c>
      <c r="C280" s="332"/>
      <c r="D280" s="332" t="s">
        <v>2907</v>
      </c>
      <c r="E280" s="332">
        <v>820.0</v>
      </c>
      <c r="F280" s="338"/>
      <c r="G280" s="319"/>
      <c r="H280" s="338"/>
      <c r="I280" s="308"/>
      <c r="J280" s="308"/>
      <c r="K280" s="308"/>
      <c r="L280" s="308"/>
      <c r="M280" s="308"/>
      <c r="N280" s="332">
        <v>820.0</v>
      </c>
      <c r="O280" s="308"/>
      <c r="P280" s="308"/>
      <c r="Q280" s="308"/>
      <c r="R280" s="308"/>
      <c r="S280" s="308"/>
      <c r="T280" s="308"/>
      <c r="U280" s="308"/>
      <c r="V280" s="308"/>
      <c r="W280" s="308"/>
      <c r="X280" s="308"/>
      <c r="Y280" s="308"/>
      <c r="Z280" s="309"/>
      <c r="AA280" s="309"/>
      <c r="AB280" s="308"/>
      <c r="AC280" s="308"/>
    </row>
    <row r="281" hidden="1">
      <c r="A281" s="330">
        <v>45504.0</v>
      </c>
      <c r="B281" s="332" t="s">
        <v>826</v>
      </c>
      <c r="C281" s="332"/>
      <c r="D281" s="332" t="s">
        <v>2907</v>
      </c>
      <c r="E281" s="332">
        <v>61.86</v>
      </c>
      <c r="F281" s="338"/>
      <c r="G281" s="319"/>
      <c r="H281" s="338"/>
      <c r="I281" s="308"/>
      <c r="J281" s="308"/>
      <c r="K281" s="308"/>
      <c r="L281" s="308"/>
      <c r="M281" s="308"/>
      <c r="N281" s="332">
        <v>61.86</v>
      </c>
      <c r="O281" s="308"/>
      <c r="P281" s="308"/>
      <c r="Q281" s="308"/>
      <c r="R281" s="308"/>
      <c r="S281" s="308"/>
      <c r="T281" s="308"/>
      <c r="U281" s="308"/>
      <c r="V281" s="308"/>
      <c r="W281" s="308"/>
      <c r="X281" s="308"/>
      <c r="Y281" s="308"/>
      <c r="Z281" s="309"/>
      <c r="AA281" s="309"/>
      <c r="AB281" s="308"/>
      <c r="AC281" s="308"/>
    </row>
    <row r="282" hidden="1">
      <c r="A282" s="330">
        <v>45504.0</v>
      </c>
      <c r="B282" s="332" t="s">
        <v>697</v>
      </c>
      <c r="C282" s="332"/>
      <c r="D282" s="332" t="s">
        <v>2907</v>
      </c>
      <c r="E282" s="332">
        <v>1350.0</v>
      </c>
      <c r="F282" s="338"/>
      <c r="G282" s="319"/>
      <c r="H282" s="338"/>
      <c r="I282" s="308"/>
      <c r="J282" s="308"/>
      <c r="K282" s="308"/>
      <c r="L282" s="308"/>
      <c r="M282" s="308"/>
      <c r="N282" s="332">
        <v>1350.0</v>
      </c>
      <c r="O282" s="308"/>
      <c r="P282" s="308"/>
      <c r="Q282" s="308"/>
      <c r="R282" s="308"/>
      <c r="S282" s="308"/>
      <c r="T282" s="308"/>
      <c r="U282" s="308"/>
      <c r="V282" s="308"/>
      <c r="W282" s="308"/>
      <c r="X282" s="308"/>
      <c r="Y282" s="308"/>
      <c r="Z282" s="309"/>
      <c r="AA282" s="309"/>
      <c r="AB282" s="308"/>
      <c r="AC282" s="308"/>
    </row>
    <row r="283" hidden="1">
      <c r="A283" s="330">
        <v>45504.0</v>
      </c>
      <c r="B283" s="332" t="s">
        <v>836</v>
      </c>
      <c r="C283" s="332" t="s">
        <v>2904</v>
      </c>
      <c r="D283" s="332" t="s">
        <v>2907</v>
      </c>
      <c r="E283" s="332">
        <v>65.0</v>
      </c>
      <c r="F283" s="338"/>
      <c r="G283" s="319"/>
      <c r="H283" s="338"/>
      <c r="I283" s="308"/>
      <c r="J283" s="308"/>
      <c r="K283" s="308"/>
      <c r="L283" s="308"/>
      <c r="M283" s="308"/>
      <c r="N283" s="332">
        <v>65.0</v>
      </c>
      <c r="O283" s="308"/>
      <c r="P283" s="308"/>
      <c r="Q283" s="308"/>
      <c r="R283" s="308"/>
      <c r="S283" s="308"/>
      <c r="T283" s="308"/>
      <c r="U283" s="308"/>
      <c r="V283" s="308"/>
      <c r="W283" s="308"/>
      <c r="X283" s="308"/>
      <c r="Y283" s="308"/>
      <c r="Z283" s="309"/>
      <c r="AA283" s="309"/>
      <c r="AB283" s="308"/>
      <c r="AC283" s="308"/>
    </row>
    <row r="284" hidden="1">
      <c r="A284" s="330">
        <v>45504.0</v>
      </c>
      <c r="B284" s="332" t="s">
        <v>150</v>
      </c>
      <c r="C284" s="332"/>
      <c r="D284" s="332" t="s">
        <v>2907</v>
      </c>
      <c r="E284" s="332">
        <v>65.0</v>
      </c>
      <c r="F284" s="338"/>
      <c r="G284" s="319"/>
      <c r="H284" s="338"/>
      <c r="I284" s="308"/>
      <c r="J284" s="308"/>
      <c r="K284" s="308"/>
      <c r="L284" s="308"/>
      <c r="M284" s="308"/>
      <c r="N284" s="332">
        <v>65.0</v>
      </c>
      <c r="O284" s="308"/>
      <c r="P284" s="308"/>
      <c r="Q284" s="308"/>
      <c r="R284" s="308"/>
      <c r="S284" s="308"/>
      <c r="T284" s="308"/>
      <c r="U284" s="308"/>
      <c r="V284" s="308"/>
      <c r="W284" s="308"/>
      <c r="X284" s="308"/>
      <c r="Y284" s="308"/>
      <c r="Z284" s="309"/>
      <c r="AA284" s="309"/>
      <c r="AB284" s="308"/>
      <c r="AC284" s="308"/>
    </row>
    <row r="285" hidden="1">
      <c r="A285" s="330">
        <v>45504.0</v>
      </c>
      <c r="B285" s="332" t="s">
        <v>284</v>
      </c>
      <c r="C285" s="332" t="s">
        <v>2904</v>
      </c>
      <c r="D285" s="332" t="s">
        <v>2907</v>
      </c>
      <c r="E285" s="332">
        <v>4000.0</v>
      </c>
      <c r="F285" s="338"/>
      <c r="G285" s="319"/>
      <c r="H285" s="338"/>
      <c r="I285" s="308"/>
      <c r="J285" s="308"/>
      <c r="K285" s="308"/>
      <c r="L285" s="308"/>
      <c r="M285" s="308"/>
      <c r="N285" s="332">
        <v>4000.0</v>
      </c>
      <c r="O285" s="308"/>
      <c r="P285" s="308"/>
      <c r="Q285" s="308"/>
      <c r="R285" s="308"/>
      <c r="S285" s="308"/>
      <c r="T285" s="308"/>
      <c r="U285" s="308"/>
      <c r="V285" s="308"/>
      <c r="W285" s="308"/>
      <c r="X285" s="308"/>
      <c r="Y285" s="308"/>
      <c r="Z285" s="309"/>
      <c r="AA285" s="309"/>
      <c r="AB285" s="308"/>
      <c r="AC285" s="308"/>
    </row>
    <row r="286" hidden="1">
      <c r="A286" s="330">
        <v>45509.0</v>
      </c>
      <c r="B286" s="332" t="s">
        <v>780</v>
      </c>
      <c r="C286" s="332"/>
      <c r="D286" s="332" t="s">
        <v>2907</v>
      </c>
      <c r="E286" s="332">
        <v>65.0</v>
      </c>
      <c r="F286" s="338"/>
      <c r="G286" s="319"/>
      <c r="H286" s="338"/>
      <c r="I286" s="308"/>
      <c r="J286" s="308"/>
      <c r="K286" s="308"/>
      <c r="L286" s="308"/>
      <c r="M286" s="308"/>
      <c r="N286" s="332">
        <v>65.0</v>
      </c>
      <c r="O286" s="308"/>
      <c r="P286" s="308"/>
      <c r="Q286" s="308"/>
      <c r="R286" s="308"/>
      <c r="S286" s="308"/>
      <c r="T286" s="308"/>
      <c r="U286" s="308"/>
      <c r="V286" s="308"/>
      <c r="W286" s="308"/>
      <c r="X286" s="308"/>
      <c r="Y286" s="308"/>
      <c r="Z286" s="309"/>
      <c r="AA286" s="309"/>
      <c r="AB286" s="308"/>
      <c r="AC286" s="308"/>
    </row>
    <row r="287" hidden="1">
      <c r="A287" s="330">
        <v>45509.0</v>
      </c>
      <c r="B287" s="332" t="s">
        <v>624</v>
      </c>
      <c r="C287" s="332" t="s">
        <v>2904</v>
      </c>
      <c r="D287" s="332" t="s">
        <v>2907</v>
      </c>
      <c r="E287" s="332">
        <v>300.0</v>
      </c>
      <c r="F287" s="338"/>
      <c r="G287" s="319"/>
      <c r="H287" s="338"/>
      <c r="I287" s="308"/>
      <c r="J287" s="308"/>
      <c r="K287" s="308"/>
      <c r="L287" s="308"/>
      <c r="M287" s="308"/>
      <c r="N287" s="332">
        <v>300.0</v>
      </c>
      <c r="O287" s="308"/>
      <c r="P287" s="308"/>
      <c r="Q287" s="308"/>
      <c r="R287" s="308"/>
      <c r="S287" s="308"/>
      <c r="T287" s="308"/>
      <c r="U287" s="308"/>
      <c r="V287" s="308"/>
      <c r="W287" s="308"/>
      <c r="X287" s="308"/>
      <c r="Y287" s="308"/>
      <c r="Z287" s="309"/>
      <c r="AA287" s="309"/>
      <c r="AB287" s="308"/>
      <c r="AC287" s="308"/>
    </row>
    <row r="288" hidden="1">
      <c r="A288" s="330">
        <v>45509.0</v>
      </c>
      <c r="B288" s="332" t="s">
        <v>852</v>
      </c>
      <c r="C288" s="332" t="s">
        <v>2908</v>
      </c>
      <c r="D288" s="332" t="s">
        <v>2907</v>
      </c>
      <c r="E288" s="332">
        <v>234.0</v>
      </c>
      <c r="F288" s="338"/>
      <c r="G288" s="319"/>
      <c r="H288" s="338"/>
      <c r="I288" s="308"/>
      <c r="J288" s="308"/>
      <c r="K288" s="308"/>
      <c r="L288" s="308"/>
      <c r="M288" s="308"/>
      <c r="N288" s="332">
        <v>234.0</v>
      </c>
      <c r="O288" s="308"/>
      <c r="P288" s="308"/>
      <c r="Q288" s="308"/>
      <c r="R288" s="308"/>
      <c r="S288" s="308"/>
      <c r="T288" s="308"/>
      <c r="U288" s="308"/>
      <c r="V288" s="308"/>
      <c r="W288" s="308"/>
      <c r="X288" s="308"/>
      <c r="Y288" s="308"/>
      <c r="Z288" s="309"/>
      <c r="AA288" s="309"/>
      <c r="AB288" s="308"/>
      <c r="AC288" s="308"/>
    </row>
    <row r="289" hidden="1">
      <c r="A289" s="330">
        <v>45509.0</v>
      </c>
      <c r="B289" s="332" t="s">
        <v>94</v>
      </c>
      <c r="C289" s="332" t="s">
        <v>2908</v>
      </c>
      <c r="D289" s="332" t="s">
        <v>2914</v>
      </c>
      <c r="E289" s="332"/>
      <c r="F289" s="338"/>
      <c r="G289" s="319"/>
      <c r="H289" s="338"/>
      <c r="I289" s="308"/>
      <c r="J289" s="308"/>
      <c r="K289" s="308"/>
      <c r="L289" s="308"/>
      <c r="M289" s="308"/>
      <c r="N289" s="332"/>
      <c r="O289" s="308"/>
      <c r="P289" s="308"/>
      <c r="Q289" s="308"/>
      <c r="R289" s="308"/>
      <c r="S289" s="308"/>
      <c r="T289" s="308"/>
      <c r="U289" s="308"/>
      <c r="V289" s="308"/>
      <c r="W289" s="308"/>
      <c r="X289" s="308"/>
      <c r="Y289" s="308"/>
      <c r="Z289" s="309"/>
      <c r="AA289" s="309"/>
      <c r="AB289" s="308"/>
      <c r="AC289" s="308"/>
    </row>
    <row r="290" hidden="1">
      <c r="A290" s="330">
        <v>45509.0</v>
      </c>
      <c r="B290" s="332" t="s">
        <v>251</v>
      </c>
      <c r="C290" s="332" t="s">
        <v>2908</v>
      </c>
      <c r="D290" s="332" t="s">
        <v>2907</v>
      </c>
      <c r="E290" s="332">
        <v>234.0</v>
      </c>
      <c r="F290" s="338"/>
      <c r="G290" s="319"/>
      <c r="H290" s="338"/>
      <c r="I290" s="308"/>
      <c r="J290" s="308"/>
      <c r="K290" s="308"/>
      <c r="L290" s="308"/>
      <c r="M290" s="308"/>
      <c r="N290" s="332">
        <v>234.0</v>
      </c>
      <c r="O290" s="308"/>
      <c r="P290" s="308"/>
      <c r="Q290" s="308"/>
      <c r="R290" s="308"/>
      <c r="S290" s="308"/>
      <c r="T290" s="308"/>
      <c r="U290" s="308"/>
      <c r="V290" s="308"/>
      <c r="W290" s="308"/>
      <c r="X290" s="308"/>
      <c r="Y290" s="308"/>
      <c r="Z290" s="309"/>
      <c r="AA290" s="309"/>
      <c r="AB290" s="308"/>
      <c r="AC290" s="308"/>
    </row>
    <row r="291" hidden="1">
      <c r="A291" s="330">
        <v>45509.0</v>
      </c>
      <c r="B291" s="332" t="s">
        <v>347</v>
      </c>
      <c r="C291" s="332"/>
      <c r="D291" s="332" t="s">
        <v>2907</v>
      </c>
      <c r="E291" s="332">
        <v>2814.96</v>
      </c>
      <c r="F291" s="338"/>
      <c r="G291" s="319"/>
      <c r="H291" s="338"/>
      <c r="I291" s="308"/>
      <c r="J291" s="308"/>
      <c r="K291" s="308"/>
      <c r="L291" s="308"/>
      <c r="M291" s="308"/>
      <c r="N291" s="332">
        <v>2814.96</v>
      </c>
      <c r="O291" s="308"/>
      <c r="P291" s="308"/>
      <c r="Q291" s="308"/>
      <c r="R291" s="308"/>
      <c r="S291" s="308"/>
      <c r="T291" s="308"/>
      <c r="U291" s="308"/>
      <c r="V291" s="308"/>
      <c r="W291" s="308"/>
      <c r="X291" s="308"/>
      <c r="Y291" s="308"/>
      <c r="Z291" s="309"/>
      <c r="AA291" s="309"/>
      <c r="AB291" s="308"/>
      <c r="AC291" s="308"/>
    </row>
    <row r="292" hidden="1">
      <c r="A292" s="330">
        <v>45509.0</v>
      </c>
      <c r="B292" s="332" t="s">
        <v>37</v>
      </c>
      <c r="C292" s="332" t="s">
        <v>2904</v>
      </c>
      <c r="D292" s="332" t="s">
        <v>2907</v>
      </c>
      <c r="E292" s="332">
        <v>234.0</v>
      </c>
      <c r="F292" s="338"/>
      <c r="G292" s="319"/>
      <c r="H292" s="338"/>
      <c r="I292" s="308"/>
      <c r="J292" s="308"/>
      <c r="K292" s="308"/>
      <c r="L292" s="308"/>
      <c r="M292" s="308"/>
      <c r="N292" s="332">
        <v>234.0</v>
      </c>
      <c r="O292" s="308"/>
      <c r="P292" s="308"/>
      <c r="Q292" s="308"/>
      <c r="R292" s="308"/>
      <c r="S292" s="308"/>
      <c r="T292" s="308"/>
      <c r="U292" s="308"/>
      <c r="V292" s="308"/>
      <c r="W292" s="308"/>
      <c r="X292" s="308"/>
      <c r="Y292" s="308"/>
      <c r="Z292" s="309"/>
      <c r="AA292" s="309"/>
      <c r="AB292" s="308"/>
      <c r="AC292" s="308"/>
    </row>
    <row r="293" hidden="1">
      <c r="A293" s="330">
        <v>45509.0</v>
      </c>
      <c r="B293" s="332" t="s">
        <v>868</v>
      </c>
      <c r="C293" s="332"/>
      <c r="D293" s="332" t="s">
        <v>2907</v>
      </c>
      <c r="E293" s="332">
        <v>630.0</v>
      </c>
      <c r="F293" s="338"/>
      <c r="G293" s="319"/>
      <c r="H293" s="338"/>
      <c r="I293" s="308"/>
      <c r="J293" s="308"/>
      <c r="K293" s="308"/>
      <c r="L293" s="308"/>
      <c r="M293" s="308"/>
      <c r="N293" s="332">
        <v>630.0</v>
      </c>
      <c r="O293" s="308"/>
      <c r="P293" s="308"/>
      <c r="Q293" s="308"/>
      <c r="R293" s="308"/>
      <c r="S293" s="308"/>
      <c r="T293" s="308"/>
      <c r="U293" s="308"/>
      <c r="V293" s="308"/>
      <c r="W293" s="308"/>
      <c r="X293" s="308"/>
      <c r="Y293" s="308"/>
      <c r="Z293" s="309"/>
      <c r="AA293" s="309"/>
      <c r="AB293" s="308"/>
      <c r="AC293" s="308"/>
    </row>
    <row r="294" hidden="1">
      <c r="A294" s="330">
        <v>45509.0</v>
      </c>
      <c r="B294" s="332" t="s">
        <v>872</v>
      </c>
      <c r="C294" s="332" t="s">
        <v>2908</v>
      </c>
      <c r="D294" s="332" t="s">
        <v>2907</v>
      </c>
      <c r="E294" s="332">
        <v>234.0</v>
      </c>
      <c r="F294" s="338"/>
      <c r="G294" s="319"/>
      <c r="H294" s="338"/>
      <c r="I294" s="308"/>
      <c r="J294" s="308"/>
      <c r="K294" s="308"/>
      <c r="L294" s="308"/>
      <c r="M294" s="308"/>
      <c r="N294" s="332">
        <v>234.0</v>
      </c>
      <c r="O294" s="308"/>
      <c r="P294" s="308"/>
      <c r="Q294" s="308"/>
      <c r="R294" s="308"/>
      <c r="S294" s="308"/>
      <c r="T294" s="308"/>
      <c r="U294" s="308"/>
      <c r="V294" s="308"/>
      <c r="W294" s="308"/>
      <c r="X294" s="308"/>
      <c r="Y294" s="308"/>
      <c r="Z294" s="309"/>
      <c r="AA294" s="309"/>
      <c r="AB294" s="308"/>
      <c r="AC294" s="308"/>
    </row>
    <row r="295" hidden="1">
      <c r="A295" s="330">
        <v>45509.0</v>
      </c>
      <c r="B295" s="332" t="s">
        <v>876</v>
      </c>
      <c r="C295" s="332"/>
      <c r="D295" s="332" t="s">
        <v>2907</v>
      </c>
      <c r="E295" s="332">
        <v>234.0</v>
      </c>
      <c r="F295" s="338"/>
      <c r="G295" s="319"/>
      <c r="H295" s="338"/>
      <c r="I295" s="308"/>
      <c r="J295" s="308"/>
      <c r="K295" s="308"/>
      <c r="L295" s="308"/>
      <c r="M295" s="308"/>
      <c r="N295" s="332">
        <v>234.0</v>
      </c>
      <c r="O295" s="308"/>
      <c r="P295" s="308"/>
      <c r="Q295" s="308"/>
      <c r="R295" s="308"/>
      <c r="S295" s="308"/>
      <c r="T295" s="308"/>
      <c r="U295" s="308"/>
      <c r="V295" s="308"/>
      <c r="W295" s="308"/>
      <c r="X295" s="308"/>
      <c r="Y295" s="308"/>
      <c r="Z295" s="309"/>
      <c r="AA295" s="309"/>
      <c r="AB295" s="308"/>
      <c r="AC295" s="308"/>
    </row>
    <row r="296" hidden="1">
      <c r="A296" s="330">
        <v>45509.0</v>
      </c>
      <c r="B296" s="332" t="s">
        <v>424</v>
      </c>
      <c r="C296" s="332" t="s">
        <v>2904</v>
      </c>
      <c r="D296" s="332" t="s">
        <v>2907</v>
      </c>
      <c r="E296" s="332">
        <v>246.0</v>
      </c>
      <c r="F296" s="338"/>
      <c r="G296" s="319"/>
      <c r="H296" s="338"/>
      <c r="I296" s="308"/>
      <c r="J296" s="308"/>
      <c r="K296" s="308"/>
      <c r="L296" s="308"/>
      <c r="M296" s="308"/>
      <c r="N296" s="332">
        <v>246.0</v>
      </c>
      <c r="O296" s="308"/>
      <c r="P296" s="308"/>
      <c r="Q296" s="308"/>
      <c r="R296" s="308"/>
      <c r="S296" s="308"/>
      <c r="T296" s="308"/>
      <c r="U296" s="308"/>
      <c r="V296" s="308"/>
      <c r="W296" s="308"/>
      <c r="X296" s="308"/>
      <c r="Y296" s="308"/>
      <c r="Z296" s="309"/>
      <c r="AA296" s="309"/>
      <c r="AB296" s="308"/>
      <c r="AC296" s="308"/>
    </row>
    <row r="297" hidden="1">
      <c r="A297" s="330">
        <v>45509.0</v>
      </c>
      <c r="B297" s="332" t="s">
        <v>883</v>
      </c>
      <c r="C297" s="332" t="s">
        <v>2908</v>
      </c>
      <c r="D297" s="332" t="s">
        <v>2907</v>
      </c>
      <c r="E297" s="332">
        <v>234.0</v>
      </c>
      <c r="F297" s="338"/>
      <c r="G297" s="319"/>
      <c r="H297" s="338"/>
      <c r="I297" s="308"/>
      <c r="J297" s="308"/>
      <c r="K297" s="308"/>
      <c r="L297" s="308"/>
      <c r="M297" s="308"/>
      <c r="N297" s="332">
        <v>234.0</v>
      </c>
      <c r="O297" s="308"/>
      <c r="P297" s="308"/>
      <c r="Q297" s="308"/>
      <c r="R297" s="308"/>
      <c r="S297" s="308"/>
      <c r="T297" s="308"/>
      <c r="U297" s="308"/>
      <c r="V297" s="308"/>
      <c r="W297" s="308"/>
      <c r="X297" s="308"/>
      <c r="Y297" s="308"/>
      <c r="Z297" s="309"/>
      <c r="AA297" s="309"/>
      <c r="AB297" s="308"/>
      <c r="AC297" s="308"/>
    </row>
    <row r="298" hidden="1">
      <c r="A298" s="330">
        <v>45509.0</v>
      </c>
      <c r="B298" s="332" t="s">
        <v>887</v>
      </c>
      <c r="C298" s="332" t="s">
        <v>2908</v>
      </c>
      <c r="D298" s="332" t="s">
        <v>2907</v>
      </c>
      <c r="E298" s="332">
        <v>234.0</v>
      </c>
      <c r="F298" s="338"/>
      <c r="G298" s="319"/>
      <c r="H298" s="338"/>
      <c r="I298" s="308"/>
      <c r="J298" s="308"/>
      <c r="K298" s="308"/>
      <c r="L298" s="308"/>
      <c r="M298" s="308"/>
      <c r="N298" s="332">
        <v>234.0</v>
      </c>
      <c r="O298" s="308"/>
      <c r="P298" s="308"/>
      <c r="Q298" s="308"/>
      <c r="R298" s="308"/>
      <c r="S298" s="308"/>
      <c r="T298" s="308"/>
      <c r="U298" s="308"/>
      <c r="V298" s="308"/>
      <c r="W298" s="308"/>
      <c r="X298" s="308"/>
      <c r="Y298" s="308"/>
      <c r="Z298" s="309"/>
      <c r="AA298" s="309"/>
      <c r="AB298" s="308"/>
      <c r="AC298" s="308"/>
    </row>
    <row r="299" hidden="1">
      <c r="A299" s="330">
        <v>45512.0</v>
      </c>
      <c r="B299" s="332" t="s">
        <v>760</v>
      </c>
      <c r="C299" s="332" t="s">
        <v>2908</v>
      </c>
      <c r="D299" s="332" t="s">
        <v>2914</v>
      </c>
      <c r="E299" s="332"/>
      <c r="F299" s="338"/>
      <c r="G299" s="319"/>
      <c r="H299" s="338"/>
      <c r="I299" s="308"/>
      <c r="J299" s="308"/>
      <c r="K299" s="308"/>
      <c r="L299" s="308"/>
      <c r="M299" s="308"/>
      <c r="N299" s="332"/>
      <c r="O299" s="308"/>
      <c r="P299" s="308"/>
      <c r="Q299" s="308"/>
      <c r="R299" s="308"/>
      <c r="S299" s="308"/>
      <c r="T299" s="308"/>
      <c r="U299" s="308"/>
      <c r="V299" s="308"/>
      <c r="W299" s="308"/>
      <c r="X299" s="308"/>
      <c r="Y299" s="308"/>
      <c r="Z299" s="309"/>
      <c r="AA299" s="309"/>
      <c r="AB299" s="308"/>
      <c r="AC299" s="308"/>
    </row>
    <row r="300" hidden="1">
      <c r="A300" s="330">
        <v>45512.0</v>
      </c>
      <c r="B300" s="332" t="s">
        <v>171</v>
      </c>
      <c r="C300" s="332"/>
      <c r="D300" s="332" t="s">
        <v>2907</v>
      </c>
      <c r="E300" s="332">
        <v>59.0</v>
      </c>
      <c r="F300" s="338"/>
      <c r="G300" s="319"/>
      <c r="H300" s="338"/>
      <c r="I300" s="308"/>
      <c r="J300" s="308"/>
      <c r="K300" s="308"/>
      <c r="L300" s="308"/>
      <c r="M300" s="308"/>
      <c r="N300" s="332">
        <v>59.0</v>
      </c>
      <c r="O300" s="308"/>
      <c r="P300" s="308"/>
      <c r="Q300" s="308"/>
      <c r="R300" s="308"/>
      <c r="S300" s="308"/>
      <c r="T300" s="308"/>
      <c r="U300" s="308"/>
      <c r="V300" s="308"/>
      <c r="W300" s="308"/>
      <c r="X300" s="308"/>
      <c r="Y300" s="308"/>
      <c r="Z300" s="309"/>
      <c r="AA300" s="309"/>
      <c r="AB300" s="308"/>
      <c r="AC300" s="308"/>
    </row>
    <row r="301" hidden="1">
      <c r="A301" s="330">
        <v>45512.0</v>
      </c>
      <c r="B301" s="332" t="s">
        <v>382</v>
      </c>
      <c r="C301" s="332"/>
      <c r="D301" s="332" t="s">
        <v>2907</v>
      </c>
      <c r="E301" s="332">
        <v>170.0</v>
      </c>
      <c r="F301" s="338"/>
      <c r="G301" s="319"/>
      <c r="H301" s="338"/>
      <c r="I301" s="308"/>
      <c r="J301" s="308"/>
      <c r="K301" s="308"/>
      <c r="L301" s="308"/>
      <c r="M301" s="308"/>
      <c r="N301" s="332">
        <v>170.0</v>
      </c>
      <c r="O301" s="308"/>
      <c r="P301" s="308"/>
      <c r="Q301" s="308"/>
      <c r="R301" s="308"/>
      <c r="S301" s="308"/>
      <c r="T301" s="308"/>
      <c r="U301" s="308"/>
      <c r="V301" s="308"/>
      <c r="W301" s="308"/>
      <c r="X301" s="308"/>
      <c r="Y301" s="308"/>
      <c r="Z301" s="309"/>
      <c r="AA301" s="309"/>
      <c r="AB301" s="308"/>
      <c r="AC301" s="308"/>
    </row>
    <row r="302" hidden="1">
      <c r="A302" s="330">
        <v>45516.0</v>
      </c>
      <c r="B302" s="332" t="s">
        <v>94</v>
      </c>
      <c r="C302" s="332" t="s">
        <v>2908</v>
      </c>
      <c r="D302" s="332" t="s">
        <v>2907</v>
      </c>
      <c r="E302" s="332">
        <v>254.0</v>
      </c>
      <c r="F302" s="338"/>
      <c r="G302" s="319"/>
      <c r="H302" s="338"/>
      <c r="I302" s="308"/>
      <c r="J302" s="308"/>
      <c r="K302" s="308"/>
      <c r="L302" s="308"/>
      <c r="M302" s="308"/>
      <c r="N302" s="332">
        <v>254.0</v>
      </c>
      <c r="O302" s="308"/>
      <c r="P302" s="308"/>
      <c r="Q302" s="308"/>
      <c r="R302" s="308"/>
      <c r="S302" s="308"/>
      <c r="T302" s="308"/>
      <c r="U302" s="308"/>
      <c r="V302" s="308"/>
      <c r="W302" s="308"/>
      <c r="X302" s="308"/>
      <c r="Y302" s="308"/>
      <c r="Z302" s="309"/>
      <c r="AA302" s="309"/>
      <c r="AB302" s="308"/>
      <c r="AC302" s="308"/>
    </row>
    <row r="303" hidden="1">
      <c r="A303" s="330">
        <v>45517.0</v>
      </c>
      <c r="B303" s="332" t="s">
        <v>148</v>
      </c>
      <c r="C303" s="332" t="s">
        <v>2908</v>
      </c>
      <c r="D303" s="332" t="s">
        <v>2907</v>
      </c>
      <c r="E303" s="332">
        <v>120.0</v>
      </c>
      <c r="F303" s="338"/>
      <c r="G303" s="319"/>
      <c r="H303" s="338"/>
      <c r="I303" s="308"/>
      <c r="J303" s="308"/>
      <c r="K303" s="308"/>
      <c r="L303" s="308"/>
      <c r="M303" s="308"/>
      <c r="N303" s="332">
        <v>120.0</v>
      </c>
      <c r="O303" s="308"/>
      <c r="P303" s="308"/>
      <c r="Q303" s="308"/>
      <c r="R303" s="308"/>
      <c r="S303" s="308"/>
      <c r="T303" s="308"/>
      <c r="U303" s="308"/>
      <c r="V303" s="308"/>
      <c r="W303" s="308"/>
      <c r="X303" s="308"/>
      <c r="Y303" s="308"/>
      <c r="Z303" s="309"/>
      <c r="AA303" s="309"/>
      <c r="AB303" s="308"/>
      <c r="AC303" s="308"/>
    </row>
    <row r="304" hidden="1">
      <c r="A304" s="330">
        <v>45517.0</v>
      </c>
      <c r="B304" s="332" t="s">
        <v>912</v>
      </c>
      <c r="C304" s="332"/>
      <c r="D304" s="332" t="s">
        <v>2907</v>
      </c>
      <c r="E304" s="332">
        <v>91.0</v>
      </c>
      <c r="F304" s="338"/>
      <c r="G304" s="319"/>
      <c r="H304" s="338"/>
      <c r="I304" s="308"/>
      <c r="J304" s="308"/>
      <c r="K304" s="308"/>
      <c r="L304" s="308"/>
      <c r="M304" s="308"/>
      <c r="N304" s="332">
        <v>91.0</v>
      </c>
      <c r="O304" s="308"/>
      <c r="P304" s="308"/>
      <c r="Q304" s="308"/>
      <c r="R304" s="308"/>
      <c r="S304" s="308"/>
      <c r="T304" s="308"/>
      <c r="U304" s="308"/>
      <c r="V304" s="308"/>
      <c r="W304" s="308"/>
      <c r="X304" s="308"/>
      <c r="Y304" s="308"/>
      <c r="Z304" s="309"/>
      <c r="AA304" s="309"/>
      <c r="AB304" s="308"/>
      <c r="AC304" s="308"/>
    </row>
    <row r="305" hidden="1">
      <c r="A305" s="330">
        <v>45517.0</v>
      </c>
      <c r="B305" s="332" t="s">
        <v>123</v>
      </c>
      <c r="C305" s="332" t="s">
        <v>2904</v>
      </c>
      <c r="D305" s="332" t="s">
        <v>2907</v>
      </c>
      <c r="E305" s="332">
        <v>3815.0</v>
      </c>
      <c r="F305" s="338"/>
      <c r="G305" s="319"/>
      <c r="H305" s="338"/>
      <c r="I305" s="308"/>
      <c r="J305" s="308"/>
      <c r="K305" s="308"/>
      <c r="L305" s="308"/>
      <c r="M305" s="308"/>
      <c r="N305" s="332">
        <v>3815.0</v>
      </c>
      <c r="O305" s="308"/>
      <c r="P305" s="308"/>
      <c r="Q305" s="308"/>
      <c r="R305" s="308"/>
      <c r="S305" s="308"/>
      <c r="T305" s="308"/>
      <c r="U305" s="308"/>
      <c r="V305" s="308"/>
      <c r="W305" s="308"/>
      <c r="X305" s="308"/>
      <c r="Y305" s="308"/>
      <c r="Z305" s="309"/>
      <c r="AA305" s="309"/>
      <c r="AB305" s="308"/>
      <c r="AC305" s="308"/>
    </row>
    <row r="306" hidden="1">
      <c r="A306" s="330">
        <v>45517.0</v>
      </c>
      <c r="B306" s="332" t="s">
        <v>234</v>
      </c>
      <c r="C306" s="332"/>
      <c r="D306" s="332" t="s">
        <v>2905</v>
      </c>
      <c r="E306" s="332">
        <v>3000.0</v>
      </c>
      <c r="F306" s="338"/>
      <c r="G306" s="319"/>
      <c r="H306" s="338"/>
      <c r="I306" s="308"/>
      <c r="J306" s="308"/>
      <c r="K306" s="308"/>
      <c r="L306" s="308"/>
      <c r="M306" s="308"/>
      <c r="N306" s="308"/>
      <c r="O306" s="332">
        <v>3000.0</v>
      </c>
      <c r="P306" s="308"/>
      <c r="Q306" s="308"/>
      <c r="R306" s="308"/>
      <c r="S306" s="308"/>
      <c r="T306" s="308"/>
      <c r="U306" s="308"/>
      <c r="V306" s="308"/>
      <c r="W306" s="308"/>
      <c r="X306" s="308"/>
      <c r="Y306" s="308"/>
      <c r="Z306" s="309"/>
      <c r="AA306" s="309"/>
      <c r="AB306" s="308"/>
      <c r="AC306" s="308"/>
    </row>
    <row r="307" hidden="1">
      <c r="A307" s="330">
        <v>45517.0</v>
      </c>
      <c r="B307" s="332" t="s">
        <v>108</v>
      </c>
      <c r="C307" s="332"/>
      <c r="D307" s="332" t="s">
        <v>2907</v>
      </c>
      <c r="E307" s="332">
        <v>294.0</v>
      </c>
      <c r="F307" s="338"/>
      <c r="G307" s="319"/>
      <c r="H307" s="338"/>
      <c r="I307" s="308"/>
      <c r="J307" s="308"/>
      <c r="K307" s="308"/>
      <c r="L307" s="308"/>
      <c r="M307" s="308"/>
      <c r="N307" s="332">
        <v>294.0</v>
      </c>
      <c r="O307" s="308"/>
      <c r="P307" s="308"/>
      <c r="Q307" s="308"/>
      <c r="R307" s="308"/>
      <c r="S307" s="308"/>
      <c r="T307" s="308"/>
      <c r="U307" s="308"/>
      <c r="V307" s="308"/>
      <c r="W307" s="308"/>
      <c r="X307" s="308"/>
      <c r="Y307" s="308"/>
      <c r="Z307" s="309"/>
      <c r="AA307" s="309"/>
      <c r="AB307" s="308"/>
      <c r="AC307" s="308"/>
    </row>
    <row r="308" hidden="1">
      <c r="A308" s="330">
        <v>45517.0</v>
      </c>
      <c r="B308" s="332" t="s">
        <v>160</v>
      </c>
      <c r="C308" s="332"/>
      <c r="D308" s="332" t="s">
        <v>2905</v>
      </c>
      <c r="E308" s="332">
        <v>3000.0</v>
      </c>
      <c r="F308" s="338"/>
      <c r="G308" s="319"/>
      <c r="H308" s="338"/>
      <c r="I308" s="308"/>
      <c r="J308" s="308"/>
      <c r="K308" s="308"/>
      <c r="L308" s="308"/>
      <c r="M308" s="308"/>
      <c r="N308" s="308"/>
      <c r="O308" s="332">
        <v>3000.0</v>
      </c>
      <c r="P308" s="308"/>
      <c r="Q308" s="308"/>
      <c r="R308" s="308"/>
      <c r="S308" s="308"/>
      <c r="T308" s="308"/>
      <c r="U308" s="308"/>
      <c r="V308" s="308"/>
      <c r="W308" s="308"/>
      <c r="X308" s="308"/>
      <c r="Y308" s="308"/>
      <c r="Z308" s="309"/>
      <c r="AA308" s="309"/>
      <c r="AB308" s="308"/>
      <c r="AC308" s="308"/>
    </row>
    <row r="309" hidden="1">
      <c r="A309" s="330">
        <v>45517.0</v>
      </c>
      <c r="B309" s="332" t="s">
        <v>925</v>
      </c>
      <c r="C309" s="332" t="s">
        <v>2908</v>
      </c>
      <c r="D309" s="332" t="s">
        <v>2907</v>
      </c>
      <c r="E309" s="332">
        <v>350.0</v>
      </c>
      <c r="F309" s="338"/>
      <c r="G309" s="319"/>
      <c r="H309" s="338"/>
      <c r="I309" s="308"/>
      <c r="J309" s="308"/>
      <c r="K309" s="308"/>
      <c r="L309" s="308"/>
      <c r="M309" s="308"/>
      <c r="N309" s="332">
        <v>350.0</v>
      </c>
      <c r="O309" s="308"/>
      <c r="P309" s="308"/>
      <c r="Q309" s="308"/>
      <c r="R309" s="308"/>
      <c r="S309" s="308"/>
      <c r="T309" s="308"/>
      <c r="U309" s="308"/>
      <c r="V309" s="308"/>
      <c r="W309" s="308"/>
      <c r="X309" s="308"/>
      <c r="Y309" s="308"/>
      <c r="Z309" s="309"/>
      <c r="AA309" s="309"/>
      <c r="AB309" s="308"/>
      <c r="AC309" s="308"/>
    </row>
    <row r="310" hidden="1">
      <c r="A310" s="330">
        <v>45517.0</v>
      </c>
      <c r="B310" s="332" t="s">
        <v>104</v>
      </c>
      <c r="C310" s="332"/>
      <c r="D310" s="332" t="s">
        <v>2907</v>
      </c>
      <c r="E310" s="332">
        <v>106.0</v>
      </c>
      <c r="F310" s="338"/>
      <c r="G310" s="319"/>
      <c r="H310" s="338"/>
      <c r="I310" s="308"/>
      <c r="J310" s="308"/>
      <c r="K310" s="308"/>
      <c r="L310" s="308"/>
      <c r="M310" s="308"/>
      <c r="N310" s="332">
        <v>106.0</v>
      </c>
      <c r="O310" s="308"/>
      <c r="P310" s="308"/>
      <c r="Q310" s="308"/>
      <c r="R310" s="308"/>
      <c r="S310" s="308"/>
      <c r="T310" s="308"/>
      <c r="U310" s="308"/>
      <c r="V310" s="308"/>
      <c r="W310" s="308"/>
      <c r="X310" s="308"/>
      <c r="Y310" s="308"/>
      <c r="Z310" s="309"/>
      <c r="AA310" s="309"/>
      <c r="AB310" s="308"/>
      <c r="AC310" s="308"/>
    </row>
    <row r="311" hidden="1">
      <c r="A311" s="330">
        <v>45517.0</v>
      </c>
      <c r="B311" s="332" t="s">
        <v>699</v>
      </c>
      <c r="C311" s="332"/>
      <c r="D311" s="332" t="s">
        <v>2907</v>
      </c>
      <c r="E311" s="374"/>
      <c r="F311" s="338"/>
      <c r="G311" s="319"/>
      <c r="H311" s="338"/>
      <c r="I311" s="308"/>
      <c r="J311" s="308"/>
      <c r="K311" s="308"/>
      <c r="L311" s="308"/>
      <c r="M311" s="308"/>
      <c r="N311" s="374"/>
      <c r="O311" s="308"/>
      <c r="P311" s="308"/>
      <c r="Q311" s="308"/>
      <c r="R311" s="308"/>
      <c r="S311" s="308"/>
      <c r="T311" s="308"/>
      <c r="U311" s="308"/>
      <c r="V311" s="308"/>
      <c r="W311" s="308"/>
      <c r="X311" s="308"/>
      <c r="Y311" s="308"/>
      <c r="Z311" s="309"/>
      <c r="AA311" s="309"/>
      <c r="AB311" s="308"/>
      <c r="AC311" s="308"/>
    </row>
    <row r="312" hidden="1">
      <c r="A312" s="330">
        <v>45517.0</v>
      </c>
      <c r="B312" s="332" t="s">
        <v>37</v>
      </c>
      <c r="C312" s="332" t="s">
        <v>2904</v>
      </c>
      <c r="D312" s="332" t="s">
        <v>2907</v>
      </c>
      <c r="E312" s="332">
        <v>4000.0</v>
      </c>
      <c r="F312" s="338"/>
      <c r="G312" s="319"/>
      <c r="H312" s="338"/>
      <c r="I312" s="308"/>
      <c r="J312" s="308"/>
      <c r="K312" s="308"/>
      <c r="L312" s="308"/>
      <c r="M312" s="308"/>
      <c r="N312" s="332">
        <v>4000.0</v>
      </c>
      <c r="O312" s="308"/>
      <c r="P312" s="308"/>
      <c r="Q312" s="308"/>
      <c r="R312" s="308"/>
      <c r="S312" s="308"/>
      <c r="T312" s="308"/>
      <c r="U312" s="308"/>
      <c r="V312" s="308"/>
      <c r="W312" s="308"/>
      <c r="X312" s="308"/>
      <c r="Y312" s="308"/>
      <c r="Z312" s="309"/>
      <c r="AA312" s="309"/>
      <c r="AB312" s="308"/>
      <c r="AC312" s="308"/>
    </row>
    <row r="313" hidden="1">
      <c r="A313" s="330">
        <v>45517.0</v>
      </c>
      <c r="B313" s="332" t="s">
        <v>938</v>
      </c>
      <c r="C313" s="332"/>
      <c r="D313" s="332" t="s">
        <v>2907</v>
      </c>
      <c r="E313" s="332">
        <v>3000.0</v>
      </c>
      <c r="F313" s="338"/>
      <c r="G313" s="319"/>
      <c r="H313" s="338"/>
      <c r="I313" s="308"/>
      <c r="J313" s="308"/>
      <c r="K313" s="308"/>
      <c r="L313" s="308"/>
      <c r="M313" s="308"/>
      <c r="N313" s="332">
        <v>3000.0</v>
      </c>
      <c r="O313" s="308"/>
      <c r="P313" s="308"/>
      <c r="Q313" s="308"/>
      <c r="R313" s="308"/>
      <c r="S313" s="308"/>
      <c r="T313" s="308"/>
      <c r="U313" s="308"/>
      <c r="V313" s="308"/>
      <c r="W313" s="308"/>
      <c r="X313" s="308"/>
      <c r="Y313" s="308"/>
      <c r="Z313" s="309"/>
      <c r="AA313" s="309"/>
      <c r="AB313" s="308"/>
      <c r="AC313" s="308"/>
    </row>
    <row r="314" hidden="1">
      <c r="A314" s="330">
        <v>45519.0</v>
      </c>
      <c r="B314" s="332" t="s">
        <v>293</v>
      </c>
      <c r="C314" s="332"/>
      <c r="D314" s="332" t="s">
        <v>2907</v>
      </c>
      <c r="E314" s="332">
        <v>425.0</v>
      </c>
      <c r="F314" s="338"/>
      <c r="G314" s="319"/>
      <c r="H314" s="338"/>
      <c r="I314" s="308"/>
      <c r="J314" s="308"/>
      <c r="K314" s="308"/>
      <c r="L314" s="308"/>
      <c r="M314" s="308"/>
      <c r="N314" s="332">
        <v>425.0</v>
      </c>
      <c r="O314" s="308"/>
      <c r="P314" s="308"/>
      <c r="Q314" s="308"/>
      <c r="R314" s="308"/>
      <c r="S314" s="308"/>
      <c r="T314" s="308"/>
      <c r="U314" s="308"/>
      <c r="V314" s="308"/>
      <c r="W314" s="308"/>
      <c r="X314" s="308"/>
      <c r="Y314" s="308"/>
      <c r="Z314" s="309"/>
      <c r="AA314" s="309"/>
      <c r="AB314" s="308"/>
      <c r="AC314" s="308"/>
    </row>
    <row r="315" hidden="1">
      <c r="A315" s="330">
        <v>45519.0</v>
      </c>
      <c r="B315" s="332" t="s">
        <v>954</v>
      </c>
      <c r="C315" s="332" t="s">
        <v>2908</v>
      </c>
      <c r="D315" s="332" t="s">
        <v>2907</v>
      </c>
      <c r="E315" s="332">
        <v>234.0</v>
      </c>
      <c r="F315" s="338"/>
      <c r="G315" s="319"/>
      <c r="H315" s="338"/>
      <c r="I315" s="308"/>
      <c r="J315" s="308"/>
      <c r="K315" s="308"/>
      <c r="L315" s="308"/>
      <c r="M315" s="308"/>
      <c r="N315" s="332">
        <v>234.0</v>
      </c>
      <c r="O315" s="308"/>
      <c r="P315" s="308"/>
      <c r="Q315" s="308"/>
      <c r="R315" s="308"/>
      <c r="S315" s="308"/>
      <c r="T315" s="308"/>
      <c r="U315" s="308"/>
      <c r="V315" s="308"/>
      <c r="W315" s="308"/>
      <c r="X315" s="308"/>
      <c r="Y315" s="308"/>
      <c r="Z315" s="309"/>
      <c r="AA315" s="309"/>
      <c r="AB315" s="308"/>
      <c r="AC315" s="308"/>
    </row>
    <row r="316" hidden="1">
      <c r="A316" s="330">
        <v>45519.0</v>
      </c>
      <c r="B316" s="332" t="s">
        <v>213</v>
      </c>
      <c r="C316" s="332"/>
      <c r="D316" s="381" t="s">
        <v>2907</v>
      </c>
      <c r="E316" s="332">
        <v>425.0</v>
      </c>
      <c r="F316" s="338"/>
      <c r="G316" s="319"/>
      <c r="H316" s="338"/>
      <c r="I316" s="308"/>
      <c r="J316" s="308"/>
      <c r="K316" s="308"/>
      <c r="L316" s="308"/>
      <c r="M316" s="308"/>
      <c r="N316" s="332">
        <v>425.0</v>
      </c>
      <c r="O316" s="308"/>
      <c r="P316" s="308"/>
      <c r="Q316" s="308"/>
      <c r="R316" s="308"/>
      <c r="S316" s="308"/>
      <c r="T316" s="308"/>
      <c r="U316" s="308"/>
      <c r="V316" s="308"/>
      <c r="W316" s="308"/>
      <c r="X316" s="308"/>
      <c r="Y316" s="308"/>
      <c r="Z316" s="309"/>
      <c r="AA316" s="309"/>
      <c r="AB316" s="308"/>
      <c r="AC316" s="308"/>
    </row>
    <row r="317" hidden="1">
      <c r="A317" s="330">
        <v>45519.0</v>
      </c>
      <c r="B317" s="332" t="s">
        <v>710</v>
      </c>
      <c r="C317" s="332" t="s">
        <v>2908</v>
      </c>
      <c r="D317" s="381" t="s">
        <v>2907</v>
      </c>
      <c r="E317" s="332">
        <v>100.0</v>
      </c>
      <c r="F317" s="338"/>
      <c r="G317" s="319"/>
      <c r="H317" s="338"/>
      <c r="I317" s="308"/>
      <c r="J317" s="308"/>
      <c r="K317" s="308"/>
      <c r="L317" s="308"/>
      <c r="M317" s="308"/>
      <c r="N317" s="332">
        <v>100.0</v>
      </c>
      <c r="O317" s="308"/>
      <c r="P317" s="308"/>
      <c r="Q317" s="308"/>
      <c r="R317" s="308"/>
      <c r="S317" s="308"/>
      <c r="T317" s="308"/>
      <c r="U317" s="308"/>
      <c r="V317" s="308"/>
      <c r="W317" s="308"/>
      <c r="X317" s="308"/>
      <c r="Y317" s="308"/>
      <c r="Z317" s="309"/>
      <c r="AA317" s="309"/>
      <c r="AB317" s="308"/>
      <c r="AC317" s="308"/>
    </row>
    <row r="318" hidden="1">
      <c r="A318" s="330">
        <v>45519.0</v>
      </c>
      <c r="B318" s="332" t="s">
        <v>134</v>
      </c>
      <c r="C318" s="332" t="s">
        <v>2904</v>
      </c>
      <c r="D318" s="381" t="s">
        <v>2907</v>
      </c>
      <c r="E318" s="332">
        <v>75.0</v>
      </c>
      <c r="F318" s="338"/>
      <c r="G318" s="319"/>
      <c r="H318" s="338"/>
      <c r="I318" s="308"/>
      <c r="J318" s="308"/>
      <c r="K318" s="308"/>
      <c r="L318" s="308"/>
      <c r="M318" s="308"/>
      <c r="N318" s="332">
        <v>75.0</v>
      </c>
      <c r="O318" s="308"/>
      <c r="P318" s="308"/>
      <c r="Q318" s="308"/>
      <c r="R318" s="308"/>
      <c r="S318" s="308"/>
      <c r="T318" s="308"/>
      <c r="U318" s="308"/>
      <c r="V318" s="308"/>
      <c r="W318" s="308"/>
      <c r="X318" s="308"/>
      <c r="Y318" s="308"/>
      <c r="Z318" s="309"/>
      <c r="AA318" s="309"/>
      <c r="AB318" s="308"/>
      <c r="AC318" s="308"/>
    </row>
    <row r="319" hidden="1">
      <c r="A319" s="330">
        <v>45523.0</v>
      </c>
      <c r="B319" s="332" t="s">
        <v>574</v>
      </c>
      <c r="C319" s="332"/>
      <c r="D319" s="381" t="s">
        <v>2907</v>
      </c>
      <c r="E319" s="332">
        <v>100.0</v>
      </c>
      <c r="F319" s="338"/>
      <c r="G319" s="319"/>
      <c r="H319" s="338"/>
      <c r="I319" s="308"/>
      <c r="J319" s="308"/>
      <c r="K319" s="308"/>
      <c r="L319" s="308"/>
      <c r="M319" s="308"/>
      <c r="N319" s="332">
        <v>100.0</v>
      </c>
      <c r="O319" s="308"/>
      <c r="P319" s="308"/>
      <c r="Q319" s="308"/>
      <c r="R319" s="308"/>
      <c r="S319" s="308"/>
      <c r="T319" s="308"/>
      <c r="U319" s="308"/>
      <c r="V319" s="308"/>
      <c r="W319" s="308"/>
      <c r="X319" s="308"/>
      <c r="Y319" s="308"/>
      <c r="Z319" s="309"/>
      <c r="AA319" s="309"/>
      <c r="AB319" s="308"/>
      <c r="AC319" s="308"/>
    </row>
    <row r="320" hidden="1">
      <c r="A320" s="330">
        <v>45523.0</v>
      </c>
      <c r="B320" s="332" t="s">
        <v>897</v>
      </c>
      <c r="C320" s="332"/>
      <c r="D320" s="381" t="s">
        <v>2914</v>
      </c>
      <c r="E320" s="378">
        <v>0.0</v>
      </c>
      <c r="F320" s="338"/>
      <c r="G320" s="319"/>
      <c r="H320" s="338"/>
      <c r="I320" s="308"/>
      <c r="J320" s="308"/>
      <c r="K320" s="308"/>
      <c r="L320" s="308"/>
      <c r="M320" s="308"/>
      <c r="N320" s="332"/>
      <c r="O320" s="308"/>
      <c r="P320" s="308"/>
      <c r="Q320" s="308"/>
      <c r="R320" s="308"/>
      <c r="S320" s="308"/>
      <c r="T320" s="308"/>
      <c r="U320" s="308"/>
      <c r="V320" s="308"/>
      <c r="W320" s="308"/>
      <c r="X320" s="308"/>
      <c r="Y320" s="308"/>
      <c r="Z320" s="309"/>
      <c r="AA320" s="309"/>
      <c r="AB320" s="308"/>
      <c r="AC320" s="308"/>
    </row>
    <row r="321" hidden="1">
      <c r="A321" s="330">
        <v>45523.0</v>
      </c>
      <c r="B321" s="332" t="s">
        <v>703</v>
      </c>
      <c r="C321" s="332"/>
      <c r="D321" s="381" t="s">
        <v>2914</v>
      </c>
      <c r="E321" s="378">
        <v>0.0</v>
      </c>
      <c r="F321" s="338"/>
      <c r="G321" s="319"/>
      <c r="H321" s="338"/>
      <c r="I321" s="308"/>
      <c r="J321" s="308"/>
      <c r="K321" s="308"/>
      <c r="L321" s="308"/>
      <c r="M321" s="308"/>
      <c r="N321" s="308"/>
      <c r="O321" s="308"/>
      <c r="P321" s="308"/>
      <c r="Q321" s="332"/>
      <c r="R321" s="308"/>
      <c r="S321" s="308"/>
      <c r="T321" s="308"/>
      <c r="U321" s="308"/>
      <c r="V321" s="308"/>
      <c r="W321" s="308"/>
      <c r="X321" s="308"/>
      <c r="Y321" s="308"/>
      <c r="Z321" s="309"/>
      <c r="AA321" s="309"/>
      <c r="AB321" s="308"/>
      <c r="AC321" s="308"/>
    </row>
    <row r="322" hidden="1">
      <c r="A322" s="330">
        <v>45523.0</v>
      </c>
      <c r="B322" s="332" t="s">
        <v>752</v>
      </c>
      <c r="C322" s="332" t="s">
        <v>2904</v>
      </c>
      <c r="D322" s="381" t="s">
        <v>2907</v>
      </c>
      <c r="E322" s="332">
        <v>2500.0</v>
      </c>
      <c r="F322" s="338"/>
      <c r="G322" s="319"/>
      <c r="H322" s="338"/>
      <c r="I322" s="308"/>
      <c r="J322" s="308"/>
      <c r="K322" s="308"/>
      <c r="L322" s="308"/>
      <c r="M322" s="308"/>
      <c r="N322" s="332">
        <v>2500.0</v>
      </c>
      <c r="O322" s="308"/>
      <c r="P322" s="308"/>
      <c r="Q322" s="308"/>
      <c r="R322" s="308"/>
      <c r="S322" s="308"/>
      <c r="T322" s="308"/>
      <c r="U322" s="308"/>
      <c r="V322" s="308"/>
      <c r="W322" s="308"/>
      <c r="X322" s="308"/>
      <c r="Y322" s="308"/>
      <c r="Z322" s="309"/>
      <c r="AA322" s="309"/>
      <c r="AB322" s="308"/>
      <c r="AC322" s="308"/>
    </row>
    <row r="323" hidden="1">
      <c r="A323" s="330">
        <v>45524.0</v>
      </c>
      <c r="B323" s="332" t="s">
        <v>760</v>
      </c>
      <c r="C323" s="332" t="s">
        <v>2908</v>
      </c>
      <c r="D323" s="332" t="s">
        <v>2907</v>
      </c>
      <c r="E323" s="332">
        <v>5300.0</v>
      </c>
      <c r="F323" s="338"/>
      <c r="G323" s="319"/>
      <c r="H323" s="338"/>
      <c r="I323" s="308"/>
      <c r="J323" s="308"/>
      <c r="K323" s="308"/>
      <c r="L323" s="308"/>
      <c r="M323" s="308"/>
      <c r="N323" s="332">
        <v>5300.0</v>
      </c>
      <c r="O323" s="308"/>
      <c r="P323" s="308"/>
      <c r="Q323" s="308"/>
      <c r="R323" s="308"/>
      <c r="S323" s="308"/>
      <c r="T323" s="308"/>
      <c r="U323" s="308"/>
      <c r="V323" s="308"/>
      <c r="W323" s="308"/>
      <c r="X323" s="308"/>
      <c r="Y323" s="308"/>
      <c r="Z323" s="309"/>
      <c r="AA323" s="309"/>
      <c r="AB323" s="308"/>
      <c r="AC323" s="308"/>
    </row>
    <row r="324" hidden="1">
      <c r="A324" s="330">
        <v>45524.0</v>
      </c>
      <c r="B324" s="332" t="s">
        <v>1000</v>
      </c>
      <c r="C324" s="332"/>
      <c r="D324" s="332" t="s">
        <v>2907</v>
      </c>
      <c r="E324" s="332">
        <v>350.0</v>
      </c>
      <c r="F324" s="338"/>
      <c r="G324" s="319"/>
      <c r="H324" s="338"/>
      <c r="I324" s="308"/>
      <c r="J324" s="308"/>
      <c r="K324" s="308"/>
      <c r="L324" s="308"/>
      <c r="M324" s="308"/>
      <c r="N324" s="332">
        <v>350.0</v>
      </c>
      <c r="O324" s="308"/>
      <c r="P324" s="308"/>
      <c r="Q324" s="308"/>
      <c r="R324" s="308"/>
      <c r="S324" s="308"/>
      <c r="T324" s="308"/>
      <c r="U324" s="308"/>
      <c r="V324" s="308"/>
      <c r="W324" s="308"/>
      <c r="X324" s="308"/>
      <c r="Y324" s="308"/>
      <c r="Z324" s="309"/>
      <c r="AA324" s="309"/>
      <c r="AB324" s="308"/>
      <c r="AC324" s="308"/>
    </row>
    <row r="325" hidden="1">
      <c r="A325" s="330">
        <v>45524.0</v>
      </c>
      <c r="B325" s="332" t="s">
        <v>188</v>
      </c>
      <c r="C325" s="332" t="s">
        <v>2904</v>
      </c>
      <c r="D325" s="381" t="s">
        <v>2907</v>
      </c>
      <c r="E325" s="332">
        <v>74.99</v>
      </c>
      <c r="F325" s="338"/>
      <c r="G325" s="319"/>
      <c r="H325" s="338"/>
      <c r="I325" s="308"/>
      <c r="J325" s="308"/>
      <c r="K325" s="308"/>
      <c r="L325" s="308"/>
      <c r="M325" s="308"/>
      <c r="N325" s="332">
        <v>74.99</v>
      </c>
      <c r="O325" s="308"/>
      <c r="P325" s="308"/>
      <c r="Q325" s="308"/>
      <c r="R325" s="308"/>
      <c r="S325" s="308"/>
      <c r="T325" s="308"/>
      <c r="U325" s="308"/>
      <c r="V325" s="308"/>
      <c r="W325" s="308"/>
      <c r="X325" s="308"/>
      <c r="Y325" s="308"/>
      <c r="Z325" s="309"/>
      <c r="AA325" s="309"/>
      <c r="AB325" s="308"/>
      <c r="AC325" s="308"/>
    </row>
    <row r="326" hidden="1">
      <c r="A326" s="330">
        <v>45524.0</v>
      </c>
      <c r="B326" s="332" t="s">
        <v>188</v>
      </c>
      <c r="C326" s="332" t="s">
        <v>2904</v>
      </c>
      <c r="D326" s="381" t="s">
        <v>2907</v>
      </c>
      <c r="E326" s="332">
        <v>3000.0</v>
      </c>
      <c r="F326" s="338"/>
      <c r="G326" s="319"/>
      <c r="H326" s="338"/>
      <c r="I326" s="308"/>
      <c r="J326" s="308"/>
      <c r="K326" s="308"/>
      <c r="L326" s="308"/>
      <c r="M326" s="308"/>
      <c r="N326" s="308"/>
      <c r="O326" s="332">
        <v>3000.0</v>
      </c>
      <c r="P326" s="308"/>
      <c r="Q326" s="308"/>
      <c r="R326" s="308"/>
      <c r="S326" s="308"/>
      <c r="T326" s="308"/>
      <c r="U326" s="308"/>
      <c r="V326" s="308"/>
      <c r="W326" s="308"/>
      <c r="X326" s="308"/>
      <c r="Y326" s="308"/>
      <c r="Z326" s="309"/>
      <c r="AA326" s="309"/>
      <c r="AB326" s="308"/>
      <c r="AC326" s="308"/>
    </row>
    <row r="327" hidden="1">
      <c r="A327" s="330">
        <v>45524.0</v>
      </c>
      <c r="B327" s="332" t="s">
        <v>323</v>
      </c>
      <c r="C327" s="332" t="s">
        <v>2904</v>
      </c>
      <c r="D327" s="381" t="s">
        <v>2907</v>
      </c>
      <c r="E327" s="332">
        <v>3815.0</v>
      </c>
      <c r="F327" s="338"/>
      <c r="G327" s="319"/>
      <c r="H327" s="338"/>
      <c r="I327" s="308"/>
      <c r="J327" s="308"/>
      <c r="K327" s="308"/>
      <c r="L327" s="308"/>
      <c r="M327" s="308"/>
      <c r="N327" s="332">
        <v>3815.0</v>
      </c>
      <c r="O327" s="308"/>
      <c r="P327" s="308"/>
      <c r="Q327" s="308"/>
      <c r="R327" s="308"/>
      <c r="S327" s="308"/>
      <c r="T327" s="308"/>
      <c r="U327" s="308"/>
      <c r="V327" s="308"/>
      <c r="W327" s="308"/>
      <c r="X327" s="308"/>
      <c r="Y327" s="308"/>
      <c r="Z327" s="309"/>
      <c r="AA327" s="309"/>
      <c r="AB327" s="308"/>
      <c r="AC327" s="308"/>
    </row>
    <row r="328" hidden="1">
      <c r="A328" s="330">
        <v>45524.0</v>
      </c>
      <c r="B328" s="332" t="s">
        <v>780</v>
      </c>
      <c r="C328" s="332"/>
      <c r="D328" s="381" t="s">
        <v>2907</v>
      </c>
      <c r="E328" s="332">
        <v>235.14</v>
      </c>
      <c r="F328" s="338"/>
      <c r="G328" s="319"/>
      <c r="H328" s="338"/>
      <c r="I328" s="308"/>
      <c r="J328" s="308"/>
      <c r="K328" s="308"/>
      <c r="L328" s="308"/>
      <c r="M328" s="308"/>
      <c r="N328" s="382">
        <v>235.14</v>
      </c>
      <c r="O328" s="308"/>
      <c r="P328" s="308"/>
      <c r="Q328" s="308"/>
      <c r="R328" s="308"/>
      <c r="S328" s="308"/>
      <c r="T328" s="308"/>
      <c r="U328" s="308"/>
      <c r="V328" s="308"/>
      <c r="W328" s="308"/>
      <c r="X328" s="308"/>
      <c r="Y328" s="308"/>
      <c r="Z328" s="309"/>
      <c r="AA328" s="309"/>
      <c r="AB328" s="308"/>
      <c r="AC328" s="308"/>
    </row>
    <row r="329" hidden="1">
      <c r="A329" s="330">
        <v>45524.0</v>
      </c>
      <c r="B329" s="332" t="s">
        <v>947</v>
      </c>
      <c r="C329" s="332" t="s">
        <v>2908</v>
      </c>
      <c r="D329" s="381" t="s">
        <v>2907</v>
      </c>
      <c r="E329" s="332">
        <v>3000.0</v>
      </c>
      <c r="F329" s="338"/>
      <c r="G329" s="319"/>
      <c r="H329" s="338"/>
      <c r="I329" s="308"/>
      <c r="J329" s="308"/>
      <c r="K329" s="308"/>
      <c r="L329" s="308"/>
      <c r="M329" s="308"/>
      <c r="N329" s="332">
        <v>3000.0</v>
      </c>
      <c r="O329" s="308"/>
      <c r="P329" s="308"/>
      <c r="Q329" s="308"/>
      <c r="R329" s="308"/>
      <c r="S329" s="308"/>
      <c r="T329" s="308"/>
      <c r="U329" s="308"/>
      <c r="V329" s="308"/>
      <c r="W329" s="308"/>
      <c r="X329" s="308"/>
      <c r="Y329" s="308"/>
      <c r="Z329" s="309"/>
      <c r="AA329" s="309"/>
      <c r="AB329" s="308"/>
      <c r="AC329" s="308"/>
    </row>
    <row r="330" hidden="1">
      <c r="A330" s="330">
        <v>45524.0</v>
      </c>
      <c r="B330" s="332" t="s">
        <v>231</v>
      </c>
      <c r="C330" s="332" t="s">
        <v>2908</v>
      </c>
      <c r="D330" s="381" t="s">
        <v>2907</v>
      </c>
      <c r="E330" s="332">
        <v>148.0</v>
      </c>
      <c r="F330" s="338"/>
      <c r="G330" s="319"/>
      <c r="H330" s="338"/>
      <c r="I330" s="308"/>
      <c r="J330" s="308"/>
      <c r="K330" s="308"/>
      <c r="L330" s="308"/>
      <c r="M330" s="308"/>
      <c r="N330" s="332">
        <v>148.0</v>
      </c>
      <c r="O330" s="308"/>
      <c r="P330" s="308"/>
      <c r="Q330" s="308"/>
      <c r="R330" s="308"/>
      <c r="S330" s="308"/>
      <c r="T330" s="308"/>
      <c r="U330" s="308"/>
      <c r="V330" s="308"/>
      <c r="W330" s="308"/>
      <c r="X330" s="308"/>
      <c r="Y330" s="308"/>
      <c r="Z330" s="309"/>
      <c r="AA330" s="309"/>
      <c r="AB330" s="308"/>
      <c r="AC330" s="308"/>
    </row>
    <row r="331" hidden="1">
      <c r="A331" s="330">
        <v>45525.0</v>
      </c>
      <c r="B331" s="332" t="s">
        <v>2953</v>
      </c>
      <c r="C331" s="332" t="s">
        <v>2908</v>
      </c>
      <c r="D331" s="332" t="s">
        <v>2914</v>
      </c>
      <c r="E331" s="383"/>
      <c r="F331" s="338"/>
      <c r="G331" s="319"/>
      <c r="H331" s="338"/>
      <c r="I331" s="308"/>
      <c r="J331" s="308"/>
      <c r="K331" s="308"/>
      <c r="L331" s="308"/>
      <c r="M331" s="308"/>
      <c r="N331" s="384"/>
      <c r="O331" s="308"/>
      <c r="P331" s="308"/>
      <c r="Q331" s="308"/>
      <c r="R331" s="308"/>
      <c r="S331" s="308"/>
      <c r="T331" s="308"/>
      <c r="U331" s="308"/>
      <c r="V331" s="308"/>
      <c r="W331" s="308"/>
      <c r="X331" s="308"/>
      <c r="Y331" s="308"/>
      <c r="Z331" s="309"/>
      <c r="AA331" s="309"/>
      <c r="AB331" s="308"/>
      <c r="AC331" s="308"/>
    </row>
    <row r="332" hidden="1">
      <c r="A332" s="330">
        <v>45525.0</v>
      </c>
      <c r="B332" s="332" t="s">
        <v>2954</v>
      </c>
      <c r="C332" s="332" t="s">
        <v>2908</v>
      </c>
      <c r="D332" s="332" t="s">
        <v>2911</v>
      </c>
      <c r="E332" s="332">
        <v>218.0</v>
      </c>
      <c r="F332" s="338"/>
      <c r="G332" s="319"/>
      <c r="H332" s="338"/>
      <c r="I332" s="308"/>
      <c r="J332" s="308"/>
      <c r="K332" s="308"/>
      <c r="L332" s="308"/>
      <c r="M332" s="308"/>
      <c r="N332" s="308"/>
      <c r="O332" s="308"/>
      <c r="P332" s="308"/>
      <c r="Q332" s="332">
        <v>218.0</v>
      </c>
      <c r="R332" s="308"/>
      <c r="S332" s="308"/>
      <c r="T332" s="308"/>
      <c r="U332" s="308"/>
      <c r="V332" s="308"/>
      <c r="W332" s="308"/>
      <c r="X332" s="308"/>
      <c r="Y332" s="308"/>
      <c r="Z332" s="309"/>
      <c r="AA332" s="309"/>
      <c r="AB332" s="308"/>
      <c r="AC332" s="308"/>
    </row>
    <row r="333" hidden="1">
      <c r="A333" s="330">
        <v>45525.0</v>
      </c>
      <c r="B333" s="332" t="s">
        <v>2955</v>
      </c>
      <c r="C333" s="332" t="s">
        <v>2908</v>
      </c>
      <c r="D333" s="332" t="s">
        <v>2907</v>
      </c>
      <c r="E333" s="332">
        <v>300.0</v>
      </c>
      <c r="F333" s="338"/>
      <c r="G333" s="319"/>
      <c r="H333" s="338"/>
      <c r="N333" s="332">
        <v>300.0</v>
      </c>
      <c r="Z333" s="385"/>
      <c r="AA333" s="385"/>
    </row>
    <row r="334" hidden="1">
      <c r="A334" s="330">
        <v>45525.0</v>
      </c>
      <c r="B334" s="332" t="s">
        <v>2956</v>
      </c>
      <c r="C334" s="332" t="s">
        <v>2904</v>
      </c>
      <c r="D334" s="332" t="s">
        <v>2907</v>
      </c>
      <c r="E334" s="332">
        <v>1000.0</v>
      </c>
      <c r="F334" s="338"/>
      <c r="G334" s="319"/>
      <c r="H334" s="338"/>
      <c r="N334" s="332">
        <v>1000.0</v>
      </c>
      <c r="Z334" s="385"/>
      <c r="AA334" s="385"/>
    </row>
    <row r="335" hidden="1">
      <c r="A335" s="330">
        <v>45530.0</v>
      </c>
      <c r="B335" s="332" t="s">
        <v>2957</v>
      </c>
      <c r="C335" s="332"/>
      <c r="D335" s="332" t="s">
        <v>2907</v>
      </c>
      <c r="E335" s="332">
        <v>3000.0</v>
      </c>
      <c r="F335" s="338"/>
      <c r="G335" s="319"/>
      <c r="H335" s="338"/>
      <c r="I335" s="308"/>
      <c r="J335" s="308"/>
      <c r="K335" s="308"/>
      <c r="L335" s="308"/>
      <c r="M335" s="308"/>
      <c r="N335" s="332">
        <v>3000.0</v>
      </c>
      <c r="O335" s="308"/>
      <c r="P335" s="308"/>
      <c r="Q335" s="308"/>
      <c r="R335" s="308"/>
      <c r="S335" s="308"/>
      <c r="T335" s="308"/>
      <c r="U335" s="308"/>
      <c r="V335" s="308"/>
      <c r="W335" s="308"/>
      <c r="X335" s="308"/>
      <c r="Y335" s="308"/>
      <c r="Z335" s="309"/>
      <c r="AA335" s="309"/>
      <c r="AB335" s="308"/>
      <c r="AC335" s="308"/>
    </row>
    <row r="336" hidden="1">
      <c r="A336" s="330">
        <v>45530.0</v>
      </c>
      <c r="B336" s="332" t="s">
        <v>2958</v>
      </c>
      <c r="C336" s="332"/>
      <c r="D336" s="332" t="s">
        <v>2907</v>
      </c>
      <c r="E336" s="384">
        <v>425.0</v>
      </c>
      <c r="F336" s="338"/>
      <c r="G336" s="319"/>
      <c r="H336" s="338"/>
      <c r="I336" s="308"/>
      <c r="J336" s="308"/>
      <c r="K336" s="308"/>
      <c r="L336" s="308"/>
      <c r="M336" s="308"/>
      <c r="N336" s="384">
        <v>425.0</v>
      </c>
      <c r="O336" s="308"/>
      <c r="P336" s="308"/>
      <c r="Q336" s="308"/>
      <c r="R336" s="308"/>
      <c r="S336" s="308"/>
      <c r="T336" s="308"/>
      <c r="U336" s="308"/>
      <c r="V336" s="308"/>
      <c r="W336" s="308"/>
      <c r="X336" s="308"/>
      <c r="Y336" s="308"/>
      <c r="Z336" s="309"/>
      <c r="AA336" s="309"/>
      <c r="AB336" s="308"/>
      <c r="AC336" s="308"/>
    </row>
    <row r="337" hidden="1">
      <c r="A337" s="330">
        <v>45530.0</v>
      </c>
      <c r="B337" s="332" t="s">
        <v>2959</v>
      </c>
      <c r="C337" s="332" t="s">
        <v>2904</v>
      </c>
      <c r="D337" s="332" t="s">
        <v>2907</v>
      </c>
      <c r="E337" s="384">
        <v>286.0</v>
      </c>
      <c r="F337" s="338"/>
      <c r="G337" s="319"/>
      <c r="H337" s="338"/>
      <c r="I337" s="308"/>
      <c r="J337" s="308"/>
      <c r="K337" s="308"/>
      <c r="L337" s="308"/>
      <c r="M337" s="308"/>
      <c r="N337" s="332">
        <v>286.0</v>
      </c>
      <c r="O337" s="308"/>
      <c r="P337" s="308"/>
      <c r="Q337" s="308"/>
      <c r="R337" s="308"/>
      <c r="S337" s="308"/>
      <c r="T337" s="308"/>
      <c r="U337" s="308"/>
      <c r="V337" s="308"/>
      <c r="W337" s="308"/>
      <c r="X337" s="308"/>
      <c r="Y337" s="308"/>
      <c r="Z337" s="309"/>
      <c r="AA337" s="309"/>
      <c r="AB337" s="308"/>
      <c r="AC337" s="308"/>
    </row>
    <row r="338" hidden="1">
      <c r="A338" s="330">
        <v>45530.0</v>
      </c>
      <c r="B338" s="332" t="s">
        <v>2960</v>
      </c>
      <c r="C338" s="332"/>
      <c r="D338" s="332" t="s">
        <v>2907</v>
      </c>
      <c r="E338" s="384">
        <v>155.0</v>
      </c>
      <c r="F338" s="338"/>
      <c r="G338" s="319"/>
      <c r="H338" s="338"/>
      <c r="I338" s="308"/>
      <c r="J338" s="308"/>
      <c r="K338" s="308"/>
      <c r="L338" s="308"/>
      <c r="M338" s="308"/>
      <c r="N338" s="332">
        <v>155.0</v>
      </c>
      <c r="O338" s="308"/>
      <c r="P338" s="308"/>
      <c r="Q338" s="308"/>
      <c r="R338" s="308"/>
      <c r="S338" s="308"/>
      <c r="T338" s="308"/>
      <c r="U338" s="308"/>
      <c r="V338" s="308"/>
      <c r="W338" s="308"/>
      <c r="X338" s="308"/>
      <c r="Y338" s="308"/>
      <c r="Z338" s="309"/>
      <c r="AA338" s="309"/>
      <c r="AB338" s="308"/>
      <c r="AC338" s="308"/>
    </row>
    <row r="339" hidden="1">
      <c r="A339" s="330">
        <v>45530.0</v>
      </c>
      <c r="B339" s="332" t="s">
        <v>2961</v>
      </c>
      <c r="C339" s="332"/>
      <c r="D339" s="343" t="s">
        <v>2909</v>
      </c>
      <c r="E339" s="384">
        <v>525.0</v>
      </c>
      <c r="F339" s="338"/>
      <c r="G339" s="319"/>
      <c r="H339" s="338"/>
      <c r="I339" s="332">
        <v>525.0</v>
      </c>
      <c r="J339" s="308"/>
      <c r="K339" s="308"/>
      <c r="L339" s="308"/>
      <c r="M339" s="308"/>
      <c r="N339" s="308"/>
      <c r="O339" s="308"/>
      <c r="P339" s="308"/>
      <c r="Q339" s="308"/>
      <c r="R339" s="308"/>
      <c r="S339" s="308"/>
      <c r="T339" s="308"/>
      <c r="U339" s="308"/>
      <c r="V339" s="308"/>
      <c r="W339" s="308"/>
      <c r="X339" s="308"/>
      <c r="Y339" s="308"/>
      <c r="Z339" s="309"/>
      <c r="AA339" s="309"/>
      <c r="AB339" s="308"/>
      <c r="AC339" s="308"/>
    </row>
    <row r="340" hidden="1">
      <c r="A340" s="330">
        <v>45530.0</v>
      </c>
      <c r="B340" s="332" t="s">
        <v>2962</v>
      </c>
      <c r="C340" s="332" t="s">
        <v>2908</v>
      </c>
      <c r="D340" s="332" t="s">
        <v>2907</v>
      </c>
      <c r="E340" s="384">
        <v>875.0</v>
      </c>
      <c r="F340" s="338"/>
      <c r="G340" s="319"/>
      <c r="H340" s="338"/>
      <c r="I340" s="308"/>
      <c r="J340" s="308"/>
      <c r="K340" s="308"/>
      <c r="L340" s="308"/>
      <c r="M340" s="308"/>
      <c r="N340" s="384">
        <v>875.0</v>
      </c>
      <c r="O340" s="308"/>
      <c r="P340" s="308"/>
      <c r="Q340" s="308"/>
      <c r="R340" s="308"/>
      <c r="S340" s="308"/>
      <c r="T340" s="308"/>
      <c r="U340" s="308"/>
      <c r="V340" s="308"/>
      <c r="W340" s="308"/>
      <c r="X340" s="308"/>
      <c r="Y340" s="308"/>
      <c r="Z340" s="309"/>
      <c r="AA340" s="309"/>
      <c r="AB340" s="308"/>
      <c r="AC340" s="308"/>
    </row>
    <row r="341" hidden="1">
      <c r="A341" s="330">
        <v>45531.0</v>
      </c>
      <c r="B341" s="332" t="s">
        <v>2963</v>
      </c>
      <c r="C341" s="332" t="s">
        <v>2908</v>
      </c>
      <c r="D341" s="332" t="s">
        <v>2907</v>
      </c>
      <c r="E341" s="332">
        <v>2100.0</v>
      </c>
      <c r="F341" s="338"/>
      <c r="G341" s="319"/>
      <c r="H341" s="338"/>
      <c r="I341" s="308"/>
      <c r="J341" s="308"/>
      <c r="K341" s="308"/>
      <c r="L341" s="308"/>
      <c r="M341" s="308"/>
      <c r="N341" s="332">
        <v>2100.0</v>
      </c>
      <c r="O341" s="308"/>
      <c r="P341" s="308"/>
      <c r="Q341" s="308"/>
      <c r="R341" s="308"/>
      <c r="S341" s="308"/>
      <c r="T341" s="308"/>
      <c r="U341" s="308"/>
      <c r="V341" s="308"/>
      <c r="W341" s="308"/>
      <c r="X341" s="308"/>
      <c r="Y341" s="308"/>
      <c r="Z341" s="309"/>
      <c r="AA341" s="309"/>
      <c r="AB341" s="308"/>
      <c r="AC341" s="308"/>
    </row>
    <row r="342" hidden="1">
      <c r="A342" s="330">
        <v>45531.0</v>
      </c>
      <c r="B342" s="332" t="s">
        <v>2964</v>
      </c>
      <c r="C342" s="332" t="s">
        <v>2908</v>
      </c>
      <c r="D342" s="332" t="s">
        <v>2914</v>
      </c>
      <c r="E342" s="332"/>
      <c r="F342" s="338"/>
      <c r="G342" s="319"/>
      <c r="H342" s="338"/>
      <c r="I342" s="308"/>
      <c r="J342" s="308"/>
      <c r="K342" s="308"/>
      <c r="L342" s="308"/>
      <c r="M342" s="308"/>
      <c r="N342" s="332"/>
      <c r="O342" s="308"/>
      <c r="P342" s="308"/>
      <c r="Q342" s="308"/>
      <c r="R342" s="308"/>
      <c r="S342" s="308"/>
      <c r="T342" s="308"/>
      <c r="U342" s="308"/>
      <c r="V342" s="308"/>
      <c r="W342" s="308"/>
      <c r="X342" s="308"/>
      <c r="Y342" s="308"/>
      <c r="Z342" s="309"/>
      <c r="AA342" s="309"/>
      <c r="AB342" s="308"/>
      <c r="AC342" s="308"/>
    </row>
    <row r="343" hidden="1">
      <c r="A343" s="330">
        <v>45531.0</v>
      </c>
      <c r="B343" s="332" t="s">
        <v>2965</v>
      </c>
      <c r="C343" s="332" t="s">
        <v>2908</v>
      </c>
      <c r="D343" s="332" t="s">
        <v>2907</v>
      </c>
      <c r="E343" s="332">
        <v>494.0</v>
      </c>
      <c r="F343" s="338"/>
      <c r="G343" s="319"/>
      <c r="H343" s="338"/>
      <c r="I343" s="308"/>
      <c r="J343" s="308"/>
      <c r="K343" s="308"/>
      <c r="L343" s="308"/>
      <c r="M343" s="308"/>
      <c r="N343" s="332">
        <v>494.0</v>
      </c>
      <c r="O343" s="308"/>
      <c r="P343" s="308"/>
      <c r="Q343" s="308"/>
      <c r="R343" s="308"/>
      <c r="S343" s="308"/>
      <c r="T343" s="308"/>
      <c r="U343" s="308"/>
      <c r="V343" s="308"/>
      <c r="W343" s="308"/>
      <c r="X343" s="308"/>
      <c r="Y343" s="308"/>
      <c r="Z343" s="309"/>
      <c r="AA343" s="309"/>
      <c r="AB343" s="308"/>
      <c r="AC343" s="308"/>
    </row>
    <row r="344" hidden="1">
      <c r="A344" s="330">
        <v>45531.0</v>
      </c>
      <c r="B344" s="332" t="s">
        <v>2966</v>
      </c>
      <c r="C344" s="332" t="s">
        <v>2904</v>
      </c>
      <c r="D344" s="332" t="s">
        <v>2907</v>
      </c>
      <c r="E344" s="332">
        <v>260.0</v>
      </c>
      <c r="F344" s="338"/>
      <c r="G344" s="319"/>
      <c r="H344" s="338"/>
      <c r="I344" s="308"/>
      <c r="J344" s="308"/>
      <c r="K344" s="308"/>
      <c r="L344" s="308"/>
      <c r="M344" s="308"/>
      <c r="N344" s="332">
        <v>260.0</v>
      </c>
      <c r="O344" s="308"/>
      <c r="P344" s="308"/>
      <c r="Q344" s="308"/>
      <c r="R344" s="308"/>
      <c r="S344" s="308"/>
      <c r="T344" s="308"/>
      <c r="U344" s="308"/>
      <c r="V344" s="308"/>
      <c r="W344" s="308"/>
      <c r="X344" s="308"/>
      <c r="Y344" s="308"/>
      <c r="Z344" s="309"/>
      <c r="AA344" s="309"/>
      <c r="AB344" s="308"/>
      <c r="AC344" s="308"/>
    </row>
    <row r="345" hidden="1">
      <c r="A345" s="330">
        <v>45531.0</v>
      </c>
      <c r="B345" s="332" t="s">
        <v>2967</v>
      </c>
      <c r="C345" s="332"/>
      <c r="D345" s="332" t="s">
        <v>2907</v>
      </c>
      <c r="E345" s="332">
        <v>470.0</v>
      </c>
      <c r="F345" s="338"/>
      <c r="G345" s="319"/>
      <c r="H345" s="338"/>
      <c r="I345" s="308"/>
      <c r="J345" s="308"/>
      <c r="K345" s="308"/>
      <c r="L345" s="308"/>
      <c r="M345" s="308"/>
      <c r="N345" s="332">
        <v>470.0</v>
      </c>
      <c r="O345" s="308"/>
      <c r="P345" s="308"/>
      <c r="Q345" s="308"/>
      <c r="R345" s="308"/>
      <c r="S345" s="308"/>
      <c r="T345" s="308"/>
      <c r="U345" s="308"/>
      <c r="V345" s="308"/>
      <c r="W345" s="308"/>
      <c r="X345" s="308"/>
      <c r="Y345" s="308"/>
      <c r="Z345" s="309"/>
      <c r="AA345" s="309"/>
      <c r="AB345" s="308"/>
      <c r="AC345" s="308"/>
    </row>
    <row r="346" hidden="1">
      <c r="A346" s="330">
        <v>45533.0</v>
      </c>
      <c r="B346" s="332" t="s">
        <v>2968</v>
      </c>
      <c r="C346" s="332"/>
      <c r="D346" s="332" t="s">
        <v>2907</v>
      </c>
      <c r="E346" s="332">
        <v>134.0</v>
      </c>
      <c r="F346" s="338"/>
      <c r="G346" s="319"/>
      <c r="H346" s="338"/>
      <c r="I346" s="308"/>
      <c r="J346" s="308"/>
      <c r="K346" s="308"/>
      <c r="L346" s="308"/>
      <c r="M346" s="308"/>
      <c r="N346" s="332">
        <v>134.0</v>
      </c>
      <c r="O346" s="308"/>
      <c r="P346" s="308"/>
      <c r="Q346" s="308"/>
      <c r="R346" s="308"/>
      <c r="S346" s="308"/>
      <c r="T346" s="308"/>
      <c r="U346" s="308"/>
      <c r="V346" s="308"/>
      <c r="W346" s="308"/>
      <c r="X346" s="308"/>
      <c r="Y346" s="308"/>
      <c r="Z346" s="309"/>
      <c r="AA346" s="309"/>
      <c r="AB346" s="308"/>
      <c r="AC346" s="308"/>
    </row>
    <row r="347" hidden="1">
      <c r="A347" s="330">
        <v>45533.0</v>
      </c>
      <c r="B347" s="332" t="s">
        <v>2969</v>
      </c>
      <c r="C347" s="332"/>
      <c r="D347" s="332" t="s">
        <v>2907</v>
      </c>
      <c r="E347" s="332">
        <v>286.0</v>
      </c>
      <c r="F347" s="338"/>
      <c r="G347" s="319"/>
      <c r="H347" s="338"/>
      <c r="I347" s="308"/>
      <c r="J347" s="308"/>
      <c r="K347" s="308"/>
      <c r="L347" s="308"/>
      <c r="M347" s="308"/>
      <c r="N347" s="332">
        <v>286.0</v>
      </c>
      <c r="O347" s="308"/>
      <c r="P347" s="308"/>
      <c r="Q347" s="308"/>
      <c r="R347" s="308"/>
      <c r="S347" s="308"/>
      <c r="T347" s="308"/>
      <c r="U347" s="308"/>
      <c r="V347" s="308"/>
      <c r="W347" s="308"/>
      <c r="X347" s="308"/>
      <c r="Y347" s="308"/>
      <c r="Z347" s="309"/>
      <c r="AA347" s="309"/>
      <c r="AB347" s="308"/>
      <c r="AC347" s="308"/>
    </row>
    <row r="348" hidden="1">
      <c r="A348" s="330">
        <v>45533.0</v>
      </c>
      <c r="B348" s="332" t="s">
        <v>2970</v>
      </c>
      <c r="C348" s="332"/>
      <c r="D348" s="343" t="s">
        <v>2909</v>
      </c>
      <c r="E348" s="332">
        <v>180.0</v>
      </c>
      <c r="F348" s="338"/>
      <c r="G348" s="319"/>
      <c r="H348" s="338"/>
      <c r="I348" s="308"/>
      <c r="J348" s="308"/>
      <c r="K348" s="332">
        <v>180.0</v>
      </c>
      <c r="L348" s="308"/>
      <c r="M348" s="308"/>
      <c r="N348" s="308"/>
      <c r="O348" s="308"/>
      <c r="P348" s="308"/>
      <c r="Q348" s="308"/>
      <c r="R348" s="308"/>
      <c r="S348" s="308"/>
      <c r="T348" s="308"/>
      <c r="U348" s="308"/>
      <c r="V348" s="308"/>
      <c r="W348" s="308"/>
      <c r="X348" s="308"/>
      <c r="Y348" s="308"/>
      <c r="Z348" s="309"/>
      <c r="AA348" s="309"/>
      <c r="AB348" s="308"/>
      <c r="AC348" s="308"/>
    </row>
    <row r="349" hidden="1">
      <c r="A349" s="330">
        <v>45533.0</v>
      </c>
      <c r="B349" s="332" t="s">
        <v>2971</v>
      </c>
      <c r="C349" s="332"/>
      <c r="D349" s="332" t="s">
        <v>2907</v>
      </c>
      <c r="E349" s="332">
        <v>6000.0</v>
      </c>
      <c r="F349" s="338"/>
      <c r="G349" s="319"/>
      <c r="H349" s="338"/>
      <c r="I349" s="308"/>
      <c r="J349" s="308"/>
      <c r="K349" s="308"/>
      <c r="L349" s="308"/>
      <c r="M349" s="308"/>
      <c r="N349" s="332">
        <v>6000.0</v>
      </c>
      <c r="O349" s="308"/>
      <c r="P349" s="308"/>
      <c r="Q349" s="308"/>
      <c r="R349" s="308"/>
      <c r="S349" s="308"/>
      <c r="T349" s="308"/>
      <c r="U349" s="308"/>
      <c r="V349" s="308"/>
      <c r="W349" s="308"/>
      <c r="X349" s="308"/>
      <c r="Y349" s="308"/>
      <c r="Z349" s="309"/>
      <c r="AA349" s="309"/>
      <c r="AB349" s="308"/>
      <c r="AC349" s="308"/>
    </row>
    <row r="350" hidden="1">
      <c r="A350" s="330">
        <v>45533.0</v>
      </c>
      <c r="B350" s="332" t="s">
        <v>586</v>
      </c>
      <c r="C350" s="332"/>
      <c r="D350" s="332" t="s">
        <v>2907</v>
      </c>
      <c r="E350" s="332">
        <v>678.0</v>
      </c>
      <c r="F350" s="338"/>
      <c r="G350" s="319"/>
      <c r="H350" s="338"/>
      <c r="I350" s="308"/>
      <c r="J350" s="308"/>
      <c r="K350" s="308"/>
      <c r="L350" s="308"/>
      <c r="M350" s="308"/>
      <c r="N350" s="332">
        <v>678.0</v>
      </c>
      <c r="O350" s="308"/>
      <c r="P350" s="308"/>
      <c r="Q350" s="308"/>
      <c r="R350" s="308"/>
      <c r="S350" s="308"/>
      <c r="T350" s="308"/>
      <c r="U350" s="308"/>
      <c r="V350" s="308"/>
      <c r="W350" s="308"/>
      <c r="X350" s="308"/>
      <c r="Y350" s="308"/>
      <c r="Z350" s="309"/>
      <c r="AA350" s="309"/>
      <c r="AB350" s="308"/>
      <c r="AC350" s="308"/>
    </row>
    <row r="351" hidden="1">
      <c r="A351" s="330">
        <v>45533.0</v>
      </c>
      <c r="B351" s="332" t="s">
        <v>2972</v>
      </c>
      <c r="C351" s="332"/>
      <c r="D351" s="332" t="s">
        <v>2905</v>
      </c>
      <c r="E351" s="374"/>
      <c r="F351" s="338"/>
      <c r="G351" s="319"/>
      <c r="H351" s="338"/>
      <c r="I351" s="308"/>
      <c r="J351" s="308"/>
      <c r="K351" s="308"/>
      <c r="L351" s="308"/>
      <c r="M351" s="308"/>
      <c r="N351" s="308"/>
      <c r="O351" s="308"/>
      <c r="P351" s="308"/>
      <c r="Q351" s="308"/>
      <c r="R351" s="308"/>
      <c r="S351" s="308"/>
      <c r="T351" s="308"/>
      <c r="U351" s="308"/>
      <c r="V351" s="308"/>
      <c r="W351" s="308"/>
      <c r="X351" s="308"/>
      <c r="Y351" s="308"/>
      <c r="Z351" s="309"/>
      <c r="AA351" s="309"/>
      <c r="AB351" s="308"/>
      <c r="AC351" s="308"/>
    </row>
    <row r="352" hidden="1">
      <c r="A352" s="330">
        <v>45533.0</v>
      </c>
      <c r="B352" s="332" t="s">
        <v>2973</v>
      </c>
      <c r="C352" s="332"/>
      <c r="D352" s="332" t="s">
        <v>2925</v>
      </c>
      <c r="E352" s="332">
        <v>13000.0</v>
      </c>
      <c r="F352" s="338"/>
      <c r="G352" s="319"/>
      <c r="H352" s="338"/>
      <c r="I352" s="308"/>
      <c r="J352" s="308"/>
      <c r="K352" s="308"/>
      <c r="L352" s="308"/>
      <c r="M352" s="308"/>
      <c r="N352" s="308"/>
      <c r="O352" s="308"/>
      <c r="P352" s="308"/>
      <c r="Q352" s="308"/>
      <c r="R352" s="308"/>
      <c r="S352" s="332">
        <v>13000.0</v>
      </c>
      <c r="T352" s="308"/>
      <c r="U352" s="308"/>
      <c r="V352" s="308"/>
      <c r="W352" s="308"/>
      <c r="X352" s="308"/>
      <c r="Y352" s="308"/>
      <c r="Z352" s="309"/>
      <c r="AA352" s="309"/>
      <c r="AB352" s="308"/>
      <c r="AC352" s="308"/>
    </row>
    <row r="353" hidden="1">
      <c r="A353" s="330">
        <v>45533.0</v>
      </c>
      <c r="B353" s="332" t="s">
        <v>2974</v>
      </c>
      <c r="C353" s="332"/>
      <c r="D353" s="332" t="s">
        <v>2907</v>
      </c>
      <c r="E353" s="332">
        <v>3300.0</v>
      </c>
      <c r="F353" s="338"/>
      <c r="G353" s="319"/>
      <c r="H353" s="338"/>
      <c r="I353" s="308"/>
      <c r="J353" s="308"/>
      <c r="K353" s="308"/>
      <c r="L353" s="308"/>
      <c r="M353" s="308"/>
      <c r="N353" s="332">
        <v>3300.0</v>
      </c>
      <c r="O353" s="308"/>
      <c r="P353" s="308"/>
      <c r="Q353" s="308"/>
      <c r="R353" s="308"/>
      <c r="S353" s="308"/>
      <c r="T353" s="308"/>
      <c r="U353" s="308"/>
      <c r="V353" s="308"/>
      <c r="W353" s="308"/>
      <c r="X353" s="308"/>
      <c r="Y353" s="308"/>
      <c r="Z353" s="309"/>
      <c r="AA353" s="309"/>
      <c r="AB353" s="308"/>
      <c r="AC353" s="308"/>
    </row>
    <row r="354" hidden="1">
      <c r="A354" s="330">
        <v>45533.0</v>
      </c>
      <c r="B354" s="332" t="s">
        <v>2975</v>
      </c>
      <c r="C354" s="332"/>
      <c r="D354" s="332" t="s">
        <v>2907</v>
      </c>
      <c r="E354" s="332">
        <v>425.0</v>
      </c>
      <c r="F354" s="338"/>
      <c r="G354" s="319"/>
      <c r="H354" s="338"/>
      <c r="I354" s="308"/>
      <c r="J354" s="308"/>
      <c r="K354" s="308"/>
      <c r="L354" s="308"/>
      <c r="M354" s="308"/>
      <c r="N354" s="332">
        <v>425.0</v>
      </c>
      <c r="O354" s="308"/>
      <c r="P354" s="308"/>
      <c r="Q354" s="308"/>
      <c r="R354" s="308"/>
      <c r="S354" s="308"/>
      <c r="T354" s="308"/>
      <c r="U354" s="308"/>
      <c r="V354" s="308"/>
      <c r="W354" s="308"/>
      <c r="X354" s="308"/>
      <c r="Y354" s="308"/>
      <c r="Z354" s="309"/>
      <c r="AA354" s="309"/>
      <c r="AB354" s="308"/>
      <c r="AC354" s="308"/>
    </row>
    <row r="355" hidden="1">
      <c r="A355" s="330">
        <v>45534.0</v>
      </c>
      <c r="B355" s="332" t="s">
        <v>1116</v>
      </c>
      <c r="C355" s="332"/>
      <c r="D355" s="332" t="s">
        <v>2907</v>
      </c>
      <c r="E355" s="384">
        <v>1080.0</v>
      </c>
      <c r="F355" s="338"/>
      <c r="G355" s="319"/>
      <c r="H355" s="338"/>
      <c r="I355" s="308"/>
      <c r="J355" s="308"/>
      <c r="K355" s="308"/>
      <c r="L355" s="308"/>
      <c r="M355" s="308"/>
      <c r="N355" s="332">
        <v>1080.0</v>
      </c>
      <c r="O355" s="308"/>
      <c r="P355" s="308"/>
      <c r="Q355" s="308"/>
      <c r="R355" s="308"/>
      <c r="S355" s="308"/>
      <c r="T355" s="308"/>
      <c r="U355" s="308"/>
      <c r="V355" s="308"/>
      <c r="W355" s="308"/>
      <c r="X355" s="308"/>
      <c r="Y355" s="308"/>
      <c r="Z355" s="309"/>
      <c r="AA355" s="309"/>
      <c r="AB355" s="308"/>
      <c r="AC355" s="308"/>
    </row>
    <row r="356" hidden="1">
      <c r="A356" s="330">
        <v>45540.0</v>
      </c>
      <c r="B356" s="332" t="s">
        <v>272</v>
      </c>
      <c r="C356" s="332"/>
      <c r="D356" s="332" t="s">
        <v>2907</v>
      </c>
      <c r="E356" s="332">
        <v>949.0</v>
      </c>
      <c r="F356" s="338"/>
      <c r="G356" s="319"/>
      <c r="H356" s="338"/>
      <c r="I356" s="308"/>
      <c r="J356" s="308"/>
      <c r="K356" s="308"/>
      <c r="L356" s="308"/>
      <c r="M356" s="308"/>
      <c r="N356" s="332">
        <v>949.0</v>
      </c>
      <c r="O356" s="308"/>
      <c r="P356" s="308"/>
      <c r="Q356" s="308"/>
      <c r="R356" s="308"/>
      <c r="S356" s="308"/>
      <c r="T356" s="308"/>
      <c r="U356" s="308"/>
      <c r="V356" s="308"/>
      <c r="W356" s="308"/>
      <c r="X356" s="308"/>
      <c r="Y356" s="308"/>
      <c r="Z356" s="309"/>
      <c r="AA356" s="309"/>
      <c r="AB356" s="308"/>
      <c r="AC356" s="308"/>
    </row>
    <row r="357" hidden="1">
      <c r="A357" s="330">
        <v>45540.0</v>
      </c>
      <c r="B357" s="332" t="s">
        <v>2976</v>
      </c>
      <c r="C357" s="332"/>
      <c r="D357" s="332" t="s">
        <v>2905</v>
      </c>
      <c r="E357" s="308"/>
      <c r="F357" s="338"/>
      <c r="G357" s="319"/>
      <c r="H357" s="338"/>
      <c r="I357" s="308"/>
      <c r="J357" s="308"/>
      <c r="K357" s="308"/>
      <c r="L357" s="308"/>
      <c r="M357" s="308"/>
      <c r="N357" s="332"/>
      <c r="O357" s="308"/>
      <c r="P357" s="308"/>
      <c r="Q357" s="308"/>
      <c r="R357" s="308"/>
      <c r="S357" s="308"/>
      <c r="T357" s="308"/>
      <c r="U357" s="308"/>
      <c r="V357" s="308"/>
      <c r="W357" s="308"/>
      <c r="X357" s="308"/>
      <c r="Y357" s="308"/>
      <c r="Z357" s="309"/>
      <c r="AA357" s="309"/>
      <c r="AB357" s="308"/>
      <c r="AC357" s="308"/>
    </row>
    <row r="358" hidden="1">
      <c r="A358" s="330">
        <v>45540.0</v>
      </c>
      <c r="B358" s="332" t="s">
        <v>2977</v>
      </c>
      <c r="C358" s="332"/>
      <c r="D358" s="332" t="s">
        <v>2905</v>
      </c>
      <c r="E358" s="308"/>
      <c r="F358" s="338"/>
      <c r="G358" s="319"/>
      <c r="H358" s="338"/>
      <c r="I358" s="308"/>
      <c r="J358" s="308"/>
      <c r="K358" s="308"/>
      <c r="L358" s="308"/>
      <c r="M358" s="308"/>
      <c r="N358" s="332"/>
      <c r="O358" s="308"/>
      <c r="P358" s="308"/>
      <c r="Q358" s="308"/>
      <c r="R358" s="308"/>
      <c r="S358" s="308"/>
      <c r="T358" s="308"/>
      <c r="U358" s="308"/>
      <c r="V358" s="308"/>
      <c r="W358" s="308"/>
      <c r="X358" s="308"/>
      <c r="Y358" s="308"/>
      <c r="Z358" s="309"/>
      <c r="AA358" s="309"/>
      <c r="AB358" s="308"/>
      <c r="AC358" s="308"/>
    </row>
    <row r="359" hidden="1">
      <c r="A359" s="330">
        <v>45540.0</v>
      </c>
      <c r="B359" s="332" t="s">
        <v>2978</v>
      </c>
      <c r="C359" s="332"/>
      <c r="D359" s="332" t="s">
        <v>2907</v>
      </c>
      <c r="E359" s="332">
        <v>350.0</v>
      </c>
      <c r="F359" s="338"/>
      <c r="G359" s="319"/>
      <c r="H359" s="338"/>
      <c r="I359" s="308"/>
      <c r="J359" s="308"/>
      <c r="K359" s="308"/>
      <c r="L359" s="308"/>
      <c r="M359" s="308"/>
      <c r="N359" s="332">
        <v>350.0</v>
      </c>
      <c r="O359" s="308"/>
      <c r="P359" s="308"/>
      <c r="Q359" s="308"/>
      <c r="R359" s="308"/>
      <c r="S359" s="308"/>
      <c r="T359" s="308"/>
      <c r="U359" s="308"/>
      <c r="V359" s="308"/>
      <c r="W359" s="308"/>
      <c r="X359" s="308"/>
      <c r="Y359" s="308"/>
      <c r="Z359" s="309"/>
      <c r="AA359" s="309"/>
      <c r="AB359" s="308"/>
      <c r="AC359" s="308"/>
    </row>
    <row r="360" hidden="1">
      <c r="A360" s="330">
        <v>45540.0</v>
      </c>
      <c r="B360" s="332" t="s">
        <v>2979</v>
      </c>
      <c r="C360" s="332"/>
      <c r="D360" s="332" t="s">
        <v>2907</v>
      </c>
      <c r="E360" s="332">
        <v>15000.0</v>
      </c>
      <c r="F360" s="338"/>
      <c r="G360" s="319"/>
      <c r="H360" s="338"/>
      <c r="I360" s="308"/>
      <c r="J360" s="308"/>
      <c r="K360" s="308"/>
      <c r="L360" s="308"/>
      <c r="M360" s="308"/>
      <c r="N360" s="332">
        <v>15000.0</v>
      </c>
      <c r="O360" s="308"/>
      <c r="P360" s="308"/>
      <c r="Q360" s="308"/>
      <c r="R360" s="308"/>
      <c r="S360" s="308"/>
      <c r="T360" s="308"/>
      <c r="U360" s="308"/>
      <c r="V360" s="308"/>
      <c r="W360" s="308"/>
      <c r="X360" s="308"/>
      <c r="Y360" s="308"/>
      <c r="Z360" s="309"/>
      <c r="AA360" s="309"/>
      <c r="AB360" s="308"/>
      <c r="AC360" s="308"/>
    </row>
    <row r="361" hidden="1">
      <c r="A361" s="330">
        <v>45540.0</v>
      </c>
      <c r="B361" s="332" t="s">
        <v>2980</v>
      </c>
      <c r="C361" s="332"/>
      <c r="D361" s="332" t="s">
        <v>2907</v>
      </c>
      <c r="E361" s="332">
        <v>15000.0</v>
      </c>
      <c r="F361" s="338"/>
      <c r="G361" s="319"/>
      <c r="H361" s="338"/>
      <c r="I361" s="308"/>
      <c r="J361" s="308"/>
      <c r="K361" s="308"/>
      <c r="L361" s="308"/>
      <c r="M361" s="308"/>
      <c r="N361" s="332">
        <v>15000.0</v>
      </c>
      <c r="O361" s="308"/>
      <c r="P361" s="308"/>
      <c r="Q361" s="308"/>
      <c r="R361" s="308"/>
      <c r="S361" s="308"/>
      <c r="T361" s="308"/>
      <c r="U361" s="308"/>
      <c r="V361" s="308"/>
      <c r="W361" s="308"/>
      <c r="X361" s="308"/>
      <c r="Y361" s="308"/>
      <c r="Z361" s="309"/>
      <c r="AA361" s="309"/>
      <c r="AB361" s="308"/>
      <c r="AC361" s="308"/>
    </row>
    <row r="362" hidden="1">
      <c r="A362" s="330">
        <v>45540.0</v>
      </c>
      <c r="B362" s="332" t="s">
        <v>2981</v>
      </c>
      <c r="C362" s="332"/>
      <c r="D362" s="332" t="s">
        <v>2907</v>
      </c>
      <c r="E362" s="332">
        <v>10000.0</v>
      </c>
      <c r="F362" s="338"/>
      <c r="G362" s="319"/>
      <c r="H362" s="338"/>
      <c r="I362" s="308"/>
      <c r="J362" s="308"/>
      <c r="K362" s="308"/>
      <c r="L362" s="308"/>
      <c r="M362" s="308"/>
      <c r="N362" s="332">
        <v>10000.0</v>
      </c>
      <c r="O362" s="308"/>
      <c r="P362" s="308"/>
      <c r="Q362" s="308"/>
      <c r="R362" s="308"/>
      <c r="S362" s="308"/>
      <c r="T362" s="308"/>
      <c r="U362" s="308"/>
      <c r="V362" s="308"/>
      <c r="W362" s="308"/>
      <c r="X362" s="308"/>
      <c r="Y362" s="308"/>
      <c r="Z362" s="309"/>
      <c r="AA362" s="309"/>
      <c r="AB362" s="308"/>
      <c r="AC362" s="308"/>
    </row>
    <row r="363" hidden="1">
      <c r="A363" s="330">
        <v>45541.0</v>
      </c>
      <c r="B363" s="332" t="s">
        <v>240</v>
      </c>
      <c r="C363" s="332"/>
      <c r="D363" s="332" t="s">
        <v>2907</v>
      </c>
      <c r="E363" s="332">
        <v>75.0</v>
      </c>
      <c r="F363" s="338"/>
      <c r="G363" s="319"/>
      <c r="H363" s="338"/>
      <c r="I363" s="308"/>
      <c r="J363" s="308"/>
      <c r="K363" s="308"/>
      <c r="L363" s="308"/>
      <c r="M363" s="308"/>
      <c r="N363" s="332">
        <v>75.0</v>
      </c>
      <c r="O363" s="308"/>
      <c r="P363" s="308"/>
      <c r="Q363" s="308"/>
      <c r="R363" s="308"/>
      <c r="S363" s="308"/>
      <c r="T363" s="308"/>
      <c r="U363" s="308"/>
      <c r="V363" s="308"/>
      <c r="W363" s="308"/>
      <c r="X363" s="308"/>
      <c r="Y363" s="308"/>
      <c r="Z363" s="309"/>
      <c r="AA363" s="309"/>
      <c r="AB363" s="308"/>
      <c r="AC363" s="308"/>
    </row>
    <row r="364" hidden="1">
      <c r="A364" s="330">
        <v>45541.0</v>
      </c>
      <c r="B364" s="332" t="s">
        <v>2982</v>
      </c>
      <c r="C364" s="332"/>
      <c r="D364" s="332" t="s">
        <v>2907</v>
      </c>
      <c r="E364" s="332">
        <v>295.0</v>
      </c>
      <c r="F364" s="338"/>
      <c r="G364" s="319"/>
      <c r="H364" s="338"/>
      <c r="I364" s="308"/>
      <c r="J364" s="308"/>
      <c r="K364" s="308"/>
      <c r="L364" s="308"/>
      <c r="M364" s="308"/>
      <c r="N364" s="332">
        <v>295.0</v>
      </c>
      <c r="O364" s="308"/>
      <c r="P364" s="308"/>
      <c r="Q364" s="308"/>
      <c r="R364" s="308"/>
      <c r="S364" s="308"/>
      <c r="T364" s="308"/>
      <c r="U364" s="308"/>
      <c r="V364" s="308"/>
      <c r="W364" s="308"/>
      <c r="X364" s="308"/>
      <c r="Y364" s="308"/>
      <c r="Z364" s="309"/>
      <c r="AA364" s="309"/>
      <c r="AB364" s="308"/>
      <c r="AC364" s="308"/>
    </row>
    <row r="365" hidden="1">
      <c r="A365" s="330">
        <v>45541.0</v>
      </c>
      <c r="B365" s="332" t="s">
        <v>2983</v>
      </c>
      <c r="C365" s="332"/>
      <c r="D365" s="332" t="s">
        <v>2907</v>
      </c>
      <c r="E365" s="332">
        <v>400.0</v>
      </c>
      <c r="F365" s="338"/>
      <c r="G365" s="319"/>
      <c r="H365" s="338"/>
      <c r="I365" s="308"/>
      <c r="J365" s="308"/>
      <c r="K365" s="308"/>
      <c r="L365" s="308"/>
      <c r="M365" s="308"/>
      <c r="N365" s="332">
        <v>400.0</v>
      </c>
      <c r="O365" s="308"/>
      <c r="P365" s="308"/>
      <c r="Q365" s="308"/>
      <c r="R365" s="308"/>
      <c r="S365" s="308"/>
      <c r="T365" s="308"/>
      <c r="U365" s="308"/>
      <c r="V365" s="308"/>
      <c r="W365" s="308"/>
      <c r="X365" s="308"/>
      <c r="Y365" s="308"/>
      <c r="Z365" s="309"/>
      <c r="AA365" s="309"/>
      <c r="AB365" s="308"/>
      <c r="AC365" s="308"/>
    </row>
    <row r="366" hidden="1">
      <c r="A366" s="330">
        <v>45541.0</v>
      </c>
      <c r="B366" s="332" t="s">
        <v>2984</v>
      </c>
      <c r="C366" s="332"/>
      <c r="D366" s="332" t="s">
        <v>2907</v>
      </c>
      <c r="E366" s="332">
        <v>670.96</v>
      </c>
      <c r="F366" s="338"/>
      <c r="G366" s="319"/>
      <c r="H366" s="338"/>
      <c r="I366" s="308"/>
      <c r="J366" s="308"/>
      <c r="K366" s="308"/>
      <c r="L366" s="308"/>
      <c r="M366" s="308"/>
      <c r="N366" s="384">
        <v>670.96</v>
      </c>
      <c r="O366" s="308"/>
      <c r="P366" s="308"/>
      <c r="Q366" s="308"/>
      <c r="R366" s="308"/>
      <c r="S366" s="308"/>
      <c r="T366" s="308"/>
      <c r="U366" s="308"/>
      <c r="V366" s="308"/>
      <c r="W366" s="308"/>
      <c r="X366" s="308"/>
      <c r="Y366" s="308"/>
      <c r="Z366" s="309"/>
      <c r="AA366" s="309"/>
      <c r="AB366" s="308"/>
      <c r="AC366" s="308"/>
    </row>
    <row r="367" hidden="1">
      <c r="A367" s="330">
        <v>45541.0</v>
      </c>
      <c r="B367" s="332" t="s">
        <v>2985</v>
      </c>
      <c r="C367" s="332"/>
      <c r="D367" s="332" t="s">
        <v>2907</v>
      </c>
      <c r="E367" s="332">
        <v>160.0</v>
      </c>
      <c r="F367" s="338"/>
      <c r="G367" s="319"/>
      <c r="H367" s="338"/>
      <c r="I367" s="308"/>
      <c r="J367" s="308"/>
      <c r="K367" s="308"/>
      <c r="L367" s="308"/>
      <c r="M367" s="308"/>
      <c r="N367" s="384">
        <v>160.0</v>
      </c>
      <c r="O367" s="308"/>
      <c r="P367" s="308"/>
      <c r="Q367" s="308"/>
      <c r="R367" s="308"/>
      <c r="S367" s="308"/>
      <c r="T367" s="308"/>
      <c r="U367" s="308"/>
      <c r="V367" s="308"/>
      <c r="W367" s="308"/>
      <c r="X367" s="308"/>
      <c r="Y367" s="308"/>
      <c r="Z367" s="309"/>
      <c r="AA367" s="309"/>
      <c r="AB367" s="308"/>
      <c r="AC367" s="308"/>
    </row>
    <row r="368" hidden="1">
      <c r="A368" s="330">
        <v>45545.0</v>
      </c>
      <c r="B368" s="332" t="s">
        <v>2986</v>
      </c>
      <c r="C368" s="332"/>
      <c r="D368" s="332" t="s">
        <v>2907</v>
      </c>
      <c r="E368" s="332">
        <v>3000.0</v>
      </c>
      <c r="F368" s="338"/>
      <c r="G368" s="319"/>
      <c r="H368" s="338"/>
      <c r="I368" s="308"/>
      <c r="J368" s="308"/>
      <c r="K368" s="308"/>
      <c r="L368" s="308"/>
      <c r="M368" s="308"/>
      <c r="N368" s="384">
        <v>3000.0</v>
      </c>
      <c r="O368" s="308"/>
      <c r="P368" s="308"/>
      <c r="Q368" s="308"/>
      <c r="R368" s="308"/>
      <c r="S368" s="308"/>
      <c r="T368" s="308"/>
      <c r="U368" s="308"/>
      <c r="V368" s="308"/>
      <c r="W368" s="308"/>
      <c r="X368" s="308"/>
      <c r="Y368" s="308"/>
      <c r="Z368" s="309"/>
      <c r="AA368" s="309"/>
      <c r="AB368" s="308"/>
      <c r="AC368" s="308"/>
    </row>
    <row r="369" hidden="1">
      <c r="A369" s="330">
        <v>45545.0</v>
      </c>
      <c r="B369" s="332" t="s">
        <v>2987</v>
      </c>
      <c r="C369" s="332"/>
      <c r="D369" s="332" t="s">
        <v>2907</v>
      </c>
      <c r="E369" s="332">
        <v>525.0</v>
      </c>
      <c r="F369" s="338"/>
      <c r="G369" s="319"/>
      <c r="H369" s="338"/>
      <c r="I369" s="308"/>
      <c r="J369" s="308"/>
      <c r="K369" s="308"/>
      <c r="L369" s="308"/>
      <c r="M369" s="308"/>
      <c r="N369" s="384">
        <v>525.0</v>
      </c>
      <c r="O369" s="308"/>
      <c r="P369" s="308"/>
      <c r="Q369" s="308"/>
      <c r="R369" s="308"/>
      <c r="S369" s="308"/>
      <c r="T369" s="308"/>
      <c r="U369" s="308"/>
      <c r="V369" s="308"/>
      <c r="W369" s="308"/>
      <c r="X369" s="308"/>
      <c r="Y369" s="308"/>
      <c r="Z369" s="309"/>
      <c r="AA369" s="309"/>
      <c r="AB369" s="308"/>
      <c r="AC369" s="308"/>
    </row>
    <row r="370" hidden="1">
      <c r="A370" s="330">
        <v>45545.0</v>
      </c>
      <c r="B370" s="332" t="s">
        <v>2988</v>
      </c>
      <c r="C370" s="332"/>
      <c r="D370" s="332" t="s">
        <v>2907</v>
      </c>
      <c r="E370" s="332">
        <v>1500.0</v>
      </c>
      <c r="F370" s="338"/>
      <c r="G370" s="319"/>
      <c r="H370" s="338"/>
      <c r="I370" s="308"/>
      <c r="J370" s="308"/>
      <c r="K370" s="308"/>
      <c r="L370" s="308"/>
      <c r="M370" s="308"/>
      <c r="N370" s="384">
        <v>1500.0</v>
      </c>
      <c r="O370" s="308"/>
      <c r="P370" s="308"/>
      <c r="Q370" s="308"/>
      <c r="R370" s="308"/>
      <c r="S370" s="308"/>
      <c r="T370" s="308"/>
      <c r="U370" s="308"/>
      <c r="V370" s="308"/>
      <c r="W370" s="308"/>
      <c r="X370" s="308"/>
      <c r="Y370" s="308"/>
      <c r="Z370" s="309"/>
      <c r="AA370" s="309"/>
      <c r="AB370" s="308"/>
      <c r="AC370" s="308"/>
    </row>
    <row r="371" hidden="1">
      <c r="A371" s="330">
        <v>45545.0</v>
      </c>
      <c r="B371" s="332" t="s">
        <v>2989</v>
      </c>
      <c r="C371" s="332"/>
      <c r="D371" s="332" t="s">
        <v>2905</v>
      </c>
      <c r="E371" s="332">
        <v>1000.0</v>
      </c>
      <c r="F371" s="338"/>
      <c r="G371" s="319"/>
      <c r="H371" s="338"/>
      <c r="I371" s="308"/>
      <c r="J371" s="308"/>
      <c r="K371" s="308"/>
      <c r="L371" s="308"/>
      <c r="M371" s="308"/>
      <c r="N371" s="384"/>
      <c r="O371" s="384">
        <v>1000.0</v>
      </c>
      <c r="P371" s="308"/>
      <c r="Q371" s="308"/>
      <c r="R371" s="308"/>
      <c r="S371" s="308"/>
      <c r="T371" s="308"/>
      <c r="U371" s="308"/>
      <c r="V371" s="308"/>
      <c r="W371" s="308"/>
      <c r="X371" s="308"/>
      <c r="Y371" s="308"/>
      <c r="Z371" s="309"/>
      <c r="AA371" s="309"/>
      <c r="AB371" s="308"/>
      <c r="AC371" s="308"/>
    </row>
    <row r="372" hidden="1">
      <c r="A372" s="330">
        <v>45545.0</v>
      </c>
      <c r="B372" s="332" t="s">
        <v>2990</v>
      </c>
      <c r="C372" s="332"/>
      <c r="D372" s="332" t="s">
        <v>2907</v>
      </c>
      <c r="E372" s="332">
        <v>100.0</v>
      </c>
      <c r="F372" s="338"/>
      <c r="G372" s="319"/>
      <c r="H372" s="338"/>
      <c r="I372" s="308"/>
      <c r="J372" s="308"/>
      <c r="K372" s="308"/>
      <c r="L372" s="308"/>
      <c r="M372" s="308"/>
      <c r="N372" s="384">
        <v>100.0</v>
      </c>
      <c r="O372" s="308"/>
      <c r="P372" s="308"/>
      <c r="Q372" s="308"/>
      <c r="R372" s="308"/>
      <c r="S372" s="308"/>
      <c r="T372" s="308"/>
      <c r="U372" s="308"/>
      <c r="V372" s="308"/>
      <c r="W372" s="308"/>
      <c r="X372" s="308"/>
      <c r="Y372" s="308"/>
      <c r="Z372" s="309"/>
      <c r="AA372" s="309"/>
      <c r="AB372" s="308"/>
      <c r="AC372" s="308"/>
    </row>
    <row r="373" hidden="1">
      <c r="A373" s="330">
        <v>45545.0</v>
      </c>
      <c r="B373" s="332" t="s">
        <v>2991</v>
      </c>
      <c r="C373" s="332"/>
      <c r="D373" s="332" t="s">
        <v>2907</v>
      </c>
      <c r="E373" s="332">
        <v>3000.0</v>
      </c>
      <c r="F373" s="338"/>
      <c r="G373" s="319"/>
      <c r="H373" s="338"/>
      <c r="I373" s="308"/>
      <c r="J373" s="308"/>
      <c r="K373" s="308"/>
      <c r="L373" s="308"/>
      <c r="M373" s="308"/>
      <c r="N373" s="384">
        <v>3000.0</v>
      </c>
      <c r="O373" s="308"/>
      <c r="P373" s="308"/>
      <c r="Q373" s="308"/>
      <c r="R373" s="308"/>
      <c r="S373" s="308"/>
      <c r="T373" s="308"/>
      <c r="U373" s="308"/>
      <c r="V373" s="308"/>
      <c r="W373" s="308"/>
      <c r="X373" s="308"/>
      <c r="Y373" s="308"/>
      <c r="Z373" s="309"/>
      <c r="AA373" s="309"/>
      <c r="AB373" s="308"/>
      <c r="AC373" s="308"/>
    </row>
    <row r="374" hidden="1">
      <c r="A374" s="330">
        <v>45545.0</v>
      </c>
      <c r="B374" s="332" t="s">
        <v>2992</v>
      </c>
      <c r="C374" s="332"/>
      <c r="D374" s="332" t="s">
        <v>2907</v>
      </c>
      <c r="E374" s="332">
        <v>3000.0</v>
      </c>
      <c r="F374" s="338"/>
      <c r="G374" s="319"/>
      <c r="H374" s="338"/>
      <c r="I374" s="308"/>
      <c r="J374" s="308"/>
      <c r="K374" s="308"/>
      <c r="L374" s="308"/>
      <c r="M374" s="308"/>
      <c r="N374" s="384">
        <v>3000.0</v>
      </c>
      <c r="O374" s="308"/>
      <c r="P374" s="308"/>
      <c r="Q374" s="308"/>
      <c r="R374" s="308"/>
      <c r="S374" s="308"/>
      <c r="T374" s="308"/>
      <c r="U374" s="308"/>
      <c r="V374" s="308"/>
      <c r="W374" s="308"/>
      <c r="X374" s="308"/>
      <c r="Y374" s="308"/>
      <c r="Z374" s="309"/>
      <c r="AA374" s="309"/>
      <c r="AB374" s="308"/>
      <c r="AC374" s="308"/>
    </row>
    <row r="375" hidden="1">
      <c r="A375" s="330">
        <v>45545.0</v>
      </c>
      <c r="B375" s="332" t="s">
        <v>2993</v>
      </c>
      <c r="C375" s="332"/>
      <c r="D375" s="332" t="s">
        <v>2907</v>
      </c>
      <c r="E375" s="332">
        <v>450.0</v>
      </c>
      <c r="F375" s="338"/>
      <c r="G375" s="319"/>
      <c r="H375" s="338"/>
      <c r="I375" s="308"/>
      <c r="J375" s="308"/>
      <c r="K375" s="308"/>
      <c r="L375" s="308"/>
      <c r="M375" s="308"/>
      <c r="N375" s="384">
        <v>450.0</v>
      </c>
      <c r="O375" s="308"/>
      <c r="P375" s="308"/>
      <c r="Q375" s="308"/>
      <c r="R375" s="308"/>
      <c r="S375" s="308"/>
      <c r="T375" s="308"/>
      <c r="U375" s="308"/>
      <c r="V375" s="308"/>
      <c r="W375" s="308"/>
      <c r="X375" s="308"/>
      <c r="Y375" s="308"/>
      <c r="Z375" s="309"/>
      <c r="AA375" s="309"/>
      <c r="AB375" s="308"/>
      <c r="AC375" s="308"/>
    </row>
    <row r="376" hidden="1">
      <c r="A376" s="330">
        <v>45546.0</v>
      </c>
      <c r="B376" s="332" t="s">
        <v>374</v>
      </c>
      <c r="C376" s="332"/>
      <c r="D376" s="332" t="s">
        <v>2907</v>
      </c>
      <c r="E376" s="332">
        <v>260.0</v>
      </c>
      <c r="F376" s="338"/>
      <c r="G376" s="319"/>
      <c r="H376" s="338"/>
      <c r="I376" s="308"/>
      <c r="J376" s="308"/>
      <c r="K376" s="308"/>
      <c r="L376" s="308"/>
      <c r="M376" s="308"/>
      <c r="N376" s="332">
        <v>260.0</v>
      </c>
      <c r="O376" s="308"/>
      <c r="P376" s="308"/>
      <c r="Q376" s="308"/>
      <c r="R376" s="308"/>
      <c r="S376" s="308"/>
      <c r="T376" s="308"/>
      <c r="U376" s="308"/>
      <c r="V376" s="308"/>
      <c r="W376" s="308"/>
      <c r="X376" s="308"/>
      <c r="Y376" s="308"/>
      <c r="Z376" s="309"/>
      <c r="AA376" s="309"/>
      <c r="AB376" s="308"/>
      <c r="AC376" s="308"/>
    </row>
    <row r="377" hidden="1">
      <c r="A377" s="330">
        <v>45546.0</v>
      </c>
      <c r="B377" s="332" t="s">
        <v>374</v>
      </c>
      <c r="C377" s="332"/>
      <c r="D377" s="332" t="s">
        <v>2907</v>
      </c>
      <c r="E377" s="332">
        <v>85.0</v>
      </c>
      <c r="F377" s="338"/>
      <c r="G377" s="319"/>
      <c r="H377" s="338"/>
      <c r="I377" s="308"/>
      <c r="J377" s="308"/>
      <c r="K377" s="308"/>
      <c r="L377" s="308"/>
      <c r="M377" s="308"/>
      <c r="N377" s="332">
        <v>85.0</v>
      </c>
      <c r="O377" s="308"/>
      <c r="P377" s="308"/>
      <c r="Q377" s="308"/>
      <c r="R377" s="308"/>
      <c r="S377" s="308"/>
      <c r="T377" s="308"/>
      <c r="U377" s="308"/>
      <c r="V377" s="308"/>
      <c r="W377" s="308"/>
      <c r="X377" s="308"/>
      <c r="Y377" s="308"/>
      <c r="Z377" s="309"/>
      <c r="AA377" s="309"/>
      <c r="AB377" s="308"/>
      <c r="AC377" s="308"/>
    </row>
    <row r="378" hidden="1">
      <c r="A378" s="330">
        <v>45546.0</v>
      </c>
      <c r="B378" s="332" t="s">
        <v>374</v>
      </c>
      <c r="C378" s="332"/>
      <c r="D378" s="332" t="s">
        <v>2907</v>
      </c>
      <c r="E378" s="332">
        <v>419.0</v>
      </c>
      <c r="F378" s="338"/>
      <c r="G378" s="319"/>
      <c r="H378" s="338"/>
      <c r="I378" s="308"/>
      <c r="J378" s="308"/>
      <c r="K378" s="308"/>
      <c r="L378" s="308"/>
      <c r="M378" s="308"/>
      <c r="N378" s="332">
        <v>419.0</v>
      </c>
      <c r="O378" s="308"/>
      <c r="P378" s="308"/>
      <c r="Q378" s="308"/>
      <c r="R378" s="308"/>
      <c r="S378" s="308"/>
      <c r="T378" s="308"/>
      <c r="U378" s="308"/>
      <c r="V378" s="308"/>
      <c r="W378" s="308"/>
      <c r="X378" s="308"/>
      <c r="Y378" s="308"/>
      <c r="Z378" s="309"/>
      <c r="AA378" s="309"/>
      <c r="AB378" s="308"/>
      <c r="AC378" s="308"/>
    </row>
    <row r="379" hidden="1">
      <c r="A379" s="330">
        <v>45546.0</v>
      </c>
      <c r="B379" s="332" t="s">
        <v>2994</v>
      </c>
      <c r="C379" s="332"/>
      <c r="D379" s="332" t="s">
        <v>2905</v>
      </c>
      <c r="E379" s="332">
        <v>1000.0</v>
      </c>
      <c r="F379" s="338"/>
      <c r="G379" s="319"/>
      <c r="H379" s="338"/>
      <c r="I379" s="308"/>
      <c r="J379" s="308"/>
      <c r="K379" s="308"/>
      <c r="L379" s="308"/>
      <c r="M379" s="308"/>
      <c r="N379" s="308"/>
      <c r="O379" s="332">
        <v>1000.0</v>
      </c>
      <c r="P379" s="308"/>
      <c r="Q379" s="308"/>
      <c r="R379" s="308"/>
      <c r="S379" s="308"/>
      <c r="T379" s="308"/>
      <c r="U379" s="308"/>
      <c r="V379" s="308"/>
      <c r="W379" s="308"/>
      <c r="X379" s="308"/>
      <c r="Y379" s="308"/>
      <c r="Z379" s="309"/>
      <c r="AA379" s="309"/>
      <c r="AB379" s="308"/>
      <c r="AC379" s="308"/>
    </row>
    <row r="380" hidden="1">
      <c r="A380" s="330">
        <v>45546.0</v>
      </c>
      <c r="B380" s="332" t="s">
        <v>2995</v>
      </c>
      <c r="C380" s="332"/>
      <c r="D380" s="332" t="s">
        <v>2907</v>
      </c>
      <c r="E380" s="332">
        <v>3000.0</v>
      </c>
      <c r="F380" s="338"/>
      <c r="G380" s="319"/>
      <c r="H380" s="338"/>
      <c r="I380" s="308"/>
      <c r="J380" s="308"/>
      <c r="K380" s="308"/>
      <c r="L380" s="308"/>
      <c r="M380" s="308"/>
      <c r="N380" s="332">
        <v>3000.0</v>
      </c>
      <c r="O380" s="308"/>
      <c r="P380" s="308"/>
      <c r="Q380" s="308"/>
      <c r="R380" s="308"/>
      <c r="S380" s="308"/>
      <c r="T380" s="308"/>
      <c r="U380" s="308"/>
      <c r="V380" s="308"/>
      <c r="W380" s="308"/>
      <c r="X380" s="308"/>
      <c r="Y380" s="308"/>
      <c r="Z380" s="309"/>
      <c r="AA380" s="309"/>
      <c r="AB380" s="308"/>
      <c r="AC380" s="308"/>
    </row>
    <row r="381" hidden="1">
      <c r="A381" s="330">
        <v>45546.0</v>
      </c>
      <c r="B381" s="332" t="s">
        <v>2996</v>
      </c>
      <c r="C381" s="332"/>
      <c r="D381" s="332" t="s">
        <v>2914</v>
      </c>
      <c r="E381" s="368"/>
      <c r="F381" s="338"/>
      <c r="G381" s="319"/>
      <c r="H381" s="338"/>
      <c r="I381" s="308"/>
      <c r="J381" s="308"/>
      <c r="K381" s="308"/>
      <c r="L381" s="308"/>
      <c r="M381" s="308"/>
      <c r="N381" s="332">
        <v>3500.0</v>
      </c>
      <c r="O381" s="308"/>
      <c r="P381" s="308"/>
      <c r="Q381" s="308"/>
      <c r="R381" s="308"/>
      <c r="S381" s="308"/>
      <c r="T381" s="308"/>
      <c r="U381" s="308"/>
      <c r="V381" s="308"/>
      <c r="W381" s="308"/>
      <c r="X381" s="308"/>
      <c r="Y381" s="308"/>
      <c r="Z381" s="309"/>
      <c r="AA381" s="309"/>
      <c r="AB381" s="308"/>
      <c r="AC381" s="308"/>
    </row>
    <row r="382" hidden="1">
      <c r="A382" s="330">
        <v>45546.0</v>
      </c>
      <c r="B382" s="332" t="s">
        <v>2997</v>
      </c>
      <c r="C382" s="332"/>
      <c r="D382" s="332" t="s">
        <v>2907</v>
      </c>
      <c r="E382" s="332">
        <v>175.0</v>
      </c>
      <c r="F382" s="338"/>
      <c r="G382" s="319"/>
      <c r="H382" s="338"/>
      <c r="I382" s="308"/>
      <c r="J382" s="308"/>
      <c r="K382" s="308"/>
      <c r="L382" s="308"/>
      <c r="M382" s="308"/>
      <c r="N382" s="332">
        <v>175.0</v>
      </c>
      <c r="O382" s="308"/>
      <c r="P382" s="308"/>
      <c r="Q382" s="308"/>
      <c r="R382" s="308"/>
      <c r="S382" s="308"/>
      <c r="T382" s="308"/>
      <c r="U382" s="308"/>
      <c r="V382" s="308"/>
      <c r="W382" s="308"/>
      <c r="X382" s="308"/>
      <c r="Y382" s="308"/>
      <c r="Z382" s="309"/>
      <c r="AA382" s="309"/>
      <c r="AB382" s="308"/>
      <c r="AC382" s="308"/>
    </row>
    <row r="383" hidden="1">
      <c r="A383" s="330">
        <v>45546.0</v>
      </c>
      <c r="B383" s="332" t="s">
        <v>2998</v>
      </c>
      <c r="C383" s="332"/>
      <c r="D383" s="332" t="s">
        <v>2907</v>
      </c>
      <c r="E383" s="332">
        <v>1147.48</v>
      </c>
      <c r="F383" s="338"/>
      <c r="G383" s="319"/>
      <c r="H383" s="338"/>
      <c r="I383" s="308"/>
      <c r="J383" s="308"/>
      <c r="K383" s="308"/>
      <c r="L383" s="308"/>
      <c r="M383" s="308"/>
      <c r="N383" s="332">
        <v>1147.48</v>
      </c>
      <c r="O383" s="308"/>
      <c r="P383" s="308"/>
      <c r="Q383" s="308"/>
      <c r="R383" s="308"/>
      <c r="S383" s="308"/>
      <c r="T383" s="308"/>
      <c r="U383" s="308"/>
      <c r="V383" s="308"/>
      <c r="W383" s="308"/>
      <c r="X383" s="308"/>
      <c r="Y383" s="308"/>
      <c r="Z383" s="309"/>
      <c r="AA383" s="309"/>
      <c r="AB383" s="308"/>
      <c r="AC383" s="308"/>
    </row>
    <row r="384" hidden="1">
      <c r="A384" s="330">
        <v>45551.0</v>
      </c>
      <c r="B384" s="332" t="s">
        <v>1224</v>
      </c>
      <c r="C384" s="332"/>
      <c r="D384" s="332" t="s">
        <v>2907</v>
      </c>
      <c r="E384" s="332">
        <v>6000.0</v>
      </c>
      <c r="F384" s="338"/>
      <c r="G384" s="319"/>
      <c r="H384" s="338"/>
      <c r="I384" s="308"/>
      <c r="J384" s="308"/>
      <c r="K384" s="308"/>
      <c r="L384" s="308"/>
      <c r="M384" s="308"/>
      <c r="N384" s="332">
        <v>6000.0</v>
      </c>
      <c r="O384" s="308"/>
      <c r="P384" s="308"/>
      <c r="Q384" s="308"/>
      <c r="R384" s="308"/>
      <c r="S384" s="308"/>
      <c r="T384" s="308"/>
      <c r="U384" s="308"/>
      <c r="V384" s="308"/>
      <c r="W384" s="308"/>
      <c r="X384" s="308"/>
      <c r="Y384" s="308"/>
      <c r="Z384" s="309"/>
      <c r="AA384" s="309"/>
      <c r="AB384" s="308"/>
      <c r="AC384" s="308"/>
    </row>
    <row r="385" hidden="1">
      <c r="A385" s="330">
        <v>45551.0</v>
      </c>
      <c r="B385" s="332" t="s">
        <v>382</v>
      </c>
      <c r="C385" s="332"/>
      <c r="D385" s="332" t="s">
        <v>2907</v>
      </c>
      <c r="E385" s="332">
        <v>31.63</v>
      </c>
      <c r="F385" s="338"/>
      <c r="G385" s="319"/>
      <c r="H385" s="338"/>
      <c r="I385" s="308"/>
      <c r="J385" s="308"/>
      <c r="K385" s="308"/>
      <c r="L385" s="308"/>
      <c r="M385" s="308"/>
      <c r="N385" s="332">
        <v>31.63</v>
      </c>
      <c r="O385" s="308"/>
      <c r="P385" s="308"/>
      <c r="Q385" s="308"/>
      <c r="R385" s="308"/>
      <c r="S385" s="308"/>
      <c r="T385" s="308"/>
      <c r="U385" s="308"/>
      <c r="V385" s="308"/>
      <c r="W385" s="308"/>
      <c r="X385" s="308"/>
      <c r="Y385" s="308"/>
      <c r="Z385" s="309"/>
      <c r="AA385" s="309"/>
      <c r="AB385" s="308"/>
      <c r="AC385" s="308"/>
    </row>
    <row r="386" hidden="1">
      <c r="A386" s="330">
        <v>45551.0</v>
      </c>
      <c r="B386" s="332" t="s">
        <v>954</v>
      </c>
      <c r="C386" s="332"/>
      <c r="D386" s="332" t="s">
        <v>2907</v>
      </c>
      <c r="E386" s="332">
        <v>1000.0</v>
      </c>
      <c r="F386" s="338"/>
      <c r="G386" s="319"/>
      <c r="H386" s="338"/>
      <c r="I386" s="308"/>
      <c r="J386" s="308"/>
      <c r="K386" s="308"/>
      <c r="L386" s="308"/>
      <c r="M386" s="308"/>
      <c r="N386" s="332">
        <v>1000.0</v>
      </c>
      <c r="O386" s="308"/>
      <c r="P386" s="308"/>
      <c r="Q386" s="308"/>
      <c r="R386" s="308"/>
      <c r="S386" s="308"/>
      <c r="T386" s="308"/>
      <c r="U386" s="308"/>
      <c r="V386" s="308"/>
      <c r="W386" s="308"/>
      <c r="X386" s="308"/>
      <c r="Y386" s="308"/>
      <c r="Z386" s="309"/>
      <c r="AA386" s="309"/>
      <c r="AB386" s="308"/>
      <c r="AC386" s="308"/>
    </row>
    <row r="387" hidden="1">
      <c r="A387" s="330">
        <v>45551.0</v>
      </c>
      <c r="B387" s="332" t="s">
        <v>943</v>
      </c>
      <c r="C387" s="332"/>
      <c r="D387" s="332" t="s">
        <v>2907</v>
      </c>
      <c r="E387" s="332">
        <v>250.0</v>
      </c>
      <c r="F387" s="338"/>
      <c r="G387" s="319"/>
      <c r="H387" s="338"/>
      <c r="I387" s="308"/>
      <c r="J387" s="308"/>
      <c r="K387" s="308"/>
      <c r="L387" s="308"/>
      <c r="M387" s="308"/>
      <c r="N387" s="332">
        <v>250.0</v>
      </c>
      <c r="O387" s="308"/>
      <c r="P387" s="308"/>
      <c r="Q387" s="308"/>
      <c r="R387" s="308"/>
      <c r="S387" s="308"/>
      <c r="T387" s="308"/>
      <c r="U387" s="308"/>
      <c r="V387" s="308"/>
      <c r="W387" s="308"/>
      <c r="X387" s="308"/>
      <c r="Y387" s="308"/>
      <c r="Z387" s="309"/>
      <c r="AA387" s="309"/>
      <c r="AB387" s="308"/>
      <c r="AC387" s="308"/>
    </row>
    <row r="388" hidden="1">
      <c r="A388" s="330">
        <v>45551.0</v>
      </c>
      <c r="B388" s="332" t="s">
        <v>123</v>
      </c>
      <c r="C388" s="332"/>
      <c r="D388" s="332" t="s">
        <v>2907</v>
      </c>
      <c r="E388" s="332">
        <v>1250.0</v>
      </c>
      <c r="F388" s="338"/>
      <c r="G388" s="319"/>
      <c r="H388" s="338"/>
      <c r="I388" s="308"/>
      <c r="J388" s="308"/>
      <c r="K388" s="308"/>
      <c r="L388" s="308"/>
      <c r="M388" s="308"/>
      <c r="N388" s="332">
        <v>1250.0</v>
      </c>
      <c r="O388" s="308"/>
      <c r="P388" s="308"/>
      <c r="Q388" s="308"/>
      <c r="R388" s="308"/>
      <c r="S388" s="308"/>
      <c r="T388" s="308"/>
      <c r="U388" s="308"/>
      <c r="V388" s="308"/>
      <c r="W388" s="308"/>
      <c r="X388" s="308"/>
      <c r="Y388" s="308"/>
      <c r="Z388" s="309"/>
      <c r="AA388" s="309"/>
      <c r="AB388" s="308"/>
      <c r="AC388" s="308"/>
    </row>
    <row r="389" hidden="1">
      <c r="A389" s="330">
        <v>45551.0</v>
      </c>
      <c r="B389" s="332" t="s">
        <v>516</v>
      </c>
      <c r="C389" s="332"/>
      <c r="D389" s="332" t="s">
        <v>2907</v>
      </c>
      <c r="E389" s="332">
        <v>225.0</v>
      </c>
      <c r="F389" s="338"/>
      <c r="G389" s="319"/>
      <c r="H389" s="338"/>
      <c r="I389" s="308"/>
      <c r="J389" s="308"/>
      <c r="K389" s="308"/>
      <c r="L389" s="308"/>
      <c r="M389" s="308"/>
      <c r="N389" s="332">
        <v>225.0</v>
      </c>
      <c r="O389" s="308"/>
      <c r="P389" s="308"/>
      <c r="Q389" s="308"/>
      <c r="R389" s="308"/>
      <c r="S389" s="308"/>
      <c r="T389" s="308"/>
      <c r="U389" s="308"/>
      <c r="V389" s="308"/>
      <c r="W389" s="308"/>
      <c r="X389" s="308"/>
      <c r="Y389" s="308"/>
      <c r="Z389" s="309"/>
      <c r="AA389" s="309"/>
      <c r="AB389" s="308"/>
      <c r="AC389" s="308"/>
    </row>
    <row r="390" hidden="1">
      <c r="A390" s="330">
        <v>45551.0</v>
      </c>
      <c r="B390" s="332" t="s">
        <v>219</v>
      </c>
      <c r="C390" s="332"/>
      <c r="D390" s="332" t="s">
        <v>2907</v>
      </c>
      <c r="E390" s="332">
        <v>2200.0</v>
      </c>
      <c r="F390" s="338"/>
      <c r="G390" s="319"/>
      <c r="H390" s="338"/>
      <c r="I390" s="308"/>
      <c r="J390" s="308"/>
      <c r="K390" s="308"/>
      <c r="L390" s="308"/>
      <c r="M390" s="308"/>
      <c r="N390" s="332">
        <v>2200.0</v>
      </c>
      <c r="O390" s="308"/>
      <c r="P390" s="308"/>
      <c r="Q390" s="308"/>
      <c r="R390" s="308"/>
      <c r="S390" s="308"/>
      <c r="T390" s="308"/>
      <c r="U390" s="308"/>
      <c r="V390" s="308"/>
      <c r="W390" s="308"/>
      <c r="X390" s="308"/>
      <c r="Y390" s="308"/>
      <c r="Z390" s="309"/>
      <c r="AA390" s="309"/>
      <c r="AB390" s="308"/>
      <c r="AC390" s="308"/>
    </row>
    <row r="391" hidden="1">
      <c r="A391" s="330">
        <v>45551.0</v>
      </c>
      <c r="B391" s="332" t="s">
        <v>1253</v>
      </c>
      <c r="C391" s="332"/>
      <c r="D391" s="332" t="s">
        <v>2907</v>
      </c>
      <c r="E391" s="374"/>
      <c r="F391" s="338"/>
      <c r="G391" s="319"/>
      <c r="H391" s="338"/>
      <c r="I391" s="308"/>
      <c r="J391" s="308"/>
      <c r="K391" s="308"/>
      <c r="L391" s="308"/>
      <c r="M391" s="308"/>
      <c r="N391" s="332"/>
      <c r="O391" s="308"/>
      <c r="P391" s="308"/>
      <c r="Q391" s="308"/>
      <c r="R391" s="308"/>
      <c r="S391" s="308"/>
      <c r="T391" s="308"/>
      <c r="U391" s="308"/>
      <c r="V391" s="308"/>
      <c r="W391" s="308"/>
      <c r="X391" s="308"/>
      <c r="Y391" s="308"/>
      <c r="Z391" s="309"/>
      <c r="AA391" s="309"/>
      <c r="AB391" s="308"/>
      <c r="AC391" s="308"/>
    </row>
    <row r="392" hidden="1">
      <c r="A392" s="330">
        <v>45553.0</v>
      </c>
      <c r="B392" s="332" t="s">
        <v>2999</v>
      </c>
      <c r="C392" s="332"/>
      <c r="D392" s="332" t="s">
        <v>2907</v>
      </c>
      <c r="E392" s="332">
        <v>66.0</v>
      </c>
      <c r="F392" s="338"/>
      <c r="G392" s="319"/>
      <c r="H392" s="338"/>
      <c r="I392" s="308"/>
      <c r="J392" s="308"/>
      <c r="K392" s="308"/>
      <c r="L392" s="308"/>
      <c r="M392" s="308"/>
      <c r="N392" s="332">
        <v>66.0</v>
      </c>
      <c r="O392" s="308"/>
      <c r="P392" s="308"/>
      <c r="Q392" s="308"/>
      <c r="R392" s="308"/>
      <c r="S392" s="308"/>
      <c r="T392" s="308"/>
      <c r="U392" s="308"/>
      <c r="V392" s="308"/>
      <c r="W392" s="308"/>
      <c r="X392" s="308"/>
      <c r="Y392" s="308"/>
      <c r="Z392" s="309"/>
      <c r="AA392" s="309"/>
      <c r="AB392" s="308"/>
      <c r="AC392" s="308"/>
    </row>
    <row r="393" hidden="1">
      <c r="A393" s="330">
        <v>45553.0</v>
      </c>
      <c r="B393" s="332" t="s">
        <v>3000</v>
      </c>
      <c r="C393" s="332"/>
      <c r="D393" s="332" t="s">
        <v>2907</v>
      </c>
      <c r="E393" s="332">
        <v>145.0</v>
      </c>
      <c r="F393" s="338"/>
      <c r="G393" s="319"/>
      <c r="H393" s="338"/>
      <c r="I393" s="308"/>
      <c r="J393" s="308"/>
      <c r="K393" s="308"/>
      <c r="L393" s="308"/>
      <c r="M393" s="308"/>
      <c r="N393" s="332">
        <v>145.0</v>
      </c>
      <c r="O393" s="308"/>
      <c r="P393" s="308"/>
      <c r="Q393" s="308"/>
      <c r="R393" s="308"/>
      <c r="S393" s="308"/>
      <c r="T393" s="308"/>
      <c r="U393" s="308"/>
      <c r="V393" s="308"/>
      <c r="W393" s="308"/>
      <c r="X393" s="308"/>
      <c r="Y393" s="308"/>
      <c r="Z393" s="309"/>
      <c r="AA393" s="309"/>
      <c r="AB393" s="308"/>
      <c r="AC393" s="308"/>
    </row>
    <row r="394" hidden="1">
      <c r="A394" s="330">
        <v>45553.0</v>
      </c>
      <c r="B394" s="332" t="s">
        <v>3001</v>
      </c>
      <c r="C394" s="332"/>
      <c r="D394" s="332" t="s">
        <v>2907</v>
      </c>
      <c r="E394" s="332">
        <v>1176.85</v>
      </c>
      <c r="F394" s="338"/>
      <c r="G394" s="319"/>
      <c r="H394" s="338"/>
      <c r="I394" s="308"/>
      <c r="J394" s="308"/>
      <c r="K394" s="308"/>
      <c r="L394" s="308"/>
      <c r="M394" s="308"/>
      <c r="N394" s="332">
        <v>1176.85</v>
      </c>
      <c r="O394" s="308"/>
      <c r="P394" s="308"/>
      <c r="Q394" s="308"/>
      <c r="R394" s="308"/>
      <c r="S394" s="308"/>
      <c r="T394" s="308"/>
      <c r="U394" s="308"/>
      <c r="V394" s="308"/>
      <c r="W394" s="308"/>
      <c r="X394" s="308"/>
      <c r="Y394" s="308"/>
      <c r="Z394" s="309"/>
      <c r="AA394" s="309"/>
      <c r="AB394" s="308"/>
      <c r="AC394" s="308"/>
    </row>
    <row r="395" hidden="1">
      <c r="A395" s="330">
        <v>45553.0</v>
      </c>
      <c r="B395" s="332" t="s">
        <v>3002</v>
      </c>
      <c r="C395" s="332"/>
      <c r="D395" s="332" t="s">
        <v>2907</v>
      </c>
      <c r="E395" s="374"/>
      <c r="F395" s="338"/>
      <c r="G395" s="319"/>
      <c r="H395" s="338"/>
      <c r="I395" s="308"/>
      <c r="J395" s="308"/>
      <c r="K395" s="308"/>
      <c r="L395" s="308"/>
      <c r="M395" s="308"/>
      <c r="N395" s="308"/>
      <c r="O395" s="308"/>
      <c r="P395" s="308"/>
      <c r="Q395" s="308"/>
      <c r="R395" s="308"/>
      <c r="S395" s="308"/>
      <c r="T395" s="308"/>
      <c r="U395" s="308"/>
      <c r="V395" s="308"/>
      <c r="W395" s="308"/>
      <c r="X395" s="308"/>
      <c r="Y395" s="308"/>
      <c r="Z395" s="309"/>
      <c r="AA395" s="309"/>
      <c r="AB395" s="308"/>
      <c r="AC395" s="308"/>
    </row>
    <row r="396" hidden="1">
      <c r="A396" s="330">
        <v>45553.0</v>
      </c>
      <c r="B396" s="332" t="s">
        <v>3003</v>
      </c>
      <c r="C396" s="332"/>
      <c r="D396" s="332" t="s">
        <v>2907</v>
      </c>
      <c r="E396" s="332">
        <v>950.0</v>
      </c>
      <c r="F396" s="338"/>
      <c r="G396" s="319"/>
      <c r="H396" s="338"/>
      <c r="I396" s="308"/>
      <c r="J396" s="308"/>
      <c r="K396" s="308"/>
      <c r="L396" s="308"/>
      <c r="M396" s="308"/>
      <c r="N396" s="332">
        <v>950.0</v>
      </c>
      <c r="O396" s="308"/>
      <c r="P396" s="308"/>
      <c r="Q396" s="308"/>
      <c r="R396" s="308"/>
      <c r="S396" s="308"/>
      <c r="T396" s="308"/>
      <c r="U396" s="308"/>
      <c r="V396" s="308"/>
      <c r="W396" s="308"/>
      <c r="X396" s="308"/>
      <c r="Y396" s="308"/>
      <c r="Z396" s="309"/>
      <c r="AA396" s="309"/>
      <c r="AB396" s="308"/>
      <c r="AC396" s="308"/>
    </row>
    <row r="397" hidden="1">
      <c r="A397" s="331" t="s">
        <v>46</v>
      </c>
      <c r="B397" s="332" t="s">
        <v>3004</v>
      </c>
      <c r="C397" s="332"/>
      <c r="D397" s="332" t="s">
        <v>2907</v>
      </c>
      <c r="E397" s="332">
        <v>1200.0</v>
      </c>
      <c r="F397" s="338"/>
      <c r="G397" s="319"/>
      <c r="H397" s="338"/>
      <c r="I397" s="308"/>
      <c r="J397" s="308"/>
      <c r="K397" s="308"/>
      <c r="L397" s="308"/>
      <c r="M397" s="308"/>
      <c r="N397" s="332">
        <v>1200.0</v>
      </c>
      <c r="O397" s="308"/>
      <c r="P397" s="308"/>
      <c r="Q397" s="308"/>
      <c r="R397" s="308"/>
      <c r="S397" s="308"/>
      <c r="T397" s="308"/>
      <c r="U397" s="308"/>
      <c r="V397" s="308"/>
      <c r="W397" s="308"/>
      <c r="X397" s="308"/>
      <c r="Y397" s="308"/>
      <c r="Z397" s="309"/>
      <c r="AA397" s="309"/>
      <c r="AB397" s="308"/>
      <c r="AC397" s="308"/>
    </row>
    <row r="398" hidden="1">
      <c r="A398" s="386">
        <v>45559.0</v>
      </c>
      <c r="B398" s="332" t="s">
        <v>1267</v>
      </c>
      <c r="C398" s="332"/>
      <c r="D398" s="332" t="s">
        <v>2907</v>
      </c>
      <c r="E398" s="332">
        <v>105.0</v>
      </c>
      <c r="F398" s="338"/>
      <c r="G398" s="319"/>
      <c r="H398" s="338"/>
      <c r="I398" s="308"/>
      <c r="J398" s="308"/>
      <c r="K398" s="308"/>
      <c r="L398" s="308"/>
      <c r="M398" s="308"/>
      <c r="N398" s="332">
        <v>105.0</v>
      </c>
      <c r="O398" s="308"/>
      <c r="P398" s="308"/>
      <c r="Q398" s="308"/>
      <c r="R398" s="308"/>
      <c r="S398" s="308"/>
      <c r="T398" s="308"/>
      <c r="U398" s="308"/>
      <c r="V398" s="308"/>
      <c r="W398" s="308"/>
      <c r="X398" s="308"/>
      <c r="Y398" s="308"/>
      <c r="Z398" s="309"/>
      <c r="AA398" s="309"/>
      <c r="AB398" s="308"/>
      <c r="AC398" s="308"/>
    </row>
    <row r="399" hidden="1">
      <c r="A399" s="386">
        <v>45559.0</v>
      </c>
      <c r="B399" s="332" t="s">
        <v>487</v>
      </c>
      <c r="C399" s="332"/>
      <c r="D399" s="332" t="s">
        <v>2907</v>
      </c>
      <c r="E399" s="332">
        <v>39.95</v>
      </c>
      <c r="F399" s="338"/>
      <c r="G399" s="319"/>
      <c r="H399" s="338"/>
      <c r="I399" s="308"/>
      <c r="J399" s="308"/>
      <c r="K399" s="308"/>
      <c r="L399" s="308"/>
      <c r="M399" s="308"/>
      <c r="N399" s="332">
        <v>39.95</v>
      </c>
      <c r="O399" s="308"/>
      <c r="P399" s="308"/>
      <c r="Q399" s="308"/>
      <c r="R399" s="308"/>
      <c r="S399" s="308"/>
      <c r="T399" s="308"/>
      <c r="U399" s="308"/>
      <c r="V399" s="308"/>
      <c r="W399" s="308"/>
      <c r="X399" s="308"/>
      <c r="Y399" s="308"/>
      <c r="Z399" s="309"/>
      <c r="AA399" s="309"/>
      <c r="AB399" s="308"/>
      <c r="AC399" s="308"/>
    </row>
    <row r="400" hidden="1">
      <c r="A400" s="386">
        <v>45559.0</v>
      </c>
      <c r="B400" s="332" t="s">
        <v>487</v>
      </c>
      <c r="C400" s="332"/>
      <c r="D400" s="332" t="s">
        <v>2907</v>
      </c>
      <c r="E400" s="332">
        <v>225.0</v>
      </c>
      <c r="F400" s="338"/>
      <c r="G400" s="319"/>
      <c r="H400" s="338"/>
      <c r="I400" s="308"/>
      <c r="J400" s="308"/>
      <c r="K400" s="308"/>
      <c r="L400" s="308"/>
      <c r="M400" s="308"/>
      <c r="N400" s="332">
        <v>225.0</v>
      </c>
      <c r="O400" s="308"/>
      <c r="P400" s="308"/>
      <c r="Q400" s="308"/>
      <c r="R400" s="308"/>
      <c r="S400" s="308"/>
      <c r="T400" s="308"/>
      <c r="U400" s="308"/>
      <c r="V400" s="308"/>
      <c r="W400" s="308"/>
      <c r="X400" s="308"/>
      <c r="Y400" s="308"/>
      <c r="Z400" s="309"/>
      <c r="AA400" s="309"/>
      <c r="AB400" s="308"/>
      <c r="AC400" s="308"/>
    </row>
    <row r="401" hidden="1">
      <c r="A401" s="386">
        <v>45559.0</v>
      </c>
      <c r="B401" s="332" t="s">
        <v>1280</v>
      </c>
      <c r="C401" s="332"/>
      <c r="D401" s="332" t="s">
        <v>2907</v>
      </c>
      <c r="E401" s="332">
        <v>159.0</v>
      </c>
      <c r="F401" s="338"/>
      <c r="G401" s="319"/>
      <c r="H401" s="338"/>
      <c r="I401" s="308"/>
      <c r="J401" s="308"/>
      <c r="K401" s="308"/>
      <c r="L401" s="308"/>
      <c r="M401" s="308"/>
      <c r="N401" s="332">
        <v>159.0</v>
      </c>
      <c r="O401" s="308"/>
      <c r="P401" s="308"/>
      <c r="Q401" s="308"/>
      <c r="R401" s="308"/>
      <c r="S401" s="308"/>
      <c r="T401" s="308"/>
      <c r="U401" s="308"/>
      <c r="V401" s="308"/>
      <c r="W401" s="308"/>
      <c r="X401" s="308"/>
      <c r="Y401" s="308"/>
      <c r="Z401" s="309"/>
      <c r="AA401" s="309"/>
      <c r="AB401" s="308"/>
      <c r="AC401" s="308"/>
    </row>
    <row r="402" hidden="1">
      <c r="A402" s="386">
        <v>45559.0</v>
      </c>
      <c r="B402" s="332" t="s">
        <v>1284</v>
      </c>
      <c r="C402" s="332"/>
      <c r="D402" s="332" t="s">
        <v>2907</v>
      </c>
      <c r="E402" s="332">
        <v>384.99</v>
      </c>
      <c r="F402" s="338"/>
      <c r="G402" s="319"/>
      <c r="H402" s="338"/>
      <c r="I402" s="308"/>
      <c r="J402" s="308"/>
      <c r="K402" s="308"/>
      <c r="L402" s="308"/>
      <c r="M402" s="308"/>
      <c r="N402" s="332">
        <v>384.99</v>
      </c>
      <c r="O402" s="308"/>
      <c r="P402" s="308"/>
      <c r="Q402" s="308"/>
      <c r="R402" s="308"/>
      <c r="S402" s="308"/>
      <c r="T402" s="308"/>
      <c r="U402" s="308"/>
      <c r="V402" s="308"/>
      <c r="W402" s="308"/>
      <c r="X402" s="308"/>
      <c r="Y402" s="308"/>
      <c r="Z402" s="309"/>
      <c r="AA402" s="309"/>
      <c r="AB402" s="308"/>
      <c r="AC402" s="308"/>
    </row>
    <row r="403" hidden="1">
      <c r="A403" s="386">
        <v>45559.0</v>
      </c>
      <c r="B403" s="332" t="s">
        <v>3005</v>
      </c>
      <c r="C403" s="332"/>
      <c r="D403" s="332" t="s">
        <v>2907</v>
      </c>
      <c r="E403" s="332">
        <v>590.0</v>
      </c>
      <c r="F403" s="338"/>
      <c r="G403" s="319"/>
      <c r="H403" s="338"/>
      <c r="I403" s="308"/>
      <c r="J403" s="308"/>
      <c r="K403" s="308"/>
      <c r="L403" s="308"/>
      <c r="M403" s="308"/>
      <c r="N403" s="332">
        <v>590.0</v>
      </c>
      <c r="O403" s="308"/>
      <c r="P403" s="308"/>
      <c r="Q403" s="308"/>
      <c r="R403" s="308"/>
      <c r="S403" s="308"/>
      <c r="T403" s="308"/>
      <c r="U403" s="308"/>
      <c r="V403" s="308"/>
      <c r="W403" s="308"/>
      <c r="X403" s="308"/>
      <c r="Y403" s="308"/>
      <c r="Z403" s="309"/>
      <c r="AA403" s="309"/>
      <c r="AB403" s="308"/>
      <c r="AC403" s="308"/>
    </row>
    <row r="404" hidden="1">
      <c r="A404" s="330">
        <v>45560.0</v>
      </c>
      <c r="B404" s="332" t="s">
        <v>333</v>
      </c>
      <c r="C404" s="332"/>
      <c r="D404" s="332" t="s">
        <v>2907</v>
      </c>
      <c r="E404" s="332">
        <v>570.0</v>
      </c>
      <c r="F404" s="338"/>
      <c r="G404" s="319"/>
      <c r="H404" s="338"/>
      <c r="I404" s="308"/>
      <c r="J404" s="308"/>
      <c r="K404" s="308"/>
      <c r="L404" s="308"/>
      <c r="M404" s="308"/>
      <c r="N404" s="332">
        <v>570.0</v>
      </c>
      <c r="O404" s="308"/>
      <c r="P404" s="308"/>
      <c r="Q404" s="308"/>
      <c r="R404" s="308"/>
      <c r="S404" s="308"/>
      <c r="T404" s="308"/>
      <c r="U404" s="308"/>
      <c r="V404" s="308"/>
      <c r="W404" s="308"/>
      <c r="X404" s="308"/>
      <c r="Y404" s="308"/>
      <c r="Z404" s="309"/>
      <c r="AA404" s="309"/>
      <c r="AB404" s="308"/>
      <c r="AC404" s="308"/>
    </row>
    <row r="405" hidden="1">
      <c r="A405" s="330">
        <v>45560.0</v>
      </c>
      <c r="B405" s="332" t="s">
        <v>37</v>
      </c>
      <c r="C405" s="332"/>
      <c r="D405" s="332" t="s">
        <v>2907</v>
      </c>
      <c r="E405" s="332">
        <v>3600.0</v>
      </c>
      <c r="F405" s="338"/>
      <c r="G405" s="319"/>
      <c r="H405" s="338"/>
      <c r="I405" s="308"/>
      <c r="J405" s="308"/>
      <c r="K405" s="308"/>
      <c r="L405" s="308"/>
      <c r="M405" s="308"/>
      <c r="N405" s="332">
        <v>3600.0</v>
      </c>
      <c r="O405" s="308"/>
      <c r="P405" s="308"/>
      <c r="Q405" s="308"/>
      <c r="R405" s="308"/>
      <c r="S405" s="308"/>
      <c r="T405" s="308"/>
      <c r="U405" s="308"/>
      <c r="V405" s="308"/>
      <c r="W405" s="308"/>
      <c r="X405" s="308"/>
      <c r="Y405" s="308"/>
      <c r="Z405" s="309"/>
      <c r="AA405" s="309"/>
      <c r="AB405" s="308"/>
      <c r="AC405" s="308"/>
    </row>
    <row r="406" hidden="1">
      <c r="A406" s="330">
        <v>45560.0</v>
      </c>
      <c r="B406" s="332" t="s">
        <v>37</v>
      </c>
      <c r="C406" s="332"/>
      <c r="D406" s="332" t="s">
        <v>3006</v>
      </c>
      <c r="E406" s="332">
        <v>55000.0</v>
      </c>
      <c r="F406" s="338"/>
      <c r="G406" s="319"/>
      <c r="H406" s="338"/>
      <c r="I406" s="308"/>
      <c r="J406" s="308"/>
      <c r="K406" s="308"/>
      <c r="L406" s="308"/>
      <c r="M406" s="308"/>
      <c r="N406" s="332"/>
      <c r="O406" s="308"/>
      <c r="P406" s="308"/>
      <c r="Q406" s="308"/>
      <c r="R406" s="308"/>
      <c r="S406" s="332">
        <v>55000.0</v>
      </c>
      <c r="T406" s="308"/>
      <c r="U406" s="308"/>
      <c r="V406" s="308"/>
      <c r="W406" s="308"/>
      <c r="X406" s="308"/>
      <c r="Y406" s="308"/>
      <c r="Z406" s="309"/>
      <c r="AA406" s="309"/>
      <c r="AB406" s="308"/>
      <c r="AC406" s="308"/>
    </row>
    <row r="407" hidden="1">
      <c r="A407" s="330">
        <v>45560.0</v>
      </c>
      <c r="B407" s="332" t="s">
        <v>37</v>
      </c>
      <c r="C407" s="332"/>
      <c r="D407" s="332" t="s">
        <v>3006</v>
      </c>
      <c r="E407" s="332">
        <v>55000.0</v>
      </c>
      <c r="F407" s="338"/>
      <c r="G407" s="319"/>
      <c r="H407" s="338"/>
      <c r="I407" s="308"/>
      <c r="J407" s="308"/>
      <c r="K407" s="308"/>
      <c r="L407" s="308"/>
      <c r="M407" s="308"/>
      <c r="N407" s="332"/>
      <c r="O407" s="308"/>
      <c r="P407" s="308"/>
      <c r="Q407" s="308"/>
      <c r="R407" s="308"/>
      <c r="S407" s="332">
        <v>55000.0</v>
      </c>
      <c r="T407" s="308"/>
      <c r="U407" s="308"/>
      <c r="V407" s="308"/>
      <c r="W407" s="308"/>
      <c r="X407" s="308"/>
      <c r="Y407" s="308"/>
      <c r="Z407" s="309"/>
      <c r="AA407" s="309"/>
      <c r="AB407" s="308"/>
      <c r="AC407" s="308"/>
    </row>
    <row r="408" hidden="1">
      <c r="A408" s="330">
        <v>45560.0</v>
      </c>
      <c r="B408" s="332" t="s">
        <v>482</v>
      </c>
      <c r="C408" s="332"/>
      <c r="D408" s="332" t="s">
        <v>2907</v>
      </c>
      <c r="E408" s="332">
        <v>175.0</v>
      </c>
      <c r="F408" s="338"/>
      <c r="G408" s="319"/>
      <c r="H408" s="338"/>
      <c r="I408" s="308"/>
      <c r="J408" s="308"/>
      <c r="K408" s="308"/>
      <c r="L408" s="308"/>
      <c r="M408" s="308"/>
      <c r="N408" s="332">
        <v>175.0</v>
      </c>
      <c r="O408" s="332"/>
      <c r="P408" s="308"/>
      <c r="Q408" s="308"/>
      <c r="R408" s="308"/>
      <c r="S408" s="308"/>
      <c r="T408" s="308"/>
      <c r="U408" s="308"/>
      <c r="V408" s="308"/>
      <c r="W408" s="308"/>
      <c r="X408" s="308"/>
      <c r="Y408" s="308"/>
      <c r="Z408" s="309"/>
      <c r="AA408" s="309"/>
      <c r="AB408" s="308"/>
      <c r="AC408" s="308"/>
    </row>
    <row r="409" hidden="1">
      <c r="A409" s="330">
        <v>45560.0</v>
      </c>
      <c r="B409" s="332" t="s">
        <v>3007</v>
      </c>
      <c r="C409" s="332"/>
      <c r="D409" s="332" t="s">
        <v>2907</v>
      </c>
      <c r="E409" s="332">
        <v>260.0</v>
      </c>
      <c r="F409" s="338"/>
      <c r="G409" s="319"/>
      <c r="H409" s="338"/>
      <c r="I409" s="308"/>
      <c r="J409" s="308"/>
      <c r="K409" s="308"/>
      <c r="L409" s="308"/>
      <c r="M409" s="308"/>
      <c r="N409" s="332">
        <v>260.0</v>
      </c>
      <c r="O409" s="332"/>
      <c r="P409" s="308"/>
      <c r="Q409" s="308"/>
      <c r="R409" s="308"/>
      <c r="S409" s="308"/>
      <c r="T409" s="308"/>
      <c r="U409" s="308"/>
      <c r="V409" s="308"/>
      <c r="W409" s="308"/>
      <c r="X409" s="308"/>
      <c r="Y409" s="308"/>
      <c r="Z409" s="309"/>
      <c r="AA409" s="309"/>
      <c r="AB409" s="308"/>
      <c r="AC409" s="308"/>
    </row>
    <row r="410" hidden="1">
      <c r="A410" s="330">
        <v>45560.0</v>
      </c>
      <c r="B410" s="332" t="s">
        <v>3008</v>
      </c>
      <c r="C410" s="332"/>
      <c r="D410" s="332" t="s">
        <v>2907</v>
      </c>
      <c r="E410" s="332">
        <v>175.0</v>
      </c>
      <c r="F410" s="338"/>
      <c r="G410" s="319"/>
      <c r="H410" s="338"/>
      <c r="I410" s="308"/>
      <c r="J410" s="308"/>
      <c r="K410" s="308"/>
      <c r="L410" s="308"/>
      <c r="M410" s="308"/>
      <c r="N410" s="332">
        <v>175.0</v>
      </c>
      <c r="O410" s="332"/>
      <c r="P410" s="308"/>
      <c r="Q410" s="308"/>
      <c r="R410" s="308"/>
      <c r="S410" s="308"/>
      <c r="T410" s="308"/>
      <c r="U410" s="308"/>
      <c r="V410" s="308"/>
      <c r="W410" s="308"/>
      <c r="X410" s="308"/>
      <c r="Y410" s="308"/>
      <c r="Z410" s="309"/>
      <c r="AA410" s="309"/>
      <c r="AB410" s="308"/>
      <c r="AC410" s="308"/>
    </row>
    <row r="411" hidden="1">
      <c r="A411" s="330">
        <v>45562.0</v>
      </c>
      <c r="B411" s="332" t="s">
        <v>195</v>
      </c>
      <c r="C411" s="332"/>
      <c r="D411" s="332" t="s">
        <v>2907</v>
      </c>
      <c r="E411" s="332">
        <v>1925.0</v>
      </c>
      <c r="F411" s="338"/>
      <c r="G411" s="319"/>
      <c r="H411" s="338"/>
      <c r="I411" s="308"/>
      <c r="J411" s="308"/>
      <c r="K411" s="308"/>
      <c r="L411" s="308"/>
      <c r="M411" s="308"/>
      <c r="N411" s="332">
        <v>1925.0</v>
      </c>
      <c r="O411" s="332"/>
      <c r="P411" s="308"/>
      <c r="Q411" s="308"/>
      <c r="R411" s="308"/>
      <c r="S411" s="308"/>
      <c r="T411" s="308"/>
      <c r="U411" s="308"/>
      <c r="V411" s="308"/>
      <c r="W411" s="308"/>
      <c r="X411" s="308"/>
      <c r="Y411" s="308"/>
      <c r="Z411" s="309"/>
      <c r="AA411" s="309"/>
      <c r="AB411" s="308"/>
      <c r="AC411" s="308"/>
    </row>
    <row r="412" hidden="1">
      <c r="A412" s="330">
        <v>45562.0</v>
      </c>
      <c r="B412" s="332" t="s">
        <v>3009</v>
      </c>
      <c r="C412" s="332"/>
      <c r="D412" s="332" t="s">
        <v>3006</v>
      </c>
      <c r="E412" s="332">
        <v>1000.0</v>
      </c>
      <c r="F412" s="338"/>
      <c r="G412" s="319"/>
      <c r="H412" s="338"/>
      <c r="I412" s="308"/>
      <c r="J412" s="308"/>
      <c r="K412" s="308"/>
      <c r="L412" s="308"/>
      <c r="M412" s="308"/>
      <c r="N412" s="332"/>
      <c r="O412" s="332">
        <v>1000.0</v>
      </c>
      <c r="P412" s="308"/>
      <c r="Q412" s="308"/>
      <c r="R412" s="308"/>
      <c r="S412" s="308"/>
      <c r="T412" s="308"/>
      <c r="U412" s="308"/>
      <c r="V412" s="308"/>
      <c r="W412" s="308"/>
      <c r="X412" s="308"/>
      <c r="Y412" s="308"/>
      <c r="Z412" s="309"/>
      <c r="AA412" s="309"/>
      <c r="AB412" s="308"/>
      <c r="AC412" s="308"/>
    </row>
    <row r="413" hidden="1">
      <c r="A413" s="330">
        <v>45562.0</v>
      </c>
      <c r="B413" s="332" t="s">
        <v>3010</v>
      </c>
      <c r="C413" s="332"/>
      <c r="D413" s="332" t="s">
        <v>2907</v>
      </c>
      <c r="E413" s="374"/>
      <c r="F413" s="338"/>
      <c r="G413" s="319"/>
      <c r="H413" s="338"/>
      <c r="I413" s="308"/>
      <c r="J413" s="308"/>
      <c r="K413" s="308"/>
      <c r="L413" s="308"/>
      <c r="M413" s="308"/>
      <c r="N413" s="332"/>
      <c r="O413" s="332"/>
      <c r="P413" s="308"/>
      <c r="Q413" s="308"/>
      <c r="R413" s="308"/>
      <c r="S413" s="308"/>
      <c r="T413" s="308"/>
      <c r="U413" s="308"/>
      <c r="V413" s="308"/>
      <c r="W413" s="308"/>
      <c r="X413" s="308"/>
      <c r="Y413" s="308"/>
      <c r="Z413" s="309"/>
      <c r="AA413" s="309"/>
      <c r="AB413" s="308"/>
      <c r="AC413" s="308"/>
    </row>
    <row r="414" hidden="1">
      <c r="A414" s="330">
        <v>45562.0</v>
      </c>
      <c r="B414" s="332" t="s">
        <v>3011</v>
      </c>
      <c r="C414" s="332"/>
      <c r="D414" s="332" t="s">
        <v>3012</v>
      </c>
      <c r="E414" s="344"/>
      <c r="F414" s="338"/>
      <c r="G414" s="319"/>
      <c r="H414" s="338"/>
      <c r="I414" s="308"/>
      <c r="J414" s="308"/>
      <c r="K414" s="308"/>
      <c r="L414" s="308"/>
      <c r="M414" s="308"/>
      <c r="N414" s="332"/>
      <c r="O414" s="332"/>
      <c r="P414" s="308"/>
      <c r="Q414" s="308"/>
      <c r="R414" s="308"/>
      <c r="S414" s="308"/>
      <c r="T414" s="308"/>
      <c r="U414" s="308"/>
      <c r="V414" s="308"/>
      <c r="W414" s="308"/>
      <c r="X414" s="308"/>
      <c r="Y414" s="308"/>
      <c r="Z414" s="309"/>
      <c r="AA414" s="309"/>
      <c r="AB414" s="308"/>
      <c r="AC414" s="308"/>
    </row>
    <row r="415" hidden="1">
      <c r="A415" s="330">
        <v>45562.0</v>
      </c>
      <c r="B415" s="332" t="s">
        <v>3013</v>
      </c>
      <c r="C415" s="332"/>
      <c r="D415" s="332" t="s">
        <v>2907</v>
      </c>
      <c r="E415" s="332">
        <v>299.0</v>
      </c>
      <c r="F415" s="338"/>
      <c r="G415" s="319"/>
      <c r="H415" s="338"/>
      <c r="I415" s="308"/>
      <c r="J415" s="308"/>
      <c r="K415" s="308"/>
      <c r="L415" s="308"/>
      <c r="M415" s="308"/>
      <c r="N415" s="332">
        <v>299.0</v>
      </c>
      <c r="O415" s="332"/>
      <c r="P415" s="308"/>
      <c r="Q415" s="308"/>
      <c r="R415" s="308"/>
      <c r="S415" s="308"/>
      <c r="T415" s="308"/>
      <c r="U415" s="308"/>
      <c r="V415" s="308"/>
      <c r="W415" s="308"/>
      <c r="X415" s="308"/>
      <c r="Y415" s="308"/>
      <c r="Z415" s="309"/>
      <c r="AA415" s="309"/>
      <c r="AB415" s="308"/>
      <c r="AC415" s="308"/>
    </row>
    <row r="416" hidden="1">
      <c r="A416" s="330">
        <v>45562.0</v>
      </c>
      <c r="B416" s="332" t="s">
        <v>3014</v>
      </c>
      <c r="C416" s="332"/>
      <c r="D416" s="332" t="s">
        <v>2907</v>
      </c>
      <c r="E416" s="332">
        <v>2528.0</v>
      </c>
      <c r="F416" s="338"/>
      <c r="G416" s="319"/>
      <c r="H416" s="338"/>
      <c r="I416" s="308"/>
      <c r="J416" s="308"/>
      <c r="K416" s="308"/>
      <c r="L416" s="308"/>
      <c r="M416" s="308"/>
      <c r="N416" s="332">
        <v>2528.0</v>
      </c>
      <c r="O416" s="332"/>
      <c r="P416" s="308"/>
      <c r="Q416" s="308"/>
      <c r="R416" s="308"/>
      <c r="S416" s="308"/>
      <c r="T416" s="308"/>
      <c r="U416" s="308"/>
      <c r="V416" s="308"/>
      <c r="W416" s="308"/>
      <c r="X416" s="308"/>
      <c r="Y416" s="308"/>
      <c r="Z416" s="309"/>
      <c r="AA416" s="309"/>
      <c r="AB416" s="308"/>
      <c r="AC416" s="308"/>
    </row>
    <row r="417" hidden="1">
      <c r="A417" s="330">
        <v>45562.0</v>
      </c>
      <c r="B417" s="332" t="s">
        <v>3015</v>
      </c>
      <c r="C417" s="332"/>
      <c r="D417" s="332" t="s">
        <v>2907</v>
      </c>
      <c r="E417" s="332">
        <v>2500.0</v>
      </c>
      <c r="F417" s="338"/>
      <c r="G417" s="319"/>
      <c r="H417" s="338"/>
      <c r="I417" s="308"/>
      <c r="J417" s="308"/>
      <c r="K417" s="308"/>
      <c r="L417" s="308"/>
      <c r="M417" s="308"/>
      <c r="N417" s="332">
        <v>2500.0</v>
      </c>
      <c r="O417" s="332"/>
      <c r="P417" s="308"/>
      <c r="Q417" s="308"/>
      <c r="R417" s="308"/>
      <c r="S417" s="308"/>
      <c r="T417" s="308"/>
      <c r="U417" s="308"/>
      <c r="V417" s="308"/>
      <c r="W417" s="308"/>
      <c r="X417" s="308"/>
      <c r="Y417" s="308"/>
      <c r="Z417" s="309"/>
      <c r="AA417" s="309"/>
      <c r="AB417" s="308"/>
      <c r="AC417" s="308"/>
    </row>
    <row r="418" hidden="1">
      <c r="A418" s="330">
        <v>45568.0</v>
      </c>
      <c r="B418" s="332" t="s">
        <v>37</v>
      </c>
      <c r="C418" s="332"/>
      <c r="D418" s="332" t="s">
        <v>3006</v>
      </c>
      <c r="E418" s="332">
        <v>2000.0</v>
      </c>
      <c r="F418" s="338"/>
      <c r="G418" s="319"/>
      <c r="H418" s="338"/>
      <c r="I418" s="308"/>
      <c r="J418" s="308"/>
      <c r="K418" s="308"/>
      <c r="L418" s="308"/>
      <c r="M418" s="308"/>
      <c r="N418" s="332"/>
      <c r="O418" s="332">
        <v>2000.0</v>
      </c>
      <c r="P418" s="308"/>
      <c r="Q418" s="308"/>
      <c r="R418" s="308"/>
      <c r="S418" s="308"/>
      <c r="T418" s="308"/>
      <c r="U418" s="308"/>
      <c r="V418" s="308"/>
      <c r="W418" s="308"/>
      <c r="X418" s="308"/>
      <c r="Y418" s="308"/>
      <c r="Z418" s="309"/>
      <c r="AA418" s="309"/>
      <c r="AB418" s="308"/>
      <c r="AC418" s="308"/>
    </row>
    <row r="419" hidden="1">
      <c r="A419" s="330">
        <v>45568.0</v>
      </c>
      <c r="B419" s="332" t="s">
        <v>1322</v>
      </c>
      <c r="C419" s="332"/>
      <c r="D419" s="332" t="s">
        <v>2907</v>
      </c>
      <c r="E419" s="332">
        <v>426.0</v>
      </c>
      <c r="F419" s="338"/>
      <c r="G419" s="319"/>
      <c r="H419" s="338"/>
      <c r="I419" s="308"/>
      <c r="J419" s="308"/>
      <c r="K419" s="308"/>
      <c r="L419" s="308"/>
      <c r="M419" s="308"/>
      <c r="N419" s="332">
        <v>426.0</v>
      </c>
      <c r="O419" s="332"/>
      <c r="P419" s="308"/>
      <c r="Q419" s="308"/>
      <c r="R419" s="308"/>
      <c r="S419" s="308"/>
      <c r="T419" s="308"/>
      <c r="U419" s="308"/>
      <c r="V419" s="308"/>
      <c r="W419" s="308"/>
      <c r="X419" s="308"/>
      <c r="Y419" s="308"/>
      <c r="Z419" s="309"/>
      <c r="AA419" s="309"/>
      <c r="AB419" s="308"/>
      <c r="AC419" s="308"/>
    </row>
    <row r="420" hidden="1">
      <c r="A420" s="330">
        <v>45568.0</v>
      </c>
      <c r="B420" s="332" t="s">
        <v>240</v>
      </c>
      <c r="C420" s="332"/>
      <c r="D420" s="332" t="s">
        <v>2907</v>
      </c>
      <c r="E420" s="332">
        <v>100.0</v>
      </c>
      <c r="F420" s="338"/>
      <c r="G420" s="319"/>
      <c r="H420" s="338"/>
      <c r="I420" s="308"/>
      <c r="J420" s="308"/>
      <c r="K420" s="308"/>
      <c r="L420" s="308"/>
      <c r="M420" s="308"/>
      <c r="N420" s="332">
        <v>100.0</v>
      </c>
      <c r="O420" s="332"/>
      <c r="P420" s="308"/>
      <c r="Q420" s="308"/>
      <c r="R420" s="308"/>
      <c r="S420" s="308"/>
      <c r="T420" s="308"/>
      <c r="U420" s="308"/>
      <c r="V420" s="308"/>
      <c r="W420" s="308"/>
      <c r="X420" s="308"/>
      <c r="Y420" s="308"/>
      <c r="Z420" s="309"/>
      <c r="AA420" s="309"/>
      <c r="AB420" s="308"/>
      <c r="AC420" s="308"/>
    </row>
    <row r="421" hidden="1">
      <c r="A421" s="330">
        <v>45568.0</v>
      </c>
      <c r="B421" s="332" t="s">
        <v>368</v>
      </c>
      <c r="C421" s="332"/>
      <c r="D421" s="332" t="s">
        <v>2907</v>
      </c>
      <c r="E421" s="332">
        <v>175.0</v>
      </c>
      <c r="F421" s="338"/>
      <c r="G421" s="319"/>
      <c r="H421" s="338"/>
      <c r="I421" s="308"/>
      <c r="J421" s="308"/>
      <c r="K421" s="308"/>
      <c r="L421" s="308"/>
      <c r="M421" s="308"/>
      <c r="N421" s="332">
        <v>175.0</v>
      </c>
      <c r="O421" s="332"/>
      <c r="P421" s="308"/>
      <c r="Q421" s="308"/>
      <c r="R421" s="308"/>
      <c r="S421" s="308"/>
      <c r="T421" s="308"/>
      <c r="U421" s="308"/>
      <c r="V421" s="308"/>
      <c r="W421" s="308"/>
      <c r="X421" s="308"/>
      <c r="Y421" s="308"/>
      <c r="Z421" s="309"/>
      <c r="AA421" s="309"/>
      <c r="AB421" s="308"/>
      <c r="AC421" s="308"/>
    </row>
    <row r="422" hidden="1">
      <c r="A422" s="330">
        <v>45568.0</v>
      </c>
      <c r="B422" s="332" t="s">
        <v>1060</v>
      </c>
      <c r="C422" s="332"/>
      <c r="D422" s="332" t="s">
        <v>2907</v>
      </c>
      <c r="E422" s="332">
        <v>695.0</v>
      </c>
      <c r="F422" s="338"/>
      <c r="G422" s="319"/>
      <c r="H422" s="338"/>
      <c r="I422" s="308"/>
      <c r="J422" s="308"/>
      <c r="K422" s="308"/>
      <c r="L422" s="308"/>
      <c r="M422" s="308"/>
      <c r="N422" s="332">
        <v>695.0</v>
      </c>
      <c r="O422" s="332"/>
      <c r="P422" s="308"/>
      <c r="Q422" s="308"/>
      <c r="R422" s="308"/>
      <c r="S422" s="308"/>
      <c r="T422" s="308"/>
      <c r="U422" s="308"/>
      <c r="V422" s="308"/>
      <c r="W422" s="308"/>
      <c r="X422" s="308"/>
      <c r="Y422" s="308"/>
      <c r="Z422" s="309"/>
      <c r="AA422" s="309"/>
      <c r="AB422" s="308"/>
      <c r="AC422" s="308"/>
    </row>
    <row r="423" hidden="1">
      <c r="A423" s="330">
        <v>45568.0</v>
      </c>
      <c r="B423" s="332" t="s">
        <v>94</v>
      </c>
      <c r="C423" s="332"/>
      <c r="D423" s="332" t="s">
        <v>2907</v>
      </c>
      <c r="E423" s="332">
        <v>700.0</v>
      </c>
      <c r="F423" s="338"/>
      <c r="G423" s="319"/>
      <c r="H423" s="338"/>
      <c r="I423" s="308"/>
      <c r="J423" s="308"/>
      <c r="K423" s="308"/>
      <c r="L423" s="308"/>
      <c r="M423" s="308"/>
      <c r="N423" s="332">
        <v>700.0</v>
      </c>
      <c r="O423" s="332"/>
      <c r="P423" s="308"/>
      <c r="Q423" s="308"/>
      <c r="R423" s="308"/>
      <c r="S423" s="308"/>
      <c r="T423" s="308"/>
      <c r="U423" s="308"/>
      <c r="V423" s="308"/>
      <c r="W423" s="308"/>
      <c r="X423" s="308"/>
      <c r="Y423" s="308"/>
      <c r="Z423" s="309"/>
      <c r="AA423" s="309"/>
      <c r="AB423" s="308"/>
      <c r="AC423" s="308"/>
    </row>
    <row r="424" hidden="1">
      <c r="A424" s="330">
        <v>45572.0</v>
      </c>
      <c r="B424" s="332" t="s">
        <v>366</v>
      </c>
      <c r="C424" s="332"/>
      <c r="D424" s="332" t="s">
        <v>2907</v>
      </c>
      <c r="E424" s="332">
        <v>110.0</v>
      </c>
      <c r="F424" s="338"/>
      <c r="G424" s="319"/>
      <c r="H424" s="338"/>
      <c r="I424" s="308"/>
      <c r="J424" s="308"/>
      <c r="K424" s="308"/>
      <c r="L424" s="308"/>
      <c r="M424" s="308"/>
      <c r="N424" s="332">
        <v>110.0</v>
      </c>
      <c r="O424" s="308"/>
      <c r="P424" s="308"/>
      <c r="Q424" s="308"/>
      <c r="R424" s="308"/>
      <c r="S424" s="308"/>
      <c r="T424" s="308"/>
      <c r="U424" s="308"/>
      <c r="V424" s="308"/>
      <c r="W424" s="308"/>
      <c r="X424" s="308"/>
      <c r="Y424" s="308"/>
      <c r="Z424" s="309"/>
      <c r="AA424" s="309"/>
      <c r="AB424" s="308"/>
      <c r="AC424" s="308"/>
    </row>
    <row r="425" hidden="1">
      <c r="A425" s="330">
        <v>45572.0</v>
      </c>
      <c r="B425" s="332" t="s">
        <v>94</v>
      </c>
      <c r="C425" s="332"/>
      <c r="D425" s="332" t="s">
        <v>3006</v>
      </c>
      <c r="E425" s="332">
        <v>2000.0</v>
      </c>
      <c r="F425" s="338"/>
      <c r="G425" s="319"/>
      <c r="H425" s="338"/>
      <c r="I425" s="308"/>
      <c r="J425" s="308"/>
      <c r="K425" s="308"/>
      <c r="L425" s="308"/>
      <c r="M425" s="308"/>
      <c r="N425" s="308"/>
      <c r="P425" s="332">
        <v>2000.0</v>
      </c>
      <c r="Q425" s="308"/>
      <c r="R425" s="308"/>
      <c r="S425" s="308"/>
      <c r="T425" s="308"/>
      <c r="U425" s="308"/>
      <c r="V425" s="308"/>
      <c r="W425" s="308"/>
      <c r="X425" s="308"/>
      <c r="Y425" s="308"/>
      <c r="Z425" s="309"/>
      <c r="AA425" s="309"/>
      <c r="AB425" s="308"/>
      <c r="AC425" s="308"/>
    </row>
    <row r="426" hidden="1">
      <c r="A426" s="330">
        <v>45572.0</v>
      </c>
      <c r="B426" s="332" t="s">
        <v>94</v>
      </c>
      <c r="C426" s="332"/>
      <c r="D426" s="332" t="s">
        <v>3006</v>
      </c>
      <c r="E426" s="332">
        <v>2000.0</v>
      </c>
      <c r="F426" s="338"/>
      <c r="G426" s="319"/>
      <c r="H426" s="338"/>
      <c r="I426" s="308"/>
      <c r="J426" s="308"/>
      <c r="K426" s="308"/>
      <c r="L426" s="308"/>
      <c r="M426" s="308"/>
      <c r="N426" s="308"/>
      <c r="P426" s="332">
        <v>2000.0</v>
      </c>
      <c r="Q426" s="308"/>
      <c r="R426" s="308"/>
      <c r="S426" s="308"/>
      <c r="T426" s="308"/>
      <c r="U426" s="308"/>
      <c r="V426" s="308"/>
      <c r="W426" s="308"/>
      <c r="X426" s="308"/>
      <c r="Y426" s="308"/>
      <c r="Z426" s="309"/>
      <c r="AA426" s="309"/>
      <c r="AB426" s="308"/>
      <c r="AC426" s="308"/>
    </row>
    <row r="427" hidden="1">
      <c r="A427" s="330">
        <v>45576.0</v>
      </c>
      <c r="B427" s="332" t="s">
        <v>1345</v>
      </c>
      <c r="C427" s="332"/>
      <c r="D427" s="332" t="s">
        <v>2907</v>
      </c>
      <c r="E427" s="332">
        <v>90.0</v>
      </c>
      <c r="F427" s="338"/>
      <c r="G427" s="319"/>
      <c r="H427" s="338"/>
      <c r="I427" s="308"/>
      <c r="J427" s="308"/>
      <c r="K427" s="308"/>
      <c r="L427" s="308"/>
      <c r="M427" s="308"/>
      <c r="N427" s="332">
        <v>90.0</v>
      </c>
      <c r="Q427" s="308"/>
      <c r="R427" s="308"/>
      <c r="S427" s="308"/>
      <c r="T427" s="308"/>
      <c r="U427" s="308"/>
      <c r="V427" s="308"/>
      <c r="W427" s="308"/>
      <c r="X427" s="308"/>
      <c r="Y427" s="308"/>
      <c r="Z427" s="309"/>
      <c r="AA427" s="309"/>
      <c r="AB427" s="308"/>
      <c r="AC427" s="308"/>
    </row>
    <row r="428" hidden="1">
      <c r="A428" s="330">
        <v>45576.0</v>
      </c>
      <c r="B428" s="332" t="s">
        <v>780</v>
      </c>
      <c r="C428" s="332"/>
      <c r="D428" s="332" t="s">
        <v>2907</v>
      </c>
      <c r="E428" s="332">
        <v>200.0</v>
      </c>
      <c r="F428" s="338"/>
      <c r="G428" s="319"/>
      <c r="H428" s="338"/>
      <c r="I428" s="308"/>
      <c r="J428" s="308"/>
      <c r="K428" s="308"/>
      <c r="L428" s="308"/>
      <c r="M428" s="308"/>
      <c r="N428" s="332">
        <v>200.0</v>
      </c>
      <c r="O428" s="332"/>
      <c r="Q428" s="308"/>
      <c r="R428" s="308"/>
      <c r="S428" s="308"/>
      <c r="T428" s="308"/>
      <c r="U428" s="308"/>
      <c r="V428" s="308"/>
      <c r="W428" s="308"/>
      <c r="X428" s="308"/>
      <c r="Y428" s="308"/>
      <c r="Z428" s="309"/>
      <c r="AA428" s="309"/>
      <c r="AB428" s="308"/>
      <c r="AC428" s="308"/>
    </row>
    <row r="429" hidden="1">
      <c r="A429" s="330">
        <v>45576.0</v>
      </c>
      <c r="B429" s="332" t="s">
        <v>427</v>
      </c>
      <c r="C429" s="332"/>
      <c r="D429" s="332" t="s">
        <v>2907</v>
      </c>
      <c r="E429" s="332">
        <v>85.0</v>
      </c>
      <c r="F429" s="338"/>
      <c r="G429" s="319"/>
      <c r="H429" s="338"/>
      <c r="I429" s="308"/>
      <c r="J429" s="308"/>
      <c r="K429" s="308"/>
      <c r="L429" s="308"/>
      <c r="M429" s="308"/>
      <c r="N429" s="332">
        <v>85.0</v>
      </c>
      <c r="O429" s="332"/>
      <c r="Q429" s="308"/>
      <c r="R429" s="308"/>
      <c r="S429" s="308"/>
      <c r="T429" s="308"/>
      <c r="U429" s="308"/>
      <c r="V429" s="308"/>
      <c r="W429" s="308"/>
      <c r="X429" s="308"/>
      <c r="Y429" s="308"/>
      <c r="Z429" s="309"/>
      <c r="AA429" s="309"/>
      <c r="AB429" s="308"/>
      <c r="AC429" s="308"/>
    </row>
    <row r="430" hidden="1">
      <c r="A430" s="330">
        <v>45579.0</v>
      </c>
      <c r="B430" s="332" t="s">
        <v>938</v>
      </c>
      <c r="C430" s="332"/>
      <c r="D430" s="332" t="s">
        <v>2907</v>
      </c>
      <c r="E430" s="332">
        <v>2995.0</v>
      </c>
      <c r="F430" s="338"/>
      <c r="G430" s="319"/>
      <c r="H430" s="338"/>
      <c r="I430" s="308"/>
      <c r="J430" s="308"/>
      <c r="K430" s="308"/>
      <c r="L430" s="308"/>
      <c r="M430" s="308"/>
      <c r="N430" s="332">
        <v>2995.0</v>
      </c>
      <c r="O430" s="308"/>
      <c r="P430" s="308"/>
      <c r="Q430" s="308"/>
      <c r="R430" s="308"/>
      <c r="S430" s="308"/>
      <c r="T430" s="308"/>
      <c r="U430" s="308"/>
      <c r="V430" s="308"/>
      <c r="W430" s="308"/>
      <c r="X430" s="308"/>
      <c r="Y430" s="308"/>
      <c r="Z430" s="309"/>
      <c r="AA430" s="309"/>
      <c r="AB430" s="308"/>
      <c r="AC430" s="308"/>
    </row>
    <row r="431" hidden="1">
      <c r="A431" s="330">
        <v>45579.0</v>
      </c>
      <c r="B431" s="332" t="s">
        <v>574</v>
      </c>
      <c r="C431" s="332"/>
      <c r="D431" s="332" t="s">
        <v>2907</v>
      </c>
      <c r="E431" s="332">
        <v>2995.0</v>
      </c>
      <c r="F431" s="338"/>
      <c r="G431" s="319"/>
      <c r="H431" s="338"/>
      <c r="I431" s="308"/>
      <c r="J431" s="308"/>
      <c r="K431" s="308"/>
      <c r="L431" s="308"/>
      <c r="M431" s="308"/>
      <c r="N431" s="332">
        <v>2995.0</v>
      </c>
      <c r="O431" s="308"/>
      <c r="P431" s="308"/>
      <c r="Q431" s="308"/>
      <c r="R431" s="308"/>
      <c r="S431" s="308"/>
      <c r="T431" s="308"/>
      <c r="U431" s="308"/>
      <c r="V431" s="308"/>
      <c r="W431" s="308"/>
      <c r="X431" s="308"/>
      <c r="Y431" s="308"/>
      <c r="Z431" s="309"/>
      <c r="AA431" s="309"/>
      <c r="AB431" s="308"/>
      <c r="AC431" s="308"/>
    </row>
    <row r="432" hidden="1">
      <c r="A432" s="330">
        <v>45579.0</v>
      </c>
      <c r="B432" s="332" t="s">
        <v>1366</v>
      </c>
      <c r="C432" s="332"/>
      <c r="D432" s="332" t="s">
        <v>2907</v>
      </c>
      <c r="E432" s="332">
        <v>960.0</v>
      </c>
      <c r="F432" s="338"/>
      <c r="G432" s="319"/>
      <c r="H432" s="338"/>
      <c r="I432" s="308"/>
      <c r="J432" s="308"/>
      <c r="K432" s="308"/>
      <c r="L432" s="308"/>
      <c r="M432" s="308"/>
      <c r="N432" s="332">
        <v>960.0</v>
      </c>
      <c r="O432" s="308"/>
      <c r="P432" s="308"/>
      <c r="Q432" s="308"/>
      <c r="R432" s="308"/>
      <c r="S432" s="308"/>
      <c r="T432" s="308"/>
      <c r="U432" s="308"/>
      <c r="V432" s="308"/>
      <c r="W432" s="308"/>
      <c r="X432" s="308"/>
      <c r="Y432" s="308"/>
      <c r="Z432" s="309"/>
      <c r="AA432" s="309"/>
      <c r="AB432" s="308"/>
      <c r="AC432" s="308"/>
    </row>
    <row r="433" hidden="1">
      <c r="A433" s="330">
        <v>45579.0</v>
      </c>
      <c r="B433" s="332" t="s">
        <v>636</v>
      </c>
      <c r="C433" s="332"/>
      <c r="D433" s="332" t="s">
        <v>2907</v>
      </c>
      <c r="E433" s="332">
        <v>850.0</v>
      </c>
      <c r="F433" s="338"/>
      <c r="G433" s="319"/>
      <c r="H433" s="338"/>
      <c r="I433" s="308"/>
      <c r="J433" s="308"/>
      <c r="K433" s="308"/>
      <c r="L433" s="308"/>
      <c r="M433" s="308"/>
      <c r="N433" s="332">
        <v>850.0</v>
      </c>
      <c r="O433" s="308"/>
      <c r="P433" s="308"/>
      <c r="Q433" s="308"/>
      <c r="R433" s="308"/>
      <c r="S433" s="308"/>
      <c r="T433" s="308"/>
      <c r="U433" s="308"/>
      <c r="V433" s="308"/>
      <c r="W433" s="308"/>
      <c r="X433" s="308"/>
      <c r="Y433" s="308"/>
      <c r="Z433" s="309"/>
      <c r="AA433" s="309"/>
      <c r="AB433" s="308"/>
      <c r="AC433" s="308"/>
    </row>
    <row r="434" hidden="1">
      <c r="A434" s="330">
        <v>45579.0</v>
      </c>
      <c r="B434" s="332" t="s">
        <v>636</v>
      </c>
      <c r="C434" s="332"/>
      <c r="D434" s="332" t="s">
        <v>2907</v>
      </c>
      <c r="E434" s="332">
        <v>200.0</v>
      </c>
      <c r="F434" s="338"/>
      <c r="G434" s="319"/>
      <c r="H434" s="338"/>
      <c r="I434" s="308"/>
      <c r="J434" s="308"/>
      <c r="K434" s="308"/>
      <c r="L434" s="308"/>
      <c r="M434" s="308"/>
      <c r="N434" s="332">
        <v>200.0</v>
      </c>
      <c r="O434" s="308"/>
      <c r="P434" s="308"/>
      <c r="Q434" s="308"/>
      <c r="R434" s="308"/>
      <c r="S434" s="308"/>
      <c r="T434" s="308"/>
      <c r="U434" s="308"/>
      <c r="V434" s="308"/>
      <c r="W434" s="308"/>
      <c r="X434" s="308"/>
      <c r="Y434" s="308"/>
      <c r="Z434" s="309"/>
      <c r="AA434" s="309"/>
      <c r="AB434" s="308"/>
      <c r="AC434" s="308"/>
    </row>
    <row r="435" hidden="1">
      <c r="A435" s="330">
        <v>45579.0</v>
      </c>
      <c r="B435" s="332" t="s">
        <v>272</v>
      </c>
      <c r="C435" s="332"/>
      <c r="D435" s="332" t="s">
        <v>2907</v>
      </c>
      <c r="E435" s="332">
        <v>3616.0</v>
      </c>
      <c r="F435" s="338"/>
      <c r="G435" s="319"/>
      <c r="H435" s="338"/>
      <c r="I435" s="308"/>
      <c r="J435" s="308"/>
      <c r="K435" s="308"/>
      <c r="L435" s="308"/>
      <c r="M435" s="308"/>
      <c r="N435" s="332">
        <v>3616.0</v>
      </c>
      <c r="O435" s="308"/>
      <c r="P435" s="308"/>
      <c r="Q435" s="308"/>
      <c r="R435" s="308"/>
      <c r="S435" s="308"/>
      <c r="T435" s="308"/>
      <c r="U435" s="308"/>
      <c r="V435" s="308"/>
      <c r="W435" s="308"/>
      <c r="X435" s="308"/>
      <c r="Y435" s="308"/>
      <c r="Z435" s="309"/>
      <c r="AA435" s="309"/>
      <c r="AB435" s="308"/>
      <c r="AC435" s="308"/>
    </row>
    <row r="436" hidden="1">
      <c r="A436" s="330">
        <v>45579.0</v>
      </c>
      <c r="B436" s="332" t="s">
        <v>272</v>
      </c>
      <c r="C436" s="332"/>
      <c r="D436" s="332" t="s">
        <v>2907</v>
      </c>
      <c r="E436" s="332">
        <v>3875.0</v>
      </c>
      <c r="F436" s="338"/>
      <c r="G436" s="319"/>
      <c r="H436" s="338"/>
      <c r="I436" s="308"/>
      <c r="J436" s="308"/>
      <c r="K436" s="308"/>
      <c r="L436" s="308"/>
      <c r="M436" s="308"/>
      <c r="N436" s="332">
        <v>3875.0</v>
      </c>
      <c r="O436" s="308"/>
      <c r="P436" s="308"/>
      <c r="Q436" s="308"/>
      <c r="R436" s="308"/>
      <c r="S436" s="308"/>
      <c r="T436" s="308"/>
      <c r="U436" s="308"/>
      <c r="V436" s="308"/>
      <c r="W436" s="308"/>
      <c r="X436" s="308"/>
      <c r="Y436" s="308"/>
      <c r="Z436" s="309"/>
      <c r="AA436" s="309"/>
      <c r="AB436" s="308"/>
      <c r="AC436" s="308"/>
    </row>
    <row r="437" hidden="1">
      <c r="A437" s="330">
        <v>45579.0</v>
      </c>
      <c r="B437" s="332" t="s">
        <v>78</v>
      </c>
      <c r="C437" s="332"/>
      <c r="D437" s="332" t="s">
        <v>2907</v>
      </c>
      <c r="E437" s="332">
        <v>8500.0</v>
      </c>
      <c r="F437" s="338"/>
      <c r="G437" s="319"/>
      <c r="H437" s="338"/>
      <c r="I437" s="308"/>
      <c r="J437" s="308"/>
      <c r="K437" s="308"/>
      <c r="L437" s="308"/>
      <c r="M437" s="308"/>
      <c r="N437" s="332">
        <v>8500.0</v>
      </c>
      <c r="O437" s="308"/>
      <c r="P437" s="308"/>
      <c r="Q437" s="308"/>
      <c r="R437" s="308"/>
      <c r="S437" s="308"/>
      <c r="T437" s="308"/>
      <c r="U437" s="308"/>
      <c r="V437" s="308"/>
      <c r="W437" s="308"/>
      <c r="X437" s="308"/>
      <c r="Y437" s="308"/>
      <c r="Z437" s="309"/>
      <c r="AA437" s="309"/>
      <c r="AB437" s="308"/>
      <c r="AC437" s="308"/>
    </row>
    <row r="438" hidden="1">
      <c r="A438" s="330">
        <v>45579.0</v>
      </c>
      <c r="B438" s="332" t="s">
        <v>111</v>
      </c>
      <c r="C438" s="332"/>
      <c r="D438" s="332" t="s">
        <v>2907</v>
      </c>
      <c r="E438" s="332">
        <v>4000.0</v>
      </c>
      <c r="F438" s="338"/>
      <c r="G438" s="319"/>
      <c r="H438" s="338"/>
      <c r="I438" s="308"/>
      <c r="J438" s="308"/>
      <c r="K438" s="308"/>
      <c r="L438" s="308"/>
      <c r="M438" s="308"/>
      <c r="N438" s="332">
        <v>4000.0</v>
      </c>
      <c r="O438" s="308"/>
      <c r="P438" s="308"/>
      <c r="Q438" s="308"/>
      <c r="R438" s="308"/>
      <c r="S438" s="308"/>
      <c r="T438" s="308"/>
      <c r="U438" s="308"/>
      <c r="V438" s="308"/>
      <c r="W438" s="308"/>
      <c r="X438" s="308"/>
      <c r="Y438" s="308"/>
      <c r="Z438" s="309"/>
      <c r="AA438" s="309"/>
      <c r="AB438" s="308"/>
      <c r="AC438" s="308"/>
    </row>
    <row r="439" hidden="1">
      <c r="A439" s="330">
        <v>45581.0</v>
      </c>
      <c r="B439" s="332" t="s">
        <v>245</v>
      </c>
      <c r="C439" s="332"/>
      <c r="D439" s="332" t="s">
        <v>2907</v>
      </c>
      <c r="E439" s="332">
        <v>1677.0</v>
      </c>
      <c r="F439" s="338"/>
      <c r="G439" s="319"/>
      <c r="H439" s="338"/>
      <c r="I439" s="308"/>
      <c r="J439" s="308"/>
      <c r="K439" s="308"/>
      <c r="L439" s="308"/>
      <c r="M439" s="308"/>
      <c r="N439" s="332">
        <v>1677.0</v>
      </c>
      <c r="O439" s="308"/>
      <c r="P439" s="308"/>
      <c r="Q439" s="308"/>
      <c r="R439" s="308"/>
      <c r="S439" s="308"/>
      <c r="T439" s="308"/>
      <c r="U439" s="308"/>
      <c r="V439" s="308"/>
      <c r="W439" s="308"/>
      <c r="X439" s="308"/>
      <c r="Y439" s="308"/>
      <c r="Z439" s="309"/>
      <c r="AA439" s="309"/>
      <c r="AB439" s="308"/>
      <c r="AC439" s="308"/>
    </row>
    <row r="440" hidden="1">
      <c r="A440" s="330">
        <v>45581.0</v>
      </c>
      <c r="B440" s="332" t="s">
        <v>123</v>
      </c>
      <c r="C440" s="332"/>
      <c r="D440" s="332" t="s">
        <v>2907</v>
      </c>
      <c r="E440" s="332">
        <v>700.0</v>
      </c>
      <c r="F440" s="338"/>
      <c r="G440" s="319"/>
      <c r="H440" s="338"/>
      <c r="I440" s="308"/>
      <c r="J440" s="308"/>
      <c r="K440" s="308"/>
      <c r="L440" s="308"/>
      <c r="M440" s="308"/>
      <c r="N440" s="332">
        <v>700.0</v>
      </c>
      <c r="O440" s="308"/>
      <c r="P440" s="308"/>
      <c r="Q440" s="308"/>
      <c r="R440" s="308"/>
      <c r="S440" s="308"/>
      <c r="T440" s="308"/>
      <c r="U440" s="308"/>
      <c r="V440" s="308"/>
      <c r="W440" s="308"/>
      <c r="X440" s="308"/>
      <c r="Y440" s="308"/>
      <c r="Z440" s="309"/>
      <c r="AA440" s="309"/>
      <c r="AB440" s="308"/>
      <c r="AC440" s="308"/>
    </row>
    <row r="441" hidden="1">
      <c r="A441" s="330">
        <v>45588.0</v>
      </c>
      <c r="B441" s="332" t="s">
        <v>586</v>
      </c>
      <c r="C441" s="332"/>
      <c r="D441" s="332" t="s">
        <v>2907</v>
      </c>
      <c r="E441" s="332">
        <v>3400.0</v>
      </c>
      <c r="F441" s="338"/>
      <c r="G441" s="319"/>
      <c r="H441" s="338"/>
      <c r="I441" s="308"/>
      <c r="J441" s="308"/>
      <c r="K441" s="308"/>
      <c r="L441" s="308"/>
      <c r="M441" s="308"/>
      <c r="N441" s="332">
        <v>3400.0</v>
      </c>
      <c r="O441" s="308"/>
      <c r="P441" s="308"/>
      <c r="Q441" s="308"/>
      <c r="R441" s="308"/>
      <c r="S441" s="308"/>
      <c r="T441" s="308"/>
      <c r="U441" s="308"/>
      <c r="V441" s="308"/>
      <c r="W441" s="308"/>
      <c r="X441" s="308"/>
      <c r="Y441" s="308"/>
      <c r="Z441" s="309"/>
      <c r="AA441" s="309"/>
      <c r="AB441" s="308"/>
      <c r="AC441" s="308"/>
    </row>
    <row r="442" hidden="1">
      <c r="A442" s="330">
        <v>45588.0</v>
      </c>
      <c r="B442" s="332" t="s">
        <v>771</v>
      </c>
      <c r="C442" s="332"/>
      <c r="D442" s="332" t="s">
        <v>2907</v>
      </c>
      <c r="E442" s="332">
        <v>600.0</v>
      </c>
      <c r="F442" s="338"/>
      <c r="G442" s="319"/>
      <c r="H442" s="338"/>
      <c r="I442" s="308"/>
      <c r="J442" s="308"/>
      <c r="K442" s="308"/>
      <c r="L442" s="308"/>
      <c r="M442" s="308"/>
      <c r="N442" s="332">
        <v>600.0</v>
      </c>
      <c r="O442" s="308"/>
      <c r="P442" s="308"/>
      <c r="Q442" s="308"/>
      <c r="R442" s="308"/>
      <c r="S442" s="308"/>
      <c r="T442" s="308"/>
      <c r="U442" s="308"/>
      <c r="V442" s="308"/>
      <c r="W442" s="308"/>
      <c r="X442" s="308"/>
      <c r="Y442" s="308"/>
      <c r="Z442" s="309"/>
      <c r="AA442" s="309"/>
      <c r="AB442" s="308"/>
      <c r="AC442" s="308"/>
    </row>
    <row r="443" hidden="1">
      <c r="A443" s="330">
        <v>45588.0</v>
      </c>
      <c r="B443" s="332" t="s">
        <v>1406</v>
      </c>
      <c r="C443" s="332"/>
      <c r="D443" s="332" t="s">
        <v>2907</v>
      </c>
      <c r="E443" s="332">
        <v>25.95</v>
      </c>
      <c r="F443" s="338"/>
      <c r="G443" s="319"/>
      <c r="H443" s="338"/>
      <c r="I443" s="308"/>
      <c r="J443" s="308"/>
      <c r="K443" s="308"/>
      <c r="L443" s="308"/>
      <c r="M443" s="308"/>
      <c r="N443" s="332">
        <v>25.95</v>
      </c>
      <c r="O443" s="308"/>
      <c r="P443" s="308"/>
      <c r="Q443" s="308"/>
      <c r="R443" s="308"/>
      <c r="S443" s="308"/>
      <c r="T443" s="308"/>
      <c r="U443" s="308"/>
      <c r="V443" s="308"/>
      <c r="W443" s="308"/>
      <c r="X443" s="308"/>
      <c r="Y443" s="308"/>
      <c r="Z443" s="309"/>
      <c r="AA443" s="309"/>
      <c r="AB443" s="308"/>
      <c r="AC443" s="308"/>
    </row>
    <row r="444" hidden="1">
      <c r="A444" s="330">
        <v>45588.0</v>
      </c>
      <c r="B444" s="332" t="s">
        <v>237</v>
      </c>
      <c r="C444" s="332"/>
      <c r="D444" s="332" t="s">
        <v>2907</v>
      </c>
      <c r="E444" s="332">
        <v>499.0</v>
      </c>
      <c r="F444" s="338"/>
      <c r="G444" s="319"/>
      <c r="H444" s="338"/>
      <c r="I444" s="308"/>
      <c r="J444" s="308"/>
      <c r="K444" s="308"/>
      <c r="L444" s="308"/>
      <c r="M444" s="308"/>
      <c r="N444" s="332">
        <v>499.0</v>
      </c>
      <c r="O444" s="308"/>
      <c r="P444" s="308"/>
      <c r="Q444" s="308"/>
      <c r="R444" s="308"/>
      <c r="S444" s="308"/>
      <c r="T444" s="308"/>
      <c r="U444" s="308"/>
      <c r="V444" s="308"/>
      <c r="W444" s="308"/>
      <c r="X444" s="308"/>
      <c r="Y444" s="308"/>
      <c r="Z444" s="309"/>
      <c r="AA444" s="309"/>
      <c r="AB444" s="308"/>
      <c r="AC444" s="308"/>
    </row>
    <row r="445" hidden="1">
      <c r="A445" s="330">
        <v>45588.0</v>
      </c>
      <c r="B445" s="332" t="s">
        <v>123</v>
      </c>
      <c r="C445" s="332"/>
      <c r="D445" s="332" t="s">
        <v>3006</v>
      </c>
      <c r="E445" s="332">
        <v>1000.0</v>
      </c>
      <c r="F445" s="338"/>
      <c r="G445" s="319"/>
      <c r="H445" s="338"/>
      <c r="I445" s="308"/>
      <c r="J445" s="308"/>
      <c r="K445" s="308"/>
      <c r="L445" s="308"/>
      <c r="M445" s="308"/>
      <c r="N445" s="332"/>
      <c r="O445" s="332">
        <v>1000.0</v>
      </c>
      <c r="P445" s="308"/>
      <c r="Q445" s="308"/>
      <c r="R445" s="308"/>
      <c r="S445" s="308"/>
      <c r="T445" s="308"/>
      <c r="U445" s="308"/>
      <c r="V445" s="308"/>
      <c r="W445" s="308"/>
      <c r="X445" s="308"/>
      <c r="Y445" s="308"/>
      <c r="Z445" s="309"/>
      <c r="AA445" s="309"/>
      <c r="AB445" s="308"/>
      <c r="AC445" s="308"/>
    </row>
    <row r="446" hidden="1">
      <c r="A446" s="330">
        <v>45593.0</v>
      </c>
      <c r="B446" s="332" t="s">
        <v>1045</v>
      </c>
      <c r="C446" s="332"/>
      <c r="D446" s="332" t="s">
        <v>2907</v>
      </c>
      <c r="E446" s="332">
        <v>65.0</v>
      </c>
      <c r="F446" s="338"/>
      <c r="G446" s="319"/>
      <c r="H446" s="338"/>
      <c r="I446" s="308"/>
      <c r="J446" s="308"/>
      <c r="K446" s="308"/>
      <c r="L446" s="308"/>
      <c r="M446" s="308"/>
      <c r="N446" s="332">
        <v>65.0</v>
      </c>
      <c r="O446" s="308"/>
      <c r="P446" s="308"/>
      <c r="Q446" s="308"/>
      <c r="R446" s="308"/>
      <c r="S446" s="308"/>
      <c r="T446" s="308"/>
      <c r="U446" s="308"/>
      <c r="V446" s="308"/>
      <c r="W446" s="308"/>
      <c r="X446" s="308"/>
      <c r="Y446" s="308"/>
      <c r="Z446" s="309"/>
      <c r="AA446" s="309"/>
      <c r="AB446" s="308"/>
      <c r="AC446" s="308"/>
    </row>
    <row r="447" hidden="1">
      <c r="A447" s="330">
        <v>45593.0</v>
      </c>
      <c r="B447" s="332" t="s">
        <v>1106</v>
      </c>
      <c r="C447" s="332"/>
      <c r="D447" s="332" t="s">
        <v>3006</v>
      </c>
      <c r="E447" s="332">
        <v>120.0</v>
      </c>
      <c r="F447" s="338"/>
      <c r="G447" s="319"/>
      <c r="H447" s="338"/>
      <c r="I447" s="308"/>
      <c r="J447" s="308"/>
      <c r="K447" s="308"/>
      <c r="L447" s="308"/>
      <c r="M447" s="308"/>
      <c r="N447" s="332"/>
      <c r="O447" s="332">
        <v>120.0</v>
      </c>
      <c r="P447" s="308"/>
      <c r="Q447" s="308"/>
      <c r="R447" s="308"/>
      <c r="S447" s="308"/>
      <c r="T447" s="308"/>
      <c r="U447" s="308"/>
      <c r="V447" s="308"/>
      <c r="W447" s="308"/>
      <c r="X447" s="308"/>
      <c r="Y447" s="308"/>
      <c r="Z447" s="309"/>
      <c r="AA447" s="309"/>
      <c r="AB447" s="308"/>
      <c r="AC447" s="308"/>
    </row>
    <row r="448" hidden="1">
      <c r="A448" s="330">
        <v>45593.0</v>
      </c>
      <c r="B448" s="332" t="s">
        <v>1425</v>
      </c>
      <c r="C448" s="332"/>
      <c r="D448" s="332" t="s">
        <v>2907</v>
      </c>
      <c r="E448" s="332">
        <v>3000.0</v>
      </c>
      <c r="F448" s="338"/>
      <c r="G448" s="319"/>
      <c r="H448" s="338"/>
      <c r="I448" s="308"/>
      <c r="J448" s="308"/>
      <c r="K448" s="308"/>
      <c r="L448" s="308"/>
      <c r="M448" s="308"/>
      <c r="N448" s="332">
        <v>3000.0</v>
      </c>
      <c r="O448" s="308"/>
      <c r="P448" s="308"/>
      <c r="Q448" s="308"/>
      <c r="R448" s="308"/>
      <c r="S448" s="308"/>
      <c r="T448" s="308"/>
      <c r="U448" s="308"/>
      <c r="V448" s="308"/>
      <c r="W448" s="308"/>
      <c r="X448" s="308"/>
      <c r="Y448" s="308"/>
      <c r="Z448" s="309"/>
      <c r="AA448" s="309"/>
      <c r="AB448" s="308"/>
      <c r="AC448" s="308"/>
    </row>
    <row r="449" hidden="1">
      <c r="A449" s="330">
        <v>45593.0</v>
      </c>
      <c r="B449" s="332" t="s">
        <v>123</v>
      </c>
      <c r="C449" s="332"/>
      <c r="D449" s="332" t="s">
        <v>2907</v>
      </c>
      <c r="E449" s="332">
        <v>195.0</v>
      </c>
      <c r="F449" s="338"/>
      <c r="G449" s="319"/>
      <c r="H449" s="338"/>
      <c r="I449" s="308"/>
      <c r="J449" s="308"/>
      <c r="K449" s="308"/>
      <c r="L449" s="308"/>
      <c r="M449" s="308"/>
      <c r="N449" s="332">
        <v>195.0</v>
      </c>
      <c r="O449" s="308"/>
      <c r="P449" s="308"/>
      <c r="Q449" s="308"/>
      <c r="R449" s="308"/>
      <c r="S449" s="308"/>
      <c r="T449" s="308"/>
      <c r="U449" s="308"/>
      <c r="V449" s="308"/>
      <c r="W449" s="308"/>
      <c r="X449" s="308"/>
      <c r="Y449" s="308"/>
      <c r="Z449" s="309"/>
      <c r="AA449" s="309"/>
      <c r="AB449" s="308"/>
      <c r="AC449" s="308"/>
    </row>
    <row r="450" hidden="1">
      <c r="A450" s="330">
        <v>45597.0</v>
      </c>
      <c r="B450" s="332" t="s">
        <v>219</v>
      </c>
      <c r="C450" s="308"/>
      <c r="D450" s="332" t="s">
        <v>2907</v>
      </c>
      <c r="E450" s="332">
        <v>200.0</v>
      </c>
      <c r="F450" s="319"/>
      <c r="G450" s="319"/>
      <c r="H450" s="319"/>
      <c r="I450" s="308"/>
      <c r="J450" s="308"/>
      <c r="K450" s="308"/>
      <c r="L450" s="308"/>
      <c r="M450" s="308"/>
      <c r="N450" s="332">
        <v>200.0</v>
      </c>
      <c r="O450" s="308"/>
      <c r="P450" s="308"/>
      <c r="Q450" s="308"/>
      <c r="R450" s="308"/>
      <c r="S450" s="308"/>
      <c r="T450" s="308"/>
      <c r="U450" s="308"/>
      <c r="V450" s="308"/>
      <c r="W450" s="308"/>
      <c r="X450" s="308"/>
      <c r="Y450" s="308"/>
      <c r="Z450" s="309"/>
      <c r="AA450" s="309"/>
      <c r="AB450" s="308"/>
      <c r="AC450" s="308"/>
    </row>
    <row r="451" hidden="1">
      <c r="A451" s="330">
        <v>45597.0</v>
      </c>
      <c r="B451" s="332" t="s">
        <v>595</v>
      </c>
      <c r="C451" s="308"/>
      <c r="D451" s="332" t="s">
        <v>3006</v>
      </c>
      <c r="E451" s="332">
        <v>2000.0</v>
      </c>
      <c r="F451" s="319"/>
      <c r="G451" s="319"/>
      <c r="H451" s="319"/>
      <c r="I451" s="308"/>
      <c r="J451" s="308"/>
      <c r="K451" s="308"/>
      <c r="L451" s="308"/>
      <c r="M451" s="308"/>
      <c r="N451" s="332"/>
      <c r="O451" s="332">
        <v>2000.0</v>
      </c>
      <c r="P451" s="308"/>
      <c r="Q451" s="308"/>
      <c r="R451" s="308"/>
      <c r="S451" s="308"/>
      <c r="T451" s="308"/>
      <c r="U451" s="308"/>
      <c r="V451" s="308"/>
      <c r="W451" s="308"/>
      <c r="X451" s="308"/>
      <c r="Y451" s="308"/>
      <c r="Z451" s="309"/>
      <c r="AA451" s="309"/>
      <c r="AB451" s="308"/>
      <c r="AC451" s="308"/>
    </row>
    <row r="452" hidden="1">
      <c r="A452" s="330">
        <v>45597.0</v>
      </c>
      <c r="B452" s="332" t="s">
        <v>1242</v>
      </c>
      <c r="C452" s="308"/>
      <c r="D452" s="332" t="s">
        <v>2907</v>
      </c>
      <c r="E452" s="332">
        <v>145.0</v>
      </c>
      <c r="F452" s="319"/>
      <c r="G452" s="319"/>
      <c r="H452" s="319"/>
      <c r="I452" s="308"/>
      <c r="J452" s="308"/>
      <c r="K452" s="308"/>
      <c r="L452" s="308"/>
      <c r="M452" s="308"/>
      <c r="N452" s="332">
        <v>145.0</v>
      </c>
      <c r="O452" s="308"/>
      <c r="P452" s="308"/>
      <c r="Q452" s="308"/>
      <c r="R452" s="308"/>
      <c r="S452" s="308"/>
      <c r="T452" s="308"/>
      <c r="U452" s="308"/>
      <c r="V452" s="308"/>
      <c r="W452" s="308"/>
      <c r="X452" s="308"/>
      <c r="Y452" s="308"/>
      <c r="Z452" s="309"/>
      <c r="AA452" s="309"/>
      <c r="AB452" s="308"/>
      <c r="AC452" s="308"/>
    </row>
    <row r="453" hidden="1">
      <c r="A453" s="330">
        <v>45602.0</v>
      </c>
      <c r="B453" s="332" t="s">
        <v>1284</v>
      </c>
      <c r="C453" s="308"/>
      <c r="D453" s="332" t="s">
        <v>2907</v>
      </c>
      <c r="E453" s="332">
        <v>1750.0</v>
      </c>
      <c r="F453" s="319"/>
      <c r="G453" s="319"/>
      <c r="H453" s="319"/>
      <c r="I453" s="308"/>
      <c r="J453" s="308"/>
      <c r="K453" s="308"/>
      <c r="L453" s="308"/>
      <c r="M453" s="308"/>
      <c r="N453" s="332">
        <v>1750.0</v>
      </c>
      <c r="O453" s="308"/>
      <c r="P453" s="308"/>
      <c r="Q453" s="308"/>
      <c r="R453" s="308"/>
      <c r="S453" s="308"/>
      <c r="T453" s="308"/>
      <c r="U453" s="308"/>
      <c r="V453" s="308"/>
      <c r="W453" s="308"/>
      <c r="X453" s="308"/>
      <c r="Y453" s="308"/>
      <c r="Z453" s="309"/>
      <c r="AA453" s="309"/>
      <c r="AB453" s="308"/>
      <c r="AC453" s="308"/>
    </row>
    <row r="454" hidden="1">
      <c r="A454" s="330">
        <v>45602.0</v>
      </c>
      <c r="B454" s="332" t="s">
        <v>37</v>
      </c>
      <c r="C454" s="308"/>
      <c r="D454" s="332" t="s">
        <v>3006</v>
      </c>
      <c r="E454" s="332">
        <v>3000.0</v>
      </c>
      <c r="F454" s="319"/>
      <c r="G454" s="319"/>
      <c r="H454" s="319"/>
      <c r="I454" s="308"/>
      <c r="J454" s="308"/>
      <c r="K454" s="308"/>
      <c r="L454" s="308"/>
      <c r="M454" s="308"/>
      <c r="N454" s="308"/>
      <c r="O454" s="332">
        <v>3000.0</v>
      </c>
      <c r="P454" s="308"/>
      <c r="Q454" s="308"/>
      <c r="R454" s="308"/>
      <c r="S454" s="308"/>
      <c r="T454" s="308"/>
      <c r="U454" s="308"/>
      <c r="V454" s="308"/>
      <c r="W454" s="308"/>
      <c r="X454" s="308"/>
      <c r="Y454" s="308"/>
      <c r="Z454" s="309"/>
      <c r="AA454" s="309"/>
      <c r="AB454" s="308"/>
      <c r="AC454" s="308"/>
    </row>
    <row r="455" hidden="1">
      <c r="A455" s="330">
        <v>45608.0</v>
      </c>
      <c r="B455" s="332" t="s">
        <v>1461</v>
      </c>
      <c r="C455" s="308"/>
      <c r="D455" s="332" t="s">
        <v>2907</v>
      </c>
      <c r="E455" s="332">
        <v>57.0</v>
      </c>
      <c r="F455" s="319"/>
      <c r="G455" s="319"/>
      <c r="H455" s="319"/>
      <c r="I455" s="308"/>
      <c r="J455" s="308"/>
      <c r="K455" s="308"/>
      <c r="L455" s="308"/>
      <c r="M455" s="308"/>
      <c r="N455" s="332">
        <v>57.0</v>
      </c>
      <c r="O455" s="308"/>
      <c r="P455" s="308"/>
      <c r="Q455" s="308"/>
      <c r="R455" s="308"/>
      <c r="S455" s="308"/>
      <c r="T455" s="308"/>
      <c r="U455" s="308"/>
      <c r="V455" s="308"/>
      <c r="W455" s="308"/>
      <c r="X455" s="308"/>
      <c r="Y455" s="308"/>
      <c r="Z455" s="309"/>
      <c r="AA455" s="309"/>
      <c r="AB455" s="308"/>
      <c r="AC455" s="308"/>
    </row>
    <row r="456" hidden="1">
      <c r="A456" s="330">
        <v>45608.0</v>
      </c>
      <c r="B456" s="332" t="s">
        <v>1461</v>
      </c>
      <c r="C456" s="308"/>
      <c r="D456" s="332" t="s">
        <v>2907</v>
      </c>
      <c r="E456" s="332">
        <v>57.0</v>
      </c>
      <c r="F456" s="319"/>
      <c r="G456" s="319"/>
      <c r="H456" s="319"/>
      <c r="I456" s="308"/>
      <c r="J456" s="308"/>
      <c r="K456" s="308"/>
      <c r="L456" s="308"/>
      <c r="M456" s="308"/>
      <c r="N456" s="332">
        <v>57.0</v>
      </c>
      <c r="O456" s="308"/>
      <c r="P456" s="308"/>
      <c r="Q456" s="308"/>
      <c r="R456" s="308"/>
      <c r="S456" s="308"/>
      <c r="T456" s="308"/>
      <c r="U456" s="308"/>
      <c r="V456" s="308"/>
      <c r="W456" s="308"/>
      <c r="X456" s="308"/>
      <c r="Y456" s="308"/>
      <c r="Z456" s="309"/>
      <c r="AA456" s="309"/>
      <c r="AB456" s="308"/>
      <c r="AC456" s="308"/>
    </row>
    <row r="457" hidden="1">
      <c r="A457" s="330">
        <v>45608.0</v>
      </c>
      <c r="B457" s="332" t="s">
        <v>366</v>
      </c>
      <c r="C457" s="308"/>
      <c r="D457" s="332" t="s">
        <v>2907</v>
      </c>
      <c r="E457" s="332">
        <v>3000.0</v>
      </c>
      <c r="F457" s="319"/>
      <c r="G457" s="319"/>
      <c r="H457" s="319"/>
      <c r="I457" s="308"/>
      <c r="J457" s="308"/>
      <c r="K457" s="308"/>
      <c r="L457" s="308"/>
      <c r="M457" s="308"/>
      <c r="N457" s="332">
        <v>3000.0</v>
      </c>
      <c r="O457" s="308"/>
      <c r="P457" s="308"/>
      <c r="Q457" s="308"/>
      <c r="R457" s="308"/>
      <c r="S457" s="308"/>
      <c r="T457" s="308"/>
      <c r="U457" s="308"/>
      <c r="V457" s="308"/>
      <c r="W457" s="308"/>
      <c r="X457" s="308"/>
      <c r="Y457" s="308"/>
      <c r="Z457" s="309"/>
      <c r="AA457" s="309"/>
      <c r="AB457" s="308"/>
      <c r="AC457" s="308"/>
    </row>
    <row r="458" hidden="1">
      <c r="A458" s="330">
        <v>45611.0</v>
      </c>
      <c r="B458" s="332" t="s">
        <v>37</v>
      </c>
      <c r="C458" s="308"/>
      <c r="D458" s="332" t="s">
        <v>3006</v>
      </c>
      <c r="E458" s="332">
        <v>6000.0</v>
      </c>
      <c r="F458" s="319"/>
      <c r="G458" s="319"/>
      <c r="H458" s="319"/>
      <c r="I458" s="308"/>
      <c r="J458" s="308"/>
      <c r="K458" s="308"/>
      <c r="L458" s="308"/>
      <c r="M458" s="308"/>
      <c r="N458" s="308"/>
      <c r="O458" s="332">
        <v>6000.0</v>
      </c>
      <c r="P458" s="308"/>
      <c r="Q458" s="308"/>
      <c r="R458" s="308"/>
      <c r="S458" s="308"/>
      <c r="T458" s="308"/>
      <c r="U458" s="308"/>
      <c r="V458" s="308"/>
      <c r="W458" s="308"/>
      <c r="X458" s="308"/>
      <c r="Y458" s="308"/>
      <c r="Z458" s="309"/>
      <c r="AA458" s="309"/>
      <c r="AB458" s="308"/>
      <c r="AC458" s="308"/>
    </row>
    <row r="459" hidden="1">
      <c r="A459" s="330">
        <v>45611.0</v>
      </c>
      <c r="B459" s="332" t="s">
        <v>37</v>
      </c>
      <c r="C459" s="308"/>
      <c r="D459" s="332" t="s">
        <v>2907</v>
      </c>
      <c r="E459" s="332">
        <v>5000.0</v>
      </c>
      <c r="F459" s="319"/>
      <c r="G459" s="319"/>
      <c r="H459" s="319"/>
      <c r="I459" s="308"/>
      <c r="J459" s="308"/>
      <c r="K459" s="308"/>
      <c r="L459" s="308"/>
      <c r="M459" s="308"/>
      <c r="N459" s="332">
        <v>5000.0</v>
      </c>
      <c r="O459" s="308"/>
      <c r="P459" s="308"/>
      <c r="Q459" s="308"/>
      <c r="R459" s="308"/>
      <c r="S459" s="308"/>
      <c r="T459" s="308"/>
      <c r="U459" s="308"/>
      <c r="V459" s="308"/>
      <c r="W459" s="308"/>
      <c r="X459" s="308"/>
      <c r="Y459" s="308"/>
      <c r="Z459" s="309"/>
      <c r="AA459" s="309"/>
      <c r="AB459" s="308"/>
      <c r="AC459" s="308"/>
    </row>
    <row r="460" hidden="1">
      <c r="A460" s="330">
        <v>45615.0</v>
      </c>
      <c r="B460" s="332" t="s">
        <v>150</v>
      </c>
      <c r="C460" s="308"/>
      <c r="D460" s="332" t="s">
        <v>2907</v>
      </c>
      <c r="E460" s="332">
        <v>175.0</v>
      </c>
      <c r="F460" s="319"/>
      <c r="G460" s="319"/>
      <c r="H460" s="319"/>
      <c r="I460" s="308"/>
      <c r="J460" s="308"/>
      <c r="K460" s="308"/>
      <c r="L460" s="308"/>
      <c r="M460" s="308"/>
      <c r="N460" s="332">
        <v>175.0</v>
      </c>
      <c r="O460" s="308"/>
      <c r="P460" s="308"/>
      <c r="Q460" s="308"/>
      <c r="R460" s="308"/>
      <c r="S460" s="308"/>
      <c r="T460" s="308"/>
      <c r="U460" s="308"/>
      <c r="V460" s="308"/>
      <c r="W460" s="308"/>
      <c r="X460" s="308"/>
      <c r="Y460" s="308"/>
      <c r="Z460" s="309"/>
      <c r="AA460" s="309"/>
      <c r="AB460" s="308"/>
      <c r="AC460" s="308"/>
    </row>
    <row r="461" hidden="1">
      <c r="A461" s="330">
        <v>45615.0</v>
      </c>
      <c r="B461" s="332" t="s">
        <v>368</v>
      </c>
      <c r="C461" s="308"/>
      <c r="D461" s="332" t="s">
        <v>2907</v>
      </c>
      <c r="E461" s="332">
        <v>1080.0</v>
      </c>
      <c r="F461" s="319"/>
      <c r="G461" s="319"/>
      <c r="H461" s="319"/>
      <c r="I461" s="308"/>
      <c r="J461" s="308"/>
      <c r="K461" s="308"/>
      <c r="L461" s="308"/>
      <c r="M461" s="308"/>
      <c r="N461" s="332">
        <v>1080.0</v>
      </c>
      <c r="O461" s="308"/>
      <c r="P461" s="308"/>
      <c r="Q461" s="308"/>
      <c r="R461" s="308"/>
      <c r="S461" s="308"/>
      <c r="T461" s="308"/>
      <c r="U461" s="308"/>
      <c r="V461" s="308"/>
      <c r="W461" s="308"/>
      <c r="X461" s="308"/>
      <c r="Y461" s="308"/>
      <c r="Z461" s="309"/>
      <c r="AA461" s="309"/>
      <c r="AB461" s="308"/>
      <c r="AC461" s="308"/>
    </row>
    <row r="462" hidden="1">
      <c r="A462" s="330">
        <v>45615.0</v>
      </c>
      <c r="B462" s="332" t="s">
        <v>368</v>
      </c>
      <c r="C462" s="308"/>
      <c r="D462" s="332" t="s">
        <v>2907</v>
      </c>
      <c r="E462" s="332">
        <v>1080.0</v>
      </c>
      <c r="F462" s="319"/>
      <c r="G462" s="319"/>
      <c r="H462" s="319"/>
      <c r="I462" s="308"/>
      <c r="J462" s="308"/>
      <c r="K462" s="308"/>
      <c r="L462" s="308"/>
      <c r="M462" s="308"/>
      <c r="N462" s="332">
        <v>1080.0</v>
      </c>
      <c r="O462" s="308"/>
      <c r="P462" s="308"/>
      <c r="Q462" s="308"/>
      <c r="R462" s="308"/>
      <c r="S462" s="308"/>
      <c r="T462" s="308"/>
      <c r="U462" s="308"/>
      <c r="V462" s="308"/>
      <c r="W462" s="308"/>
      <c r="X462" s="308"/>
      <c r="Y462" s="308"/>
      <c r="Z462" s="309"/>
      <c r="AA462" s="309"/>
      <c r="AB462" s="308"/>
      <c r="AC462" s="308"/>
    </row>
    <row r="463" hidden="1">
      <c r="A463" s="330">
        <v>45615.0</v>
      </c>
      <c r="B463" s="332" t="s">
        <v>368</v>
      </c>
      <c r="C463" s="308"/>
      <c r="D463" s="332" t="s">
        <v>2907</v>
      </c>
      <c r="E463" s="332">
        <v>1080.0</v>
      </c>
      <c r="F463" s="319"/>
      <c r="G463" s="319"/>
      <c r="H463" s="319"/>
      <c r="I463" s="308"/>
      <c r="J463" s="308"/>
      <c r="K463" s="308"/>
      <c r="L463" s="308"/>
      <c r="M463" s="308"/>
      <c r="N463" s="332">
        <v>1080.0</v>
      </c>
      <c r="O463" s="308"/>
      <c r="P463" s="308"/>
      <c r="Q463" s="308"/>
      <c r="R463" s="308"/>
      <c r="S463" s="308"/>
      <c r="T463" s="308"/>
      <c r="U463" s="308"/>
      <c r="V463" s="308"/>
      <c r="W463" s="308"/>
      <c r="X463" s="308"/>
      <c r="Y463" s="308"/>
      <c r="Z463" s="309"/>
      <c r="AA463" s="309"/>
      <c r="AB463" s="308"/>
      <c r="AC463" s="308"/>
    </row>
    <row r="464" hidden="1">
      <c r="A464" s="330">
        <v>45616.0</v>
      </c>
      <c r="B464" s="332" t="s">
        <v>148</v>
      </c>
      <c r="C464" s="308"/>
      <c r="D464" s="332" t="s">
        <v>2907</v>
      </c>
      <c r="E464" s="332">
        <v>1600.0</v>
      </c>
      <c r="F464" s="319"/>
      <c r="G464" s="319"/>
      <c r="H464" s="319"/>
      <c r="I464" s="308"/>
      <c r="J464" s="308"/>
      <c r="K464" s="308"/>
      <c r="L464" s="308"/>
      <c r="M464" s="308"/>
      <c r="N464" s="332">
        <v>1600.0</v>
      </c>
      <c r="O464" s="308"/>
      <c r="P464" s="308"/>
      <c r="Q464" s="308"/>
      <c r="R464" s="308"/>
      <c r="S464" s="308"/>
      <c r="T464" s="308"/>
      <c r="U464" s="308"/>
      <c r="V464" s="308"/>
      <c r="W464" s="308"/>
      <c r="X464" s="308"/>
      <c r="Y464" s="308"/>
      <c r="Z464" s="309"/>
      <c r="AA464" s="309"/>
      <c r="AB464" s="308"/>
      <c r="AC464" s="308"/>
    </row>
    <row r="465" hidden="1">
      <c r="A465" s="330">
        <v>45616.0</v>
      </c>
      <c r="B465" s="332" t="s">
        <v>1489</v>
      </c>
      <c r="C465" s="308"/>
      <c r="D465" s="332" t="s">
        <v>2907</v>
      </c>
      <c r="E465" s="332">
        <v>286.0</v>
      </c>
      <c r="F465" s="319"/>
      <c r="G465" s="319"/>
      <c r="H465" s="319"/>
      <c r="I465" s="308"/>
      <c r="J465" s="308"/>
      <c r="K465" s="308"/>
      <c r="L465" s="308"/>
      <c r="M465" s="308"/>
      <c r="N465" s="332">
        <v>286.0</v>
      </c>
      <c r="O465" s="308"/>
      <c r="P465" s="308"/>
      <c r="Q465" s="308"/>
      <c r="R465" s="308"/>
      <c r="S465" s="308"/>
      <c r="T465" s="308"/>
      <c r="U465" s="308"/>
      <c r="V465" s="308"/>
      <c r="W465" s="308"/>
      <c r="X465" s="308"/>
      <c r="Y465" s="308"/>
      <c r="Z465" s="309"/>
      <c r="AA465" s="309"/>
      <c r="AB465" s="308"/>
      <c r="AC465" s="308"/>
    </row>
    <row r="466" hidden="1">
      <c r="A466" s="330">
        <v>45616.0</v>
      </c>
      <c r="B466" s="332" t="s">
        <v>368</v>
      </c>
      <c r="C466" s="308"/>
      <c r="D466" s="332" t="s">
        <v>2907</v>
      </c>
      <c r="E466" s="332">
        <v>349.0</v>
      </c>
      <c r="F466" s="319"/>
      <c r="G466" s="319"/>
      <c r="H466" s="319"/>
      <c r="I466" s="308"/>
      <c r="J466" s="308"/>
      <c r="K466" s="308"/>
      <c r="L466" s="308"/>
      <c r="M466" s="308"/>
      <c r="N466" s="332">
        <v>349.0</v>
      </c>
      <c r="O466" s="308"/>
      <c r="P466" s="308"/>
      <c r="Q466" s="308"/>
      <c r="R466" s="308"/>
      <c r="S466" s="308"/>
      <c r="T466" s="308"/>
      <c r="U466" s="308"/>
      <c r="V466" s="308"/>
      <c r="W466" s="308"/>
      <c r="X466" s="308"/>
      <c r="Y466" s="308"/>
      <c r="Z466" s="309"/>
      <c r="AA466" s="309"/>
      <c r="AB466" s="308"/>
      <c r="AC466" s="308"/>
    </row>
    <row r="467" hidden="1">
      <c r="A467" s="330">
        <v>45616.0</v>
      </c>
      <c r="B467" s="332" t="s">
        <v>1503</v>
      </c>
      <c r="C467" s="308"/>
      <c r="D467" s="343" t="s">
        <v>2909</v>
      </c>
      <c r="E467" s="332">
        <v>450.0</v>
      </c>
      <c r="F467" s="319"/>
      <c r="G467" s="319"/>
      <c r="H467" s="319"/>
      <c r="I467" s="308"/>
      <c r="J467" s="332">
        <v>450.0</v>
      </c>
      <c r="K467" s="308"/>
      <c r="L467" s="308"/>
      <c r="M467" s="308"/>
      <c r="N467" s="332"/>
      <c r="O467" s="308"/>
      <c r="P467" s="308"/>
      <c r="Q467" s="308"/>
      <c r="R467" s="308"/>
      <c r="S467" s="308"/>
      <c r="T467" s="308"/>
      <c r="U467" s="308"/>
      <c r="V467" s="308"/>
      <c r="W467" s="308"/>
      <c r="X467" s="308"/>
      <c r="Y467" s="308"/>
      <c r="Z467" s="309"/>
      <c r="AA467" s="309"/>
      <c r="AB467" s="308"/>
      <c r="AC467" s="308"/>
    </row>
    <row r="468" hidden="1">
      <c r="A468" s="387">
        <v>45622.0</v>
      </c>
      <c r="B468" s="332" t="s">
        <v>368</v>
      </c>
      <c r="C468" s="308"/>
      <c r="D468" s="332" t="s">
        <v>2907</v>
      </c>
      <c r="E468" s="332">
        <v>82.45</v>
      </c>
      <c r="F468" s="319"/>
      <c r="G468" s="319"/>
      <c r="H468" s="319"/>
      <c r="I468" s="308"/>
      <c r="J468" s="308"/>
      <c r="K468" s="308"/>
      <c r="L468" s="308"/>
      <c r="M468" s="308"/>
      <c r="N468" s="332">
        <v>82.45</v>
      </c>
      <c r="O468" s="308"/>
      <c r="P468" s="308"/>
      <c r="Q468" s="308"/>
      <c r="R468" s="308"/>
      <c r="S468" s="308"/>
      <c r="T468" s="308"/>
      <c r="U468" s="308"/>
      <c r="V468" s="308"/>
      <c r="W468" s="308"/>
      <c r="X468" s="308"/>
      <c r="Y468" s="308"/>
      <c r="Z468" s="309"/>
      <c r="AA468" s="309"/>
      <c r="AB468" s="308"/>
      <c r="AC468" s="308"/>
    </row>
    <row r="469" hidden="1">
      <c r="A469" s="387">
        <v>45622.0</v>
      </c>
      <c r="B469" s="332" t="s">
        <v>240</v>
      </c>
      <c r="C469" s="308"/>
      <c r="D469" s="332" t="s">
        <v>2907</v>
      </c>
      <c r="E469" s="332">
        <v>6480.0</v>
      </c>
      <c r="F469" s="319"/>
      <c r="G469" s="319"/>
      <c r="H469" s="319"/>
      <c r="I469" s="308"/>
      <c r="J469" s="308"/>
      <c r="K469" s="308"/>
      <c r="L469" s="308"/>
      <c r="M469" s="308"/>
      <c r="N469" s="332">
        <v>6480.0</v>
      </c>
      <c r="O469" s="308"/>
      <c r="P469" s="308"/>
      <c r="Q469" s="308"/>
      <c r="R469" s="308"/>
      <c r="S469" s="308"/>
      <c r="T469" s="308"/>
      <c r="U469" s="308"/>
      <c r="V469" s="308"/>
      <c r="W469" s="308"/>
      <c r="X469" s="308"/>
      <c r="Y469" s="308"/>
      <c r="Z469" s="309"/>
      <c r="AA469" s="309"/>
      <c r="AB469" s="308"/>
      <c r="AC469" s="308"/>
    </row>
    <row r="470" hidden="1">
      <c r="A470" s="387">
        <v>45622.0</v>
      </c>
      <c r="B470" s="332" t="s">
        <v>368</v>
      </c>
      <c r="C470" s="308"/>
      <c r="D470" s="332" t="s">
        <v>2907</v>
      </c>
      <c r="E470" s="332">
        <v>3240.0</v>
      </c>
      <c r="F470" s="319"/>
      <c r="G470" s="319"/>
      <c r="H470" s="319"/>
      <c r="I470" s="308"/>
      <c r="J470" s="308"/>
      <c r="K470" s="308"/>
      <c r="L470" s="308"/>
      <c r="M470" s="308"/>
      <c r="N470" s="332">
        <v>3240.0</v>
      </c>
      <c r="O470" s="308"/>
      <c r="P470" s="308"/>
      <c r="Q470" s="308"/>
      <c r="R470" s="308"/>
      <c r="S470" s="308"/>
      <c r="T470" s="308"/>
      <c r="U470" s="308"/>
      <c r="V470" s="308"/>
      <c r="W470" s="308"/>
      <c r="X470" s="308"/>
      <c r="Y470" s="308"/>
      <c r="Z470" s="309"/>
      <c r="AA470" s="309"/>
      <c r="AB470" s="308"/>
      <c r="AC470" s="308"/>
    </row>
    <row r="471" hidden="1">
      <c r="A471" s="387">
        <v>45622.0</v>
      </c>
      <c r="B471" s="332" t="s">
        <v>685</v>
      </c>
      <c r="C471" s="308"/>
      <c r="D471" s="332" t="s">
        <v>2907</v>
      </c>
      <c r="E471" s="332">
        <v>3000.0</v>
      </c>
      <c r="F471" s="319"/>
      <c r="G471" s="319"/>
      <c r="H471" s="319"/>
      <c r="I471" s="308"/>
      <c r="J471" s="308"/>
      <c r="K471" s="308"/>
      <c r="L471" s="308"/>
      <c r="M471" s="308"/>
      <c r="N471" s="332">
        <v>3000.0</v>
      </c>
      <c r="O471" s="308"/>
      <c r="P471" s="308"/>
      <c r="Q471" s="308"/>
      <c r="R471" s="308"/>
      <c r="S471" s="308"/>
      <c r="T471" s="308"/>
      <c r="U471" s="308"/>
      <c r="V471" s="308"/>
      <c r="W471" s="308"/>
      <c r="X471" s="308"/>
      <c r="Y471" s="308"/>
      <c r="Z471" s="309"/>
      <c r="AA471" s="309"/>
      <c r="AB471" s="308"/>
      <c r="AC471" s="308"/>
    </row>
    <row r="472" hidden="1">
      <c r="A472" s="387">
        <v>45622.0</v>
      </c>
      <c r="B472" s="332" t="s">
        <v>1527</v>
      </c>
      <c r="C472" s="308"/>
      <c r="D472" s="332" t="s">
        <v>2907</v>
      </c>
      <c r="E472" s="332">
        <v>175.0</v>
      </c>
      <c r="F472" s="319"/>
      <c r="G472" s="319"/>
      <c r="H472" s="319"/>
      <c r="I472" s="308"/>
      <c r="J472" s="308"/>
      <c r="K472" s="308"/>
      <c r="L472" s="308"/>
      <c r="M472" s="308"/>
      <c r="N472" s="332">
        <v>175.0</v>
      </c>
      <c r="O472" s="308"/>
      <c r="P472" s="308"/>
      <c r="Q472" s="308"/>
      <c r="R472" s="308"/>
      <c r="S472" s="308"/>
      <c r="T472" s="308"/>
      <c r="U472" s="308"/>
      <c r="V472" s="308"/>
      <c r="W472" s="308"/>
      <c r="X472" s="308"/>
      <c r="Y472" s="308"/>
      <c r="Z472" s="309"/>
      <c r="AA472" s="309"/>
      <c r="AB472" s="308"/>
      <c r="AC472" s="308"/>
    </row>
    <row r="473" hidden="1">
      <c r="A473" s="387">
        <v>45628.0</v>
      </c>
      <c r="B473" s="332" t="s">
        <v>245</v>
      </c>
      <c r="C473" s="308"/>
      <c r="D473" s="332" t="s">
        <v>2907</v>
      </c>
      <c r="E473" s="332">
        <v>6480.0</v>
      </c>
      <c r="F473" s="319"/>
      <c r="G473" s="319"/>
      <c r="H473" s="319"/>
      <c r="I473" s="308"/>
      <c r="J473" s="308"/>
      <c r="K473" s="308"/>
      <c r="L473" s="308"/>
      <c r="M473" s="308"/>
      <c r="N473" s="332">
        <v>6480.0</v>
      </c>
      <c r="O473" s="308"/>
      <c r="P473" s="308"/>
      <c r="Q473" s="308"/>
      <c r="R473" s="308"/>
      <c r="S473" s="308"/>
      <c r="T473" s="308"/>
      <c r="U473" s="308"/>
      <c r="V473" s="308"/>
      <c r="W473" s="308"/>
      <c r="X473" s="308"/>
      <c r="Y473" s="308"/>
      <c r="Z473" s="309"/>
      <c r="AA473" s="309"/>
      <c r="AB473" s="308"/>
      <c r="AC473" s="308"/>
    </row>
    <row r="474" hidden="1">
      <c r="A474" s="387">
        <v>45628.0</v>
      </c>
      <c r="B474" s="332" t="s">
        <v>385</v>
      </c>
      <c r="C474" s="308"/>
      <c r="D474" s="332" t="s">
        <v>2907</v>
      </c>
      <c r="E474" s="332">
        <v>295.0</v>
      </c>
      <c r="F474" s="319"/>
      <c r="G474" s="319"/>
      <c r="H474" s="319"/>
      <c r="I474" s="308"/>
      <c r="J474" s="308"/>
      <c r="K474" s="308"/>
      <c r="L474" s="308"/>
      <c r="M474" s="308"/>
      <c r="N474" s="332">
        <v>295.0</v>
      </c>
      <c r="O474" s="308"/>
      <c r="P474" s="308"/>
      <c r="Q474" s="308"/>
      <c r="R474" s="308"/>
      <c r="S474" s="308"/>
      <c r="T474" s="308"/>
      <c r="U474" s="308"/>
      <c r="V474" s="308"/>
      <c r="W474" s="308"/>
      <c r="X474" s="308"/>
      <c r="Y474" s="308"/>
      <c r="Z474" s="309"/>
      <c r="AA474" s="309"/>
      <c r="AB474" s="308"/>
      <c r="AC474" s="308"/>
    </row>
    <row r="475" hidden="1">
      <c r="A475" s="387">
        <v>45628.0</v>
      </c>
      <c r="B475" s="332" t="s">
        <v>123</v>
      </c>
      <c r="C475" s="308"/>
      <c r="D475" s="332" t="s">
        <v>2907</v>
      </c>
      <c r="E475" s="332">
        <v>79.99</v>
      </c>
      <c r="F475" s="319"/>
      <c r="G475" s="319"/>
      <c r="H475" s="319"/>
      <c r="I475" s="308"/>
      <c r="J475" s="308"/>
      <c r="K475" s="308"/>
      <c r="L475" s="308"/>
      <c r="M475" s="308"/>
      <c r="N475" s="332">
        <v>79.99</v>
      </c>
      <c r="O475" s="308"/>
      <c r="P475" s="308"/>
      <c r="Q475" s="308"/>
      <c r="R475" s="308"/>
      <c r="S475" s="308"/>
      <c r="T475" s="308"/>
      <c r="U475" s="308"/>
      <c r="V475" s="308"/>
      <c r="W475" s="308"/>
      <c r="X475" s="308"/>
      <c r="Y475" s="308"/>
      <c r="Z475" s="309"/>
      <c r="AA475" s="309"/>
      <c r="AB475" s="308"/>
      <c r="AC475" s="308"/>
    </row>
    <row r="476" hidden="1">
      <c r="A476" s="387">
        <v>45628.0</v>
      </c>
      <c r="B476" s="332" t="s">
        <v>482</v>
      </c>
      <c r="C476" s="308"/>
      <c r="D476" s="332" t="s">
        <v>2907</v>
      </c>
      <c r="E476" s="332">
        <v>89.99</v>
      </c>
      <c r="F476" s="319"/>
      <c r="G476" s="319"/>
      <c r="H476" s="319"/>
      <c r="I476" s="308"/>
      <c r="J476" s="308"/>
      <c r="K476" s="308"/>
      <c r="L476" s="308"/>
      <c r="M476" s="308"/>
      <c r="N476" s="332">
        <v>89.99</v>
      </c>
      <c r="O476" s="308"/>
      <c r="P476" s="308"/>
      <c r="Q476" s="308"/>
      <c r="R476" s="308"/>
      <c r="S476" s="308"/>
      <c r="T476" s="308"/>
      <c r="U476" s="308"/>
      <c r="V476" s="308"/>
      <c r="W476" s="308"/>
      <c r="X476" s="308"/>
      <c r="Y476" s="308"/>
      <c r="Z476" s="309"/>
      <c r="AA476" s="309"/>
      <c r="AB476" s="308"/>
      <c r="AC476" s="308"/>
    </row>
    <row r="477" hidden="1">
      <c r="A477" s="387">
        <v>45631.0</v>
      </c>
      <c r="B477" s="332" t="s">
        <v>308</v>
      </c>
      <c r="C477" s="308"/>
      <c r="D477" s="332" t="s">
        <v>2907</v>
      </c>
      <c r="E477" s="332">
        <v>294.0</v>
      </c>
      <c r="F477" s="319"/>
      <c r="G477" s="319"/>
      <c r="H477" s="319"/>
      <c r="I477" s="308"/>
      <c r="J477" s="308"/>
      <c r="K477" s="308"/>
      <c r="L477" s="308"/>
      <c r="M477" s="308"/>
      <c r="N477" s="332">
        <v>294.0</v>
      </c>
      <c r="O477" s="308"/>
      <c r="P477" s="308"/>
      <c r="Q477" s="308"/>
      <c r="R477" s="308"/>
      <c r="S477" s="308"/>
      <c r="T477" s="308"/>
      <c r="U477" s="308"/>
      <c r="V477" s="308"/>
      <c r="W477" s="308"/>
      <c r="X477" s="308"/>
      <c r="Y477" s="308"/>
      <c r="Z477" s="309"/>
      <c r="AA477" s="309"/>
      <c r="AB477" s="308"/>
      <c r="AC477" s="308"/>
    </row>
    <row r="478" hidden="1">
      <c r="A478" s="388">
        <v>45631.0</v>
      </c>
      <c r="B478" s="343" t="s">
        <v>1532</v>
      </c>
      <c r="C478" s="308"/>
      <c r="D478" s="332" t="s">
        <v>2907</v>
      </c>
      <c r="E478" s="343">
        <v>249.0</v>
      </c>
      <c r="F478" s="319"/>
      <c r="G478" s="319"/>
      <c r="H478" s="319"/>
      <c r="I478" s="308"/>
      <c r="J478" s="308"/>
      <c r="K478" s="308"/>
      <c r="L478" s="308"/>
      <c r="M478" s="308"/>
      <c r="N478" s="343">
        <v>249.0</v>
      </c>
      <c r="O478" s="308"/>
      <c r="P478" s="308"/>
      <c r="Q478" s="308"/>
      <c r="R478" s="308"/>
      <c r="S478" s="308"/>
      <c r="T478" s="308"/>
      <c r="U478" s="308"/>
      <c r="V478" s="308"/>
      <c r="W478" s="308"/>
      <c r="X478" s="308"/>
      <c r="Y478" s="308"/>
      <c r="Z478" s="309"/>
      <c r="AA478" s="309"/>
      <c r="AB478" s="308"/>
      <c r="AC478" s="308"/>
    </row>
    <row r="479" hidden="1">
      <c r="A479" s="387">
        <v>45631.0</v>
      </c>
      <c r="B479" s="332" t="s">
        <v>1539</v>
      </c>
      <c r="C479" s="308"/>
      <c r="D479" s="332" t="s">
        <v>2907</v>
      </c>
      <c r="E479" s="332">
        <v>299.0</v>
      </c>
      <c r="F479" s="319"/>
      <c r="G479" s="319"/>
      <c r="H479" s="319"/>
      <c r="I479" s="308"/>
      <c r="J479" s="308"/>
      <c r="K479" s="308"/>
      <c r="L479" s="308"/>
      <c r="M479" s="308"/>
      <c r="N479" s="332">
        <v>299.0</v>
      </c>
      <c r="O479" s="308"/>
      <c r="P479" s="308"/>
      <c r="Q479" s="308"/>
      <c r="R479" s="308"/>
      <c r="S479" s="308"/>
      <c r="T479" s="308"/>
      <c r="U479" s="308"/>
      <c r="V479" s="308"/>
      <c r="W479" s="308"/>
      <c r="X479" s="308"/>
      <c r="Y479" s="308"/>
      <c r="Z479" s="309"/>
      <c r="AA479" s="309"/>
      <c r="AB479" s="308"/>
      <c r="AC479" s="308"/>
    </row>
    <row r="480" hidden="1">
      <c r="A480" s="387">
        <v>45631.0</v>
      </c>
      <c r="B480" s="332" t="s">
        <v>715</v>
      </c>
      <c r="C480" s="308"/>
      <c r="D480" s="343" t="s">
        <v>2909</v>
      </c>
      <c r="E480" s="332">
        <v>450.0</v>
      </c>
      <c r="F480" s="319"/>
      <c r="G480" s="319"/>
      <c r="H480" s="319"/>
      <c r="I480" s="308"/>
      <c r="J480" s="332">
        <v>450.0</v>
      </c>
      <c r="K480" s="308"/>
      <c r="L480" s="308"/>
      <c r="M480" s="308"/>
      <c r="N480" s="308"/>
      <c r="O480" s="308"/>
      <c r="P480" s="308"/>
      <c r="Q480" s="308"/>
      <c r="R480" s="308"/>
      <c r="S480" s="308"/>
      <c r="T480" s="308"/>
      <c r="U480" s="308"/>
      <c r="V480" s="308"/>
      <c r="W480" s="308"/>
      <c r="X480" s="308"/>
      <c r="Y480" s="308"/>
      <c r="Z480" s="309"/>
      <c r="AA480" s="309"/>
      <c r="AB480" s="308"/>
      <c r="AC480" s="308"/>
    </row>
    <row r="481" hidden="1">
      <c r="A481" s="387">
        <v>45632.0</v>
      </c>
      <c r="B481" s="332" t="s">
        <v>1547</v>
      </c>
      <c r="C481" s="308"/>
      <c r="D481" s="332" t="s">
        <v>2907</v>
      </c>
      <c r="E481" s="332">
        <v>95.0</v>
      </c>
      <c r="F481" s="319"/>
      <c r="G481" s="319"/>
      <c r="H481" s="319"/>
      <c r="I481" s="308"/>
      <c r="J481" s="308"/>
      <c r="K481" s="308"/>
      <c r="L481" s="308"/>
      <c r="M481" s="308"/>
      <c r="N481" s="332">
        <v>95.0</v>
      </c>
      <c r="O481" s="308"/>
      <c r="P481" s="308"/>
      <c r="Q481" s="308"/>
      <c r="R481" s="308"/>
      <c r="S481" s="308"/>
      <c r="T481" s="308"/>
      <c r="U481" s="308"/>
      <c r="V481" s="308"/>
      <c r="W481" s="308"/>
      <c r="X481" s="308"/>
      <c r="Y481" s="308"/>
      <c r="Z481" s="309"/>
      <c r="AA481" s="309"/>
      <c r="AB481" s="308"/>
      <c r="AC481" s="308"/>
    </row>
    <row r="482" hidden="1">
      <c r="A482" s="387">
        <v>45632.0</v>
      </c>
      <c r="B482" s="332" t="s">
        <v>314</v>
      </c>
      <c r="C482" s="308"/>
      <c r="D482" s="332" t="s">
        <v>2907</v>
      </c>
      <c r="E482" s="332">
        <v>399.99</v>
      </c>
      <c r="F482" s="319"/>
      <c r="G482" s="319"/>
      <c r="H482" s="319"/>
      <c r="I482" s="308"/>
      <c r="J482" s="308"/>
      <c r="K482" s="308"/>
      <c r="L482" s="308"/>
      <c r="M482" s="308"/>
      <c r="N482" s="332">
        <v>399.99</v>
      </c>
      <c r="O482" s="308"/>
      <c r="P482" s="308"/>
      <c r="Q482" s="308"/>
      <c r="R482" s="308"/>
      <c r="S482" s="308"/>
      <c r="T482" s="308"/>
      <c r="U482" s="308"/>
      <c r="V482" s="308"/>
      <c r="W482" s="308"/>
      <c r="X482" s="308"/>
      <c r="Y482" s="308"/>
      <c r="Z482" s="309"/>
      <c r="AA482" s="309"/>
      <c r="AB482" s="308"/>
      <c r="AC482" s="308"/>
    </row>
    <row r="483" hidden="1">
      <c r="A483" s="387">
        <v>45632.0</v>
      </c>
      <c r="B483" s="332" t="s">
        <v>162</v>
      </c>
      <c r="C483" s="308"/>
      <c r="D483" s="332" t="s">
        <v>2907</v>
      </c>
      <c r="E483" s="332">
        <v>557.0</v>
      </c>
      <c r="F483" s="319"/>
      <c r="G483" s="319"/>
      <c r="H483" s="319"/>
      <c r="I483" s="308"/>
      <c r="J483" s="308"/>
      <c r="K483" s="308"/>
      <c r="L483" s="308"/>
      <c r="M483" s="308"/>
      <c r="N483" s="332">
        <v>557.0</v>
      </c>
      <c r="O483" s="308"/>
      <c r="P483" s="308"/>
      <c r="Q483" s="308"/>
      <c r="R483" s="308"/>
      <c r="S483" s="308"/>
      <c r="T483" s="308"/>
      <c r="U483" s="308"/>
      <c r="V483" s="308"/>
      <c r="W483" s="308"/>
      <c r="X483" s="308"/>
      <c r="Y483" s="308"/>
      <c r="Z483" s="309"/>
      <c r="AA483" s="309"/>
      <c r="AB483" s="308"/>
      <c r="AC483" s="308"/>
    </row>
    <row r="484" hidden="1">
      <c r="A484" s="387">
        <v>45637.0</v>
      </c>
      <c r="B484" s="332" t="s">
        <v>760</v>
      </c>
      <c r="C484" s="308"/>
      <c r="D484" s="332" t="s">
        <v>2907</v>
      </c>
      <c r="E484" s="332">
        <v>13340.0</v>
      </c>
      <c r="F484" s="319"/>
      <c r="G484" s="319"/>
      <c r="H484" s="319"/>
      <c r="I484" s="308"/>
      <c r="J484" s="308"/>
      <c r="K484" s="308"/>
      <c r="L484" s="308"/>
      <c r="M484" s="308"/>
      <c r="N484" s="332">
        <v>13340.0</v>
      </c>
      <c r="O484" s="308"/>
      <c r="P484" s="308"/>
      <c r="Q484" s="308"/>
      <c r="R484" s="308"/>
      <c r="S484" s="308"/>
      <c r="T484" s="308"/>
      <c r="U484" s="308"/>
      <c r="V484" s="308"/>
      <c r="W484" s="308"/>
      <c r="X484" s="308"/>
      <c r="Y484" s="308"/>
      <c r="Z484" s="309"/>
      <c r="AA484" s="309"/>
      <c r="AB484" s="308"/>
      <c r="AC484" s="308"/>
    </row>
    <row r="485" hidden="1">
      <c r="A485" s="387">
        <v>45637.0</v>
      </c>
      <c r="B485" s="332" t="s">
        <v>500</v>
      </c>
      <c r="C485" s="308"/>
      <c r="D485" s="332" t="s">
        <v>2907</v>
      </c>
      <c r="E485" s="332">
        <v>1120.0</v>
      </c>
      <c r="F485" s="319"/>
      <c r="G485" s="319"/>
      <c r="H485" s="319"/>
      <c r="I485" s="308"/>
      <c r="J485" s="308"/>
      <c r="K485" s="308"/>
      <c r="L485" s="308"/>
      <c r="M485" s="308"/>
      <c r="N485" s="332">
        <v>1120.0</v>
      </c>
      <c r="O485" s="308"/>
      <c r="P485" s="308"/>
      <c r="Q485" s="308"/>
      <c r="R485" s="308"/>
      <c r="S485" s="308"/>
      <c r="T485" s="308"/>
      <c r="U485" s="308"/>
      <c r="V485" s="308"/>
      <c r="W485" s="308"/>
      <c r="X485" s="308"/>
      <c r="Y485" s="308"/>
      <c r="Z485" s="309"/>
      <c r="AA485" s="309"/>
      <c r="AB485" s="308"/>
      <c r="AC485" s="308"/>
    </row>
    <row r="486" hidden="1">
      <c r="A486" s="387">
        <v>45637.0</v>
      </c>
      <c r="B486" s="332" t="s">
        <v>101</v>
      </c>
      <c r="C486" s="308"/>
      <c r="D486" s="332" t="s">
        <v>2907</v>
      </c>
      <c r="E486" s="332">
        <v>2975.0</v>
      </c>
      <c r="F486" s="319"/>
      <c r="G486" s="319"/>
      <c r="H486" s="319"/>
      <c r="I486" s="308"/>
      <c r="J486" s="308"/>
      <c r="K486" s="308"/>
      <c r="L486" s="308"/>
      <c r="M486" s="308"/>
      <c r="N486" s="332">
        <v>2975.0</v>
      </c>
      <c r="O486" s="308"/>
      <c r="P486" s="308"/>
      <c r="Q486" s="308"/>
      <c r="R486" s="308"/>
      <c r="S486" s="308"/>
      <c r="T486" s="308"/>
      <c r="U486" s="308"/>
      <c r="V486" s="308"/>
      <c r="W486" s="308"/>
      <c r="X486" s="308"/>
      <c r="Y486" s="308"/>
      <c r="Z486" s="309"/>
      <c r="AA486" s="309"/>
      <c r="AB486" s="308"/>
      <c r="AC486" s="308"/>
    </row>
    <row r="487" hidden="1">
      <c r="A487" s="387">
        <v>45638.0</v>
      </c>
      <c r="B487" s="378" t="s">
        <v>479</v>
      </c>
      <c r="C487" s="308"/>
      <c r="D487" s="332" t="s">
        <v>2162</v>
      </c>
      <c r="E487" s="378"/>
      <c r="F487" s="319"/>
      <c r="G487" s="319"/>
      <c r="H487" s="319"/>
      <c r="I487" s="308"/>
      <c r="J487" s="308"/>
      <c r="K487" s="308"/>
      <c r="L487" s="308"/>
      <c r="M487" s="308"/>
      <c r="N487" s="332"/>
      <c r="O487" s="308"/>
      <c r="P487" s="308"/>
      <c r="Q487" s="308"/>
      <c r="R487" s="308"/>
      <c r="S487" s="308"/>
      <c r="T487" s="308"/>
      <c r="U487" s="308"/>
      <c r="V487" s="308"/>
      <c r="W487" s="308"/>
      <c r="X487" s="308"/>
      <c r="Y487" s="308"/>
      <c r="Z487" s="309"/>
      <c r="AA487" s="309"/>
      <c r="AB487" s="308"/>
      <c r="AC487" s="308"/>
    </row>
    <row r="488" hidden="1">
      <c r="A488" s="387">
        <v>45638.0</v>
      </c>
      <c r="B488" s="332" t="s">
        <v>479</v>
      </c>
      <c r="C488" s="308"/>
      <c r="D488" s="332" t="s">
        <v>2162</v>
      </c>
      <c r="E488" s="378"/>
      <c r="F488" s="319"/>
      <c r="G488" s="319"/>
      <c r="H488" s="319"/>
      <c r="I488" s="308"/>
      <c r="J488" s="308"/>
      <c r="K488" s="308"/>
      <c r="L488" s="308"/>
      <c r="M488" s="308"/>
      <c r="N488" s="332"/>
      <c r="O488" s="308"/>
      <c r="P488" s="308"/>
      <c r="Q488" s="308"/>
      <c r="R488" s="308"/>
      <c r="S488" s="308"/>
      <c r="T488" s="308"/>
      <c r="U488" s="308"/>
      <c r="V488" s="308"/>
      <c r="W488" s="308"/>
      <c r="X488" s="308"/>
      <c r="Y488" s="308"/>
      <c r="Z488" s="309"/>
      <c r="AA488" s="309"/>
      <c r="AB488" s="308"/>
      <c r="AC488" s="308"/>
    </row>
    <row r="489" hidden="1">
      <c r="A489" s="389">
        <v>45638.0</v>
      </c>
      <c r="B489" s="378" t="s">
        <v>123</v>
      </c>
      <c r="C489" s="390"/>
      <c r="D489" s="332" t="s">
        <v>2162</v>
      </c>
      <c r="E489" s="378"/>
      <c r="F489" s="319"/>
      <c r="G489" s="319"/>
      <c r="H489" s="319"/>
      <c r="I489" s="308"/>
      <c r="J489" s="308"/>
      <c r="K489" s="308"/>
      <c r="L489" s="308"/>
      <c r="M489" s="308"/>
      <c r="N489" s="332"/>
      <c r="O489" s="308"/>
      <c r="P489" s="308"/>
      <c r="Q489" s="308"/>
      <c r="R489" s="308"/>
      <c r="S489" s="308"/>
      <c r="T489" s="308"/>
      <c r="U489" s="308"/>
      <c r="V489" s="308"/>
      <c r="W489" s="308"/>
      <c r="X489" s="308"/>
      <c r="Y489" s="308"/>
      <c r="Z489" s="309"/>
      <c r="AA489" s="309"/>
      <c r="AB489" s="308"/>
      <c r="AC489" s="308"/>
    </row>
    <row r="490" hidden="1">
      <c r="A490" s="387">
        <v>45638.0</v>
      </c>
      <c r="B490" s="332" t="s">
        <v>980</v>
      </c>
      <c r="C490" s="308"/>
      <c r="D490" s="332" t="s">
        <v>2907</v>
      </c>
      <c r="E490" s="332">
        <v>3599.0</v>
      </c>
      <c r="F490" s="319"/>
      <c r="G490" s="319"/>
      <c r="H490" s="319"/>
      <c r="I490" s="308"/>
      <c r="J490" s="308"/>
      <c r="K490" s="308"/>
      <c r="L490" s="308"/>
      <c r="M490" s="308"/>
      <c r="N490" s="332">
        <v>3599.0</v>
      </c>
      <c r="O490" s="308"/>
      <c r="P490" s="308"/>
      <c r="Q490" s="308"/>
      <c r="R490" s="308"/>
      <c r="S490" s="308"/>
      <c r="T490" s="308"/>
      <c r="U490" s="308"/>
      <c r="V490" s="308"/>
      <c r="W490" s="308"/>
      <c r="X490" s="308"/>
      <c r="Y490" s="308"/>
      <c r="Z490" s="309"/>
      <c r="AA490" s="309"/>
      <c r="AB490" s="308"/>
      <c r="AC490" s="308"/>
    </row>
    <row r="491" hidden="1">
      <c r="A491" s="387">
        <v>45638.0</v>
      </c>
      <c r="B491" s="332" t="s">
        <v>137</v>
      </c>
      <c r="C491" s="308"/>
      <c r="D491" s="332" t="s">
        <v>2907</v>
      </c>
      <c r="E491" s="332">
        <v>900.0</v>
      </c>
      <c r="F491" s="319"/>
      <c r="G491" s="319"/>
      <c r="H491" s="319"/>
      <c r="I491" s="308"/>
      <c r="J491" s="308"/>
      <c r="K491" s="308"/>
      <c r="L491" s="308"/>
      <c r="M491" s="308"/>
      <c r="N491" s="332">
        <v>900.0</v>
      </c>
      <c r="O491" s="308"/>
      <c r="P491" s="308"/>
      <c r="Q491" s="308"/>
      <c r="R491" s="308"/>
      <c r="S491" s="308"/>
      <c r="T491" s="308"/>
      <c r="U491" s="308"/>
      <c r="V491" s="308"/>
      <c r="W491" s="308"/>
      <c r="X491" s="308"/>
      <c r="Y491" s="308"/>
      <c r="Z491" s="309"/>
      <c r="AA491" s="309"/>
      <c r="AB491" s="308"/>
      <c r="AC491" s="308"/>
    </row>
    <row r="492" hidden="1">
      <c r="A492" s="387">
        <v>45643.0</v>
      </c>
      <c r="B492" s="332" t="s">
        <v>333</v>
      </c>
      <c r="C492" s="308"/>
      <c r="D492" s="332" t="s">
        <v>2907</v>
      </c>
      <c r="E492" s="332">
        <v>4499.0</v>
      </c>
      <c r="F492" s="319"/>
      <c r="G492" s="319"/>
      <c r="H492" s="319"/>
      <c r="I492" s="308"/>
      <c r="J492" s="308"/>
      <c r="K492" s="308"/>
      <c r="L492" s="308"/>
      <c r="M492" s="308"/>
      <c r="N492" s="332">
        <v>4499.0</v>
      </c>
      <c r="O492" s="308"/>
      <c r="P492" s="308"/>
      <c r="Q492" s="308"/>
      <c r="R492" s="308"/>
      <c r="S492" s="308"/>
      <c r="T492" s="308"/>
      <c r="U492" s="308"/>
      <c r="V492" s="308"/>
      <c r="W492" s="308"/>
      <c r="X492" s="308"/>
      <c r="Y492" s="308"/>
      <c r="Z492" s="309"/>
      <c r="AA492" s="309"/>
      <c r="AB492" s="308"/>
      <c r="AC492" s="308"/>
    </row>
    <row r="493" hidden="1">
      <c r="A493" s="387">
        <v>45649.0</v>
      </c>
      <c r="B493" s="332" t="s">
        <v>1586</v>
      </c>
      <c r="C493" s="308"/>
      <c r="D493" s="332" t="s">
        <v>2907</v>
      </c>
      <c r="E493" s="332">
        <v>650.0</v>
      </c>
      <c r="F493" s="319"/>
      <c r="G493" s="319"/>
      <c r="H493" s="319"/>
      <c r="I493" s="308"/>
      <c r="J493" s="308"/>
      <c r="K493" s="308"/>
      <c r="L493" s="308"/>
      <c r="M493" s="308"/>
      <c r="N493" s="332">
        <v>650.0</v>
      </c>
      <c r="O493" s="308"/>
      <c r="P493" s="308"/>
      <c r="Q493" s="308"/>
      <c r="R493" s="308"/>
      <c r="S493" s="308"/>
      <c r="T493" s="308"/>
      <c r="U493" s="308"/>
      <c r="V493" s="308"/>
      <c r="W493" s="308"/>
      <c r="X493" s="308"/>
      <c r="Y493" s="308"/>
      <c r="Z493" s="309"/>
      <c r="AA493" s="309"/>
      <c r="AB493" s="308"/>
      <c r="AC493" s="308"/>
    </row>
    <row r="494" hidden="1">
      <c r="A494" s="387">
        <v>45649.0</v>
      </c>
      <c r="B494" s="332" t="s">
        <v>1586</v>
      </c>
      <c r="C494" s="308"/>
      <c r="D494" s="332" t="s">
        <v>2907</v>
      </c>
      <c r="E494" s="332">
        <v>449.0</v>
      </c>
      <c r="F494" s="319"/>
      <c r="G494" s="319"/>
      <c r="H494" s="319"/>
      <c r="I494" s="308"/>
      <c r="J494" s="308"/>
      <c r="K494" s="308"/>
      <c r="L494" s="308"/>
      <c r="M494" s="308"/>
      <c r="N494" s="332">
        <v>449.0</v>
      </c>
      <c r="O494" s="308"/>
      <c r="P494" s="308"/>
      <c r="Q494" s="308"/>
      <c r="R494" s="308"/>
      <c r="S494" s="308"/>
      <c r="T494" s="308"/>
      <c r="U494" s="308"/>
      <c r="V494" s="308"/>
      <c r="W494" s="308"/>
      <c r="X494" s="308"/>
      <c r="Y494" s="308"/>
      <c r="Z494" s="309"/>
      <c r="AA494" s="309"/>
      <c r="AB494" s="308"/>
      <c r="AC494" s="308"/>
    </row>
    <row r="495" hidden="1">
      <c r="A495" s="387">
        <v>45649.0</v>
      </c>
      <c r="B495" s="332" t="s">
        <v>424</v>
      </c>
      <c r="C495" s="308"/>
      <c r="D495" s="332" t="s">
        <v>2907</v>
      </c>
      <c r="E495" s="332">
        <v>550.0</v>
      </c>
      <c r="F495" s="319"/>
      <c r="G495" s="319"/>
      <c r="H495" s="319"/>
      <c r="I495" s="308"/>
      <c r="J495" s="308"/>
      <c r="K495" s="308"/>
      <c r="L495" s="308"/>
      <c r="M495" s="308"/>
      <c r="N495" s="332">
        <v>550.0</v>
      </c>
      <c r="O495" s="308"/>
      <c r="P495" s="308"/>
      <c r="Q495" s="308"/>
      <c r="R495" s="308"/>
      <c r="S495" s="308"/>
      <c r="T495" s="308"/>
      <c r="U495" s="308"/>
      <c r="V495" s="308"/>
      <c r="W495" s="308"/>
      <c r="X495" s="308"/>
      <c r="Y495" s="308"/>
      <c r="Z495" s="309"/>
      <c r="AA495" s="309"/>
      <c r="AB495" s="308"/>
      <c r="AC495" s="308"/>
    </row>
    <row r="496" hidden="1">
      <c r="A496" s="387">
        <v>45657.0</v>
      </c>
      <c r="B496" s="332" t="s">
        <v>284</v>
      </c>
      <c r="C496" s="308"/>
      <c r="D496" s="332" t="s">
        <v>2907</v>
      </c>
      <c r="E496" s="332">
        <v>3000.0</v>
      </c>
      <c r="F496" s="319"/>
      <c r="G496" s="319"/>
      <c r="H496" s="319"/>
      <c r="I496" s="308"/>
      <c r="J496" s="308"/>
      <c r="K496" s="308"/>
      <c r="L496" s="308"/>
      <c r="M496" s="308"/>
      <c r="N496" s="332">
        <v>3000.0</v>
      </c>
      <c r="O496" s="308"/>
      <c r="P496" s="308"/>
      <c r="Q496" s="308"/>
      <c r="R496" s="308"/>
      <c r="S496" s="308"/>
      <c r="T496" s="308"/>
      <c r="U496" s="308"/>
      <c r="V496" s="308"/>
      <c r="W496" s="308"/>
      <c r="X496" s="308"/>
      <c r="Y496" s="308"/>
      <c r="Z496" s="309"/>
      <c r="AA496" s="309"/>
      <c r="AB496" s="308"/>
      <c r="AC496" s="308"/>
    </row>
    <row r="497" hidden="1">
      <c r="A497" s="387">
        <v>45657.0</v>
      </c>
      <c r="B497" s="332" t="s">
        <v>600</v>
      </c>
      <c r="C497" s="308"/>
      <c r="D497" s="332" t="s">
        <v>2907</v>
      </c>
      <c r="E497" s="332">
        <v>3000.0</v>
      </c>
      <c r="F497" s="319"/>
      <c r="G497" s="319"/>
      <c r="H497" s="319"/>
      <c r="I497" s="308"/>
      <c r="J497" s="308"/>
      <c r="K497" s="308"/>
      <c r="L497" s="308"/>
      <c r="M497" s="308"/>
      <c r="N497" s="332">
        <v>3000.0</v>
      </c>
      <c r="O497" s="308"/>
      <c r="P497" s="308"/>
      <c r="Q497" s="308"/>
      <c r="R497" s="308"/>
      <c r="S497" s="308"/>
      <c r="T497" s="308"/>
      <c r="U497" s="308"/>
      <c r="V497" s="308"/>
      <c r="W497" s="308"/>
      <c r="X497" s="308"/>
      <c r="Y497" s="308"/>
      <c r="Z497" s="309"/>
      <c r="AA497" s="309"/>
      <c r="AB497" s="308"/>
      <c r="AC497" s="308"/>
    </row>
    <row r="498" hidden="1">
      <c r="A498" s="387">
        <v>45657.0</v>
      </c>
      <c r="B498" s="332" t="s">
        <v>308</v>
      </c>
      <c r="C498" s="308"/>
      <c r="D498" s="332" t="s">
        <v>2907</v>
      </c>
      <c r="E498" s="332">
        <v>3000.0</v>
      </c>
      <c r="F498" s="319"/>
      <c r="G498" s="319"/>
      <c r="H498" s="319"/>
      <c r="I498" s="308"/>
      <c r="J498" s="308"/>
      <c r="K498" s="308"/>
      <c r="L498" s="308"/>
      <c r="M498" s="308"/>
      <c r="N498" s="332">
        <v>3000.0</v>
      </c>
      <c r="O498" s="308"/>
      <c r="P498" s="308"/>
      <c r="Q498" s="308"/>
      <c r="R498" s="308"/>
      <c r="S498" s="308"/>
      <c r="T498" s="308"/>
      <c r="U498" s="308"/>
      <c r="V498" s="308"/>
      <c r="W498" s="308"/>
      <c r="X498" s="308"/>
      <c r="Y498" s="308"/>
      <c r="Z498" s="309"/>
      <c r="AA498" s="309"/>
      <c r="AB498" s="308"/>
      <c r="AC498" s="308"/>
    </row>
    <row r="499" hidden="1">
      <c r="A499" s="387">
        <v>45657.0</v>
      </c>
      <c r="B499" s="332" t="s">
        <v>37</v>
      </c>
      <c r="C499" s="308"/>
      <c r="D499" s="332" t="s">
        <v>2907</v>
      </c>
      <c r="E499" s="332">
        <v>6500.0</v>
      </c>
      <c r="F499" s="319"/>
      <c r="G499" s="319"/>
      <c r="H499" s="319"/>
      <c r="I499" s="308"/>
      <c r="J499" s="308"/>
      <c r="K499" s="308"/>
      <c r="L499" s="308"/>
      <c r="M499" s="308"/>
      <c r="N499" s="332">
        <v>6500.0</v>
      </c>
      <c r="O499" s="308"/>
      <c r="P499" s="308"/>
      <c r="Q499" s="308"/>
      <c r="R499" s="308"/>
      <c r="S499" s="308"/>
      <c r="T499" s="308"/>
      <c r="U499" s="308"/>
      <c r="V499" s="308"/>
      <c r="W499" s="308"/>
      <c r="X499" s="308"/>
      <c r="Y499" s="308"/>
      <c r="Z499" s="309"/>
      <c r="AA499" s="309"/>
      <c r="AB499" s="308"/>
      <c r="AC499" s="308"/>
    </row>
    <row r="500" hidden="1">
      <c r="A500" s="387">
        <v>45657.0</v>
      </c>
      <c r="B500" s="332" t="s">
        <v>1267</v>
      </c>
      <c r="C500" s="308"/>
      <c r="D500" s="332" t="s">
        <v>2907</v>
      </c>
      <c r="E500" s="332">
        <v>70.0</v>
      </c>
      <c r="F500" s="319"/>
      <c r="G500" s="319"/>
      <c r="H500" s="319"/>
      <c r="I500" s="308"/>
      <c r="J500" s="308"/>
      <c r="K500" s="308"/>
      <c r="L500" s="308"/>
      <c r="M500" s="308"/>
      <c r="N500" s="332">
        <v>70.0</v>
      </c>
      <c r="O500" s="308"/>
      <c r="P500" s="308"/>
      <c r="Q500" s="308"/>
      <c r="R500" s="308"/>
      <c r="S500" s="308"/>
      <c r="T500" s="308"/>
      <c r="U500" s="308"/>
      <c r="V500" s="308"/>
      <c r="W500" s="308"/>
      <c r="X500" s="308"/>
      <c r="Y500" s="308"/>
      <c r="Z500" s="309"/>
      <c r="AA500" s="309"/>
      <c r="AB500" s="308"/>
      <c r="AC500" s="308"/>
    </row>
    <row r="501" hidden="1">
      <c r="A501" s="387">
        <v>45657.0</v>
      </c>
      <c r="B501" s="332" t="s">
        <v>155</v>
      </c>
      <c r="C501" s="308"/>
      <c r="D501" s="332" t="s">
        <v>2907</v>
      </c>
      <c r="E501" s="332">
        <v>2800.0</v>
      </c>
      <c r="F501" s="319"/>
      <c r="G501" s="319"/>
      <c r="H501" s="319"/>
      <c r="I501" s="308"/>
      <c r="J501" s="308"/>
      <c r="K501" s="308"/>
      <c r="L501" s="308"/>
      <c r="M501" s="308"/>
      <c r="N501" s="332">
        <v>2800.0</v>
      </c>
      <c r="O501" s="308"/>
      <c r="P501" s="308"/>
      <c r="Q501" s="308"/>
      <c r="R501" s="308"/>
      <c r="S501" s="308"/>
      <c r="T501" s="308"/>
      <c r="U501" s="308"/>
      <c r="V501" s="308"/>
      <c r="W501" s="308"/>
      <c r="X501" s="308"/>
      <c r="Y501" s="308"/>
      <c r="Z501" s="309"/>
      <c r="AA501" s="309"/>
      <c r="AB501" s="308"/>
      <c r="AC501" s="308"/>
    </row>
    <row r="502" hidden="1">
      <c r="A502" s="387">
        <v>45657.0</v>
      </c>
      <c r="B502" s="332" t="s">
        <v>160</v>
      </c>
      <c r="C502" s="308"/>
      <c r="D502" s="332" t="s">
        <v>2907</v>
      </c>
      <c r="E502" s="332">
        <v>3000.0</v>
      </c>
      <c r="F502" s="319"/>
      <c r="G502" s="319"/>
      <c r="H502" s="319"/>
      <c r="I502" s="308"/>
      <c r="J502" s="308"/>
      <c r="K502" s="308"/>
      <c r="L502" s="308"/>
      <c r="M502" s="308"/>
      <c r="N502" s="332">
        <v>3000.0</v>
      </c>
      <c r="O502" s="308"/>
      <c r="P502" s="308"/>
      <c r="Q502" s="308"/>
      <c r="R502" s="308"/>
      <c r="S502" s="308"/>
      <c r="T502" s="308"/>
      <c r="U502" s="308"/>
      <c r="V502" s="308"/>
      <c r="W502" s="308"/>
      <c r="X502" s="308"/>
      <c r="Y502" s="308"/>
      <c r="Z502" s="309"/>
      <c r="AA502" s="309"/>
      <c r="AB502" s="308"/>
      <c r="AC502" s="308"/>
    </row>
    <row r="503" hidden="1">
      <c r="A503" s="387">
        <v>45665.0</v>
      </c>
      <c r="B503" s="332" t="s">
        <v>385</v>
      </c>
      <c r="C503" s="308"/>
      <c r="D503" s="332" t="s">
        <v>3016</v>
      </c>
      <c r="E503" s="332">
        <v>800.0</v>
      </c>
      <c r="F503" s="319"/>
      <c r="G503" s="319"/>
      <c r="H503" s="319"/>
      <c r="I503" s="308"/>
      <c r="J503" s="308"/>
      <c r="K503" s="308"/>
      <c r="L503" s="308"/>
      <c r="M503" s="308"/>
      <c r="N503" s="332">
        <v>800.0</v>
      </c>
      <c r="O503" s="308"/>
      <c r="P503" s="308"/>
      <c r="Q503" s="308"/>
      <c r="R503" s="308"/>
      <c r="S503" s="308"/>
      <c r="T503" s="308"/>
      <c r="U503" s="308"/>
      <c r="V503" s="308"/>
      <c r="W503" s="308"/>
      <c r="X503" s="308"/>
      <c r="Y503" s="308"/>
      <c r="Z503" s="309"/>
      <c r="AA503" s="309"/>
      <c r="AB503" s="308"/>
      <c r="AC503" s="308"/>
    </row>
    <row r="504" hidden="1">
      <c r="A504" s="387">
        <v>45665.0</v>
      </c>
      <c r="B504" s="332" t="s">
        <v>586</v>
      </c>
      <c r="C504" s="308"/>
      <c r="D504" s="332" t="s">
        <v>2907</v>
      </c>
      <c r="E504" s="332">
        <v>17.31</v>
      </c>
      <c r="F504" s="319"/>
      <c r="G504" s="319"/>
      <c r="H504" s="319"/>
      <c r="I504" s="308"/>
      <c r="J504" s="308"/>
      <c r="K504" s="308"/>
      <c r="L504" s="308"/>
      <c r="M504" s="308"/>
      <c r="N504" s="332">
        <v>17.31</v>
      </c>
      <c r="O504" s="308"/>
      <c r="P504" s="308"/>
      <c r="Q504" s="308"/>
      <c r="R504" s="308"/>
      <c r="S504" s="308"/>
      <c r="T504" s="308"/>
      <c r="U504" s="308"/>
      <c r="V504" s="308"/>
      <c r="W504" s="308"/>
      <c r="X504" s="308"/>
      <c r="Y504" s="308"/>
      <c r="Z504" s="309"/>
      <c r="AA504" s="309"/>
      <c r="AB504" s="308"/>
      <c r="AC504" s="308"/>
    </row>
    <row r="505" hidden="1">
      <c r="A505" s="387">
        <v>45665.0</v>
      </c>
      <c r="B505" s="332" t="s">
        <v>1645</v>
      </c>
      <c r="C505" s="308"/>
      <c r="D505" s="332" t="s">
        <v>2907</v>
      </c>
      <c r="E505" s="332">
        <v>294.0</v>
      </c>
      <c r="F505" s="319"/>
      <c r="G505" s="319"/>
      <c r="H505" s="319"/>
      <c r="I505" s="308"/>
      <c r="J505" s="308"/>
      <c r="K505" s="308"/>
      <c r="L505" s="308"/>
      <c r="M505" s="308"/>
      <c r="N505" s="332">
        <v>294.0</v>
      </c>
      <c r="O505" s="308"/>
      <c r="P505" s="308"/>
      <c r="Q505" s="308"/>
      <c r="R505" s="308"/>
      <c r="S505" s="308"/>
      <c r="T505" s="308"/>
      <c r="U505" s="308"/>
      <c r="V505" s="308"/>
      <c r="W505" s="308"/>
      <c r="X505" s="308"/>
      <c r="Y505" s="308"/>
      <c r="Z505" s="309"/>
      <c r="AA505" s="309"/>
      <c r="AB505" s="308"/>
      <c r="AC505" s="308"/>
    </row>
    <row r="506" hidden="1">
      <c r="A506" s="387">
        <v>45665.0</v>
      </c>
      <c r="B506" s="332" t="s">
        <v>374</v>
      </c>
      <c r="C506" s="308"/>
      <c r="D506" s="332" t="s">
        <v>3016</v>
      </c>
      <c r="E506" s="332">
        <v>3000.0</v>
      </c>
      <c r="F506" s="319"/>
      <c r="G506" s="319"/>
      <c r="H506" s="319"/>
      <c r="I506" s="308"/>
      <c r="J506" s="308"/>
      <c r="K506" s="308"/>
      <c r="L506" s="308"/>
      <c r="M506" s="308"/>
      <c r="N506" s="332">
        <v>3000.0</v>
      </c>
      <c r="O506" s="308"/>
      <c r="P506" s="308"/>
      <c r="Q506" s="308"/>
      <c r="R506" s="308"/>
      <c r="S506" s="308"/>
      <c r="T506" s="308"/>
      <c r="U506" s="308"/>
      <c r="V506" s="308"/>
      <c r="W506" s="308"/>
      <c r="X506" s="308"/>
      <c r="Y506" s="308"/>
      <c r="Z506" s="309"/>
      <c r="AA506" s="309"/>
      <c r="AB506" s="308"/>
      <c r="AC506" s="308"/>
    </row>
    <row r="507" hidden="1">
      <c r="A507" s="387">
        <v>45665.0</v>
      </c>
      <c r="B507" s="332" t="s">
        <v>293</v>
      </c>
      <c r="C507" s="308"/>
      <c r="D507" s="332" t="s">
        <v>3016</v>
      </c>
      <c r="E507" s="332">
        <v>360.0</v>
      </c>
      <c r="F507" s="319"/>
      <c r="G507" s="319"/>
      <c r="H507" s="319"/>
      <c r="I507" s="308"/>
      <c r="J507" s="308"/>
      <c r="K507" s="308"/>
      <c r="L507" s="308"/>
      <c r="M507" s="308"/>
      <c r="N507" s="332">
        <v>360.0</v>
      </c>
      <c r="O507" s="308"/>
      <c r="P507" s="308"/>
      <c r="Q507" s="308"/>
      <c r="R507" s="308"/>
      <c r="S507" s="308"/>
      <c r="T507" s="308"/>
      <c r="U507" s="308"/>
      <c r="V507" s="308"/>
      <c r="W507" s="308"/>
      <c r="X507" s="308"/>
      <c r="Y507" s="308"/>
      <c r="Z507" s="309"/>
      <c r="AA507" s="309"/>
      <c r="AB507" s="308"/>
      <c r="AC507" s="308"/>
    </row>
    <row r="508" hidden="1">
      <c r="A508" s="387">
        <v>45671.0</v>
      </c>
      <c r="B508" s="332" t="s">
        <v>1661</v>
      </c>
      <c r="C508" s="308"/>
      <c r="D508" s="332" t="s">
        <v>2907</v>
      </c>
      <c r="E508" s="332">
        <v>145.0</v>
      </c>
      <c r="F508" s="319"/>
      <c r="G508" s="319"/>
      <c r="H508" s="319"/>
      <c r="I508" s="308"/>
      <c r="J508" s="308"/>
      <c r="K508" s="308"/>
      <c r="L508" s="308"/>
      <c r="M508" s="308"/>
      <c r="N508" s="332">
        <v>145.0</v>
      </c>
      <c r="O508" s="308"/>
      <c r="P508" s="308"/>
      <c r="Q508" s="308"/>
      <c r="R508" s="308"/>
      <c r="S508" s="308"/>
      <c r="T508" s="308"/>
      <c r="U508" s="308"/>
      <c r="V508" s="308"/>
      <c r="W508" s="308"/>
      <c r="X508" s="308"/>
      <c r="Y508" s="308"/>
      <c r="Z508" s="309"/>
      <c r="AA508" s="309"/>
      <c r="AB508" s="308"/>
      <c r="AC508" s="308"/>
    </row>
    <row r="509" hidden="1">
      <c r="A509" s="387">
        <v>45671.0</v>
      </c>
      <c r="B509" s="332" t="s">
        <v>1667</v>
      </c>
      <c r="C509" s="308"/>
      <c r="D509" s="332" t="s">
        <v>2907</v>
      </c>
      <c r="E509" s="332">
        <v>143.0</v>
      </c>
      <c r="F509" s="319"/>
      <c r="G509" s="319"/>
      <c r="H509" s="319"/>
      <c r="I509" s="308"/>
      <c r="J509" s="308"/>
      <c r="K509" s="308"/>
      <c r="L509" s="308"/>
      <c r="M509" s="308"/>
      <c r="N509" s="332">
        <v>143.0</v>
      </c>
      <c r="O509" s="308"/>
      <c r="P509" s="308"/>
      <c r="Q509" s="308"/>
      <c r="R509" s="308"/>
      <c r="S509" s="308"/>
      <c r="T509" s="308"/>
      <c r="U509" s="308"/>
      <c r="V509" s="308"/>
      <c r="W509" s="308"/>
      <c r="X509" s="308"/>
      <c r="Y509" s="308"/>
      <c r="Z509" s="309"/>
      <c r="AA509" s="309"/>
      <c r="AB509" s="308"/>
      <c r="AC509" s="308"/>
    </row>
    <row r="510" hidden="1">
      <c r="A510" s="387">
        <v>45671.0</v>
      </c>
      <c r="B510" s="332" t="s">
        <v>108</v>
      </c>
      <c r="C510" s="308"/>
      <c r="D510" s="332" t="s">
        <v>2907</v>
      </c>
      <c r="E510" s="332">
        <v>299.0</v>
      </c>
      <c r="F510" s="319"/>
      <c r="G510" s="319"/>
      <c r="H510" s="319"/>
      <c r="I510" s="308"/>
      <c r="J510" s="308"/>
      <c r="K510" s="308"/>
      <c r="L510" s="308"/>
      <c r="M510" s="308"/>
      <c r="N510" s="332">
        <v>299.0</v>
      </c>
      <c r="O510" s="308"/>
      <c r="P510" s="308"/>
      <c r="Q510" s="308"/>
      <c r="R510" s="308"/>
      <c r="S510" s="308"/>
      <c r="T510" s="308"/>
      <c r="U510" s="308"/>
      <c r="V510" s="308"/>
      <c r="W510" s="308"/>
      <c r="X510" s="308"/>
      <c r="Y510" s="308"/>
      <c r="Z510" s="309"/>
      <c r="AA510" s="309"/>
      <c r="AB510" s="308"/>
      <c r="AC510" s="308"/>
    </row>
    <row r="511" hidden="1">
      <c r="A511" s="387">
        <v>45671.0</v>
      </c>
      <c r="B511" s="332" t="s">
        <v>195</v>
      </c>
      <c r="C511" s="308"/>
      <c r="D511" s="343" t="s">
        <v>2907</v>
      </c>
      <c r="E511" s="332">
        <v>1800.0</v>
      </c>
      <c r="F511" s="319"/>
      <c r="G511" s="319"/>
      <c r="H511" s="319"/>
      <c r="I511" s="308"/>
      <c r="J511" s="332">
        <v>1800.0</v>
      </c>
      <c r="K511" s="308"/>
      <c r="L511" s="308"/>
      <c r="M511" s="308"/>
      <c r="N511" s="308"/>
      <c r="O511" s="308"/>
      <c r="P511" s="308"/>
      <c r="Q511" s="308"/>
      <c r="R511" s="308"/>
      <c r="S511" s="308"/>
      <c r="T511" s="308"/>
      <c r="U511" s="308"/>
      <c r="V511" s="308"/>
      <c r="W511" s="308"/>
      <c r="X511" s="308"/>
      <c r="Y511" s="308"/>
      <c r="Z511" s="309"/>
      <c r="AA511" s="309"/>
      <c r="AB511" s="308"/>
      <c r="AC511" s="308"/>
    </row>
    <row r="512" hidden="1">
      <c r="A512" s="387">
        <v>45672.0</v>
      </c>
      <c r="B512" s="332" t="s">
        <v>117</v>
      </c>
      <c r="C512" s="308"/>
      <c r="D512" s="332" t="s">
        <v>3016</v>
      </c>
      <c r="E512" s="332">
        <v>100.0</v>
      </c>
      <c r="F512" s="319"/>
      <c r="G512" s="319"/>
      <c r="H512" s="319"/>
      <c r="I512" s="308"/>
      <c r="J512" s="308"/>
      <c r="K512" s="308"/>
      <c r="L512" s="308"/>
      <c r="M512" s="308"/>
      <c r="N512" s="332">
        <v>100.0</v>
      </c>
      <c r="O512" s="308"/>
      <c r="P512" s="308"/>
      <c r="Q512" s="308"/>
      <c r="R512" s="308"/>
      <c r="S512" s="308"/>
      <c r="T512" s="308"/>
      <c r="U512" s="308"/>
      <c r="V512" s="308"/>
      <c r="W512" s="308"/>
      <c r="X512" s="308"/>
      <c r="Y512" s="308"/>
      <c r="Z512" s="309"/>
      <c r="AA512" s="309"/>
      <c r="AB512" s="308"/>
      <c r="AC512" s="308"/>
    </row>
    <row r="513" hidden="1">
      <c r="A513" s="387">
        <v>45672.0</v>
      </c>
      <c r="B513" s="332" t="s">
        <v>595</v>
      </c>
      <c r="C513" s="308"/>
      <c r="D513" s="332" t="s">
        <v>3006</v>
      </c>
      <c r="E513" s="332">
        <v>2000.0</v>
      </c>
      <c r="F513" s="319"/>
      <c r="G513" s="319"/>
      <c r="H513" s="319"/>
      <c r="I513" s="308"/>
      <c r="J513" s="308"/>
      <c r="K513" s="308"/>
      <c r="L513" s="308"/>
      <c r="M513" s="308"/>
      <c r="N513" s="308"/>
      <c r="O513" s="332">
        <v>2000.0</v>
      </c>
      <c r="P513" s="308"/>
      <c r="Q513" s="308"/>
      <c r="R513" s="308"/>
      <c r="S513" s="308"/>
      <c r="T513" s="308"/>
      <c r="U513" s="308"/>
      <c r="V513" s="308"/>
      <c r="W513" s="308"/>
      <c r="X513" s="308"/>
      <c r="Y513" s="308"/>
      <c r="Z513" s="309"/>
      <c r="AA513" s="309"/>
      <c r="AB513" s="308"/>
      <c r="AC513" s="308"/>
    </row>
    <row r="514" hidden="1">
      <c r="A514" s="387">
        <v>45672.0</v>
      </c>
      <c r="B514" s="332" t="s">
        <v>78</v>
      </c>
      <c r="C514" s="308"/>
      <c r="D514" s="332" t="s">
        <v>3016</v>
      </c>
      <c r="E514" s="332">
        <v>2776.17</v>
      </c>
      <c r="F514" s="319"/>
      <c r="G514" s="319"/>
      <c r="H514" s="319"/>
      <c r="I514" s="308"/>
      <c r="J514" s="308"/>
      <c r="K514" s="308"/>
      <c r="L514" s="308"/>
      <c r="M514" s="308"/>
      <c r="N514" s="332">
        <v>2776.17</v>
      </c>
      <c r="O514" s="308"/>
      <c r="P514" s="308"/>
      <c r="Q514" s="308"/>
      <c r="R514" s="308"/>
      <c r="S514" s="308"/>
      <c r="T514" s="308"/>
      <c r="U514" s="308"/>
      <c r="V514" s="308"/>
      <c r="W514" s="308"/>
      <c r="X514" s="308"/>
      <c r="Y514" s="308"/>
      <c r="Z514" s="309"/>
      <c r="AA514" s="309"/>
      <c r="AB514" s="308"/>
      <c r="AC514" s="308"/>
    </row>
    <row r="515" hidden="1">
      <c r="A515" s="387">
        <v>45672.0</v>
      </c>
      <c r="B515" s="332" t="s">
        <v>938</v>
      </c>
      <c r="C515" s="308"/>
      <c r="D515" s="332" t="s">
        <v>3016</v>
      </c>
      <c r="E515" s="332">
        <v>3000.0</v>
      </c>
      <c r="F515" s="319"/>
      <c r="G515" s="319"/>
      <c r="H515" s="319"/>
      <c r="I515" s="308"/>
      <c r="J515" s="308"/>
      <c r="K515" s="308"/>
      <c r="L515" s="308"/>
      <c r="M515" s="308"/>
      <c r="N515" s="332">
        <v>3000.0</v>
      </c>
      <c r="O515" s="308"/>
      <c r="P515" s="308"/>
      <c r="Q515" s="308"/>
      <c r="R515" s="308"/>
      <c r="S515" s="308"/>
      <c r="T515" s="308"/>
      <c r="U515" s="308"/>
      <c r="V515" s="308"/>
      <c r="W515" s="308"/>
      <c r="X515" s="308"/>
      <c r="Y515" s="308"/>
      <c r="Z515" s="309"/>
      <c r="AA515" s="309"/>
      <c r="AB515" s="308"/>
      <c r="AC515" s="308"/>
    </row>
    <row r="516" hidden="1">
      <c r="A516" s="387">
        <v>45673.0</v>
      </c>
      <c r="B516" s="332" t="s">
        <v>794</v>
      </c>
      <c r="C516" s="308"/>
      <c r="D516" s="332" t="s">
        <v>2907</v>
      </c>
      <c r="E516" s="332">
        <v>286.0</v>
      </c>
      <c r="F516" s="319"/>
      <c r="G516" s="319"/>
      <c r="H516" s="319"/>
      <c r="I516" s="308"/>
      <c r="J516" s="308"/>
      <c r="K516" s="308"/>
      <c r="L516" s="308"/>
      <c r="M516" s="308"/>
      <c r="N516" s="332">
        <v>286.0</v>
      </c>
      <c r="O516" s="308"/>
      <c r="P516" s="308"/>
      <c r="Q516" s="308"/>
      <c r="R516" s="308"/>
      <c r="S516" s="308"/>
      <c r="T516" s="308"/>
      <c r="U516" s="308"/>
      <c r="V516" s="308"/>
      <c r="W516" s="308"/>
      <c r="X516" s="308"/>
      <c r="Y516" s="308"/>
      <c r="Z516" s="309"/>
      <c r="AA516" s="309"/>
      <c r="AB516" s="308"/>
      <c r="AC516" s="308"/>
    </row>
    <row r="517" hidden="1">
      <c r="A517" s="387">
        <v>45673.0</v>
      </c>
      <c r="B517" s="332" t="s">
        <v>117</v>
      </c>
      <c r="C517" s="308"/>
      <c r="D517" s="332" t="s">
        <v>3016</v>
      </c>
      <c r="E517" s="332">
        <v>3000.0</v>
      </c>
      <c r="F517" s="319"/>
      <c r="G517" s="319"/>
      <c r="H517" s="319"/>
      <c r="I517" s="308"/>
      <c r="J517" s="308"/>
      <c r="K517" s="308"/>
      <c r="L517" s="308"/>
      <c r="M517" s="308"/>
      <c r="N517" s="332">
        <v>3000.0</v>
      </c>
      <c r="O517" s="308"/>
      <c r="P517" s="308"/>
      <c r="Q517" s="308"/>
      <c r="R517" s="308"/>
      <c r="S517" s="308"/>
      <c r="T517" s="308"/>
      <c r="U517" s="308"/>
      <c r="V517" s="308"/>
      <c r="W517" s="308"/>
      <c r="X517" s="308"/>
      <c r="Y517" s="308"/>
      <c r="Z517" s="309"/>
      <c r="AA517" s="309"/>
      <c r="AB517" s="308"/>
      <c r="AC517" s="308"/>
    </row>
    <row r="518" hidden="1">
      <c r="A518" s="387">
        <v>45673.0</v>
      </c>
      <c r="B518" s="332" t="s">
        <v>85</v>
      </c>
      <c r="C518" s="308"/>
      <c r="D518" s="332" t="s">
        <v>3016</v>
      </c>
      <c r="E518" s="332">
        <v>3000.0</v>
      </c>
      <c r="F518" s="319"/>
      <c r="G518" s="319"/>
      <c r="H518" s="319"/>
      <c r="I518" s="308"/>
      <c r="J518" s="308"/>
      <c r="K518" s="308"/>
      <c r="L518" s="308"/>
      <c r="M518" s="308"/>
      <c r="N518" s="332">
        <v>3000.0</v>
      </c>
      <c r="O518" s="308"/>
      <c r="P518" s="308"/>
      <c r="Q518" s="308"/>
      <c r="R518" s="308"/>
      <c r="S518" s="308"/>
      <c r="T518" s="308"/>
      <c r="U518" s="308"/>
      <c r="V518" s="308"/>
      <c r="W518" s="308"/>
      <c r="X518" s="308"/>
      <c r="Y518" s="308"/>
      <c r="Z518" s="309"/>
      <c r="AA518" s="309"/>
      <c r="AB518" s="308"/>
      <c r="AC518" s="308"/>
    </row>
    <row r="519" hidden="1">
      <c r="A519" s="387">
        <v>45673.0</v>
      </c>
      <c r="B519" s="332" t="s">
        <v>1706</v>
      </c>
      <c r="C519" s="308"/>
      <c r="D519" s="332" t="s">
        <v>3016</v>
      </c>
      <c r="E519" s="332">
        <v>399.0</v>
      </c>
      <c r="F519" s="319"/>
      <c r="G519" s="319"/>
      <c r="H519" s="319"/>
      <c r="I519" s="308"/>
      <c r="J519" s="308"/>
      <c r="K519" s="308"/>
      <c r="L519" s="308"/>
      <c r="M519" s="308"/>
      <c r="N519" s="332">
        <v>399.0</v>
      </c>
      <c r="O519" s="308"/>
      <c r="P519" s="308"/>
      <c r="Q519" s="308"/>
      <c r="R519" s="308"/>
      <c r="S519" s="308"/>
      <c r="T519" s="308"/>
      <c r="U519" s="308"/>
      <c r="V519" s="308"/>
      <c r="W519" s="308"/>
      <c r="X519" s="308"/>
      <c r="Y519" s="308"/>
      <c r="Z519" s="309"/>
      <c r="AA519" s="309"/>
      <c r="AB519" s="308"/>
      <c r="AC519" s="308"/>
    </row>
    <row r="520" hidden="1">
      <c r="A520" s="387">
        <v>45673.0</v>
      </c>
      <c r="B520" s="332" t="s">
        <v>1712</v>
      </c>
      <c r="C520" s="308"/>
      <c r="D520" s="332" t="s">
        <v>3016</v>
      </c>
      <c r="E520" s="332">
        <v>3000.0</v>
      </c>
      <c r="F520" s="319"/>
      <c r="G520" s="319"/>
      <c r="H520" s="319"/>
      <c r="I520" s="308"/>
      <c r="J520" s="308"/>
      <c r="K520" s="308"/>
      <c r="L520" s="308"/>
      <c r="M520" s="308"/>
      <c r="N520" s="332">
        <v>3000.0</v>
      </c>
      <c r="O520" s="308"/>
      <c r="P520" s="308"/>
      <c r="Q520" s="308"/>
      <c r="R520" s="308"/>
      <c r="S520" s="308"/>
      <c r="T520" s="308"/>
      <c r="U520" s="308"/>
      <c r="V520" s="308"/>
      <c r="W520" s="308"/>
      <c r="X520" s="308"/>
      <c r="Y520" s="308"/>
      <c r="Z520" s="309"/>
      <c r="AA520" s="309"/>
      <c r="AB520" s="308"/>
      <c r="AC520" s="308"/>
    </row>
    <row r="521" hidden="1">
      <c r="A521" s="387">
        <v>45680.0</v>
      </c>
      <c r="B521" s="332" t="s">
        <v>98</v>
      </c>
      <c r="C521" s="308"/>
      <c r="D521" s="332" t="s">
        <v>3016</v>
      </c>
      <c r="E521" s="332">
        <v>3000.0</v>
      </c>
      <c r="F521" s="319"/>
      <c r="G521" s="319"/>
      <c r="H521" s="319"/>
      <c r="I521" s="308"/>
      <c r="J521" s="308"/>
      <c r="K521" s="308"/>
      <c r="L521" s="308"/>
      <c r="M521" s="308"/>
      <c r="N521" s="332">
        <v>3000.0</v>
      </c>
      <c r="O521" s="308"/>
      <c r="P521" s="308"/>
      <c r="Q521" s="308"/>
      <c r="R521" s="308"/>
      <c r="S521" s="308"/>
      <c r="T521" s="308"/>
      <c r="U521" s="308"/>
      <c r="V521" s="308"/>
      <c r="W521" s="308"/>
      <c r="X521" s="308"/>
      <c r="Y521" s="308"/>
      <c r="Z521" s="309"/>
      <c r="AA521" s="309"/>
      <c r="AB521" s="308"/>
      <c r="AC521" s="308"/>
    </row>
    <row r="522" hidden="1">
      <c r="A522" s="387">
        <v>45680.0</v>
      </c>
      <c r="B522" s="332" t="s">
        <v>1586</v>
      </c>
      <c r="C522" s="308"/>
      <c r="D522" s="332" t="s">
        <v>3016</v>
      </c>
      <c r="E522" s="332">
        <v>395.0</v>
      </c>
      <c r="F522" s="319"/>
      <c r="G522" s="319"/>
      <c r="H522" s="319"/>
      <c r="I522" s="308"/>
      <c r="J522" s="308"/>
      <c r="K522" s="308"/>
      <c r="L522" s="308"/>
      <c r="M522" s="308"/>
      <c r="N522" s="332">
        <v>395.0</v>
      </c>
      <c r="O522" s="308"/>
      <c r="P522" s="308"/>
      <c r="Q522" s="308"/>
      <c r="R522" s="308"/>
      <c r="S522" s="308"/>
      <c r="T522" s="308"/>
      <c r="U522" s="308"/>
      <c r="V522" s="308"/>
      <c r="W522" s="308"/>
      <c r="X522" s="308"/>
      <c r="Y522" s="308"/>
      <c r="Z522" s="309"/>
      <c r="AA522" s="309"/>
      <c r="AB522" s="308"/>
      <c r="AC522" s="308"/>
    </row>
    <row r="523" hidden="1">
      <c r="A523" s="387">
        <v>45680.0</v>
      </c>
      <c r="B523" s="332" t="s">
        <v>1725</v>
      </c>
      <c r="C523" s="308"/>
      <c r="D523" s="332" t="s">
        <v>3016</v>
      </c>
      <c r="E523" s="332">
        <v>317.97</v>
      </c>
      <c r="F523" s="319"/>
      <c r="G523" s="319"/>
      <c r="H523" s="319"/>
      <c r="I523" s="308"/>
      <c r="J523" s="308"/>
      <c r="K523" s="308"/>
      <c r="L523" s="308"/>
      <c r="M523" s="308"/>
      <c r="N523" s="332">
        <v>317.97</v>
      </c>
      <c r="O523" s="308"/>
      <c r="P523" s="308"/>
      <c r="Q523" s="308"/>
      <c r="R523" s="308"/>
      <c r="S523" s="308"/>
      <c r="T523" s="308"/>
      <c r="U523" s="308"/>
      <c r="V523" s="308"/>
      <c r="W523" s="308"/>
      <c r="X523" s="308"/>
      <c r="Y523" s="308"/>
      <c r="Z523" s="309"/>
      <c r="AA523" s="309"/>
      <c r="AB523" s="308"/>
      <c r="AC523" s="308"/>
    </row>
    <row r="524" hidden="1">
      <c r="A524" s="387">
        <v>45680.0</v>
      </c>
      <c r="B524" s="332" t="s">
        <v>1725</v>
      </c>
      <c r="C524" s="308"/>
      <c r="D524" s="332" t="s">
        <v>3016</v>
      </c>
      <c r="E524" s="332">
        <v>529.97</v>
      </c>
      <c r="F524" s="319"/>
      <c r="G524" s="319"/>
      <c r="H524" s="319"/>
      <c r="I524" s="308"/>
      <c r="J524" s="308"/>
      <c r="K524" s="308"/>
      <c r="L524" s="308"/>
      <c r="M524" s="308"/>
      <c r="N524" s="332">
        <v>529.97</v>
      </c>
      <c r="O524" s="308"/>
      <c r="P524" s="308"/>
      <c r="Q524" s="308"/>
      <c r="R524" s="308"/>
      <c r="S524" s="308"/>
      <c r="T524" s="308"/>
      <c r="U524" s="308"/>
      <c r="V524" s="308"/>
      <c r="W524" s="308"/>
      <c r="X524" s="308"/>
      <c r="Y524" s="308"/>
      <c r="Z524" s="309"/>
      <c r="AA524" s="309"/>
      <c r="AB524" s="308"/>
      <c r="AC524" s="308"/>
    </row>
    <row r="525" hidden="1">
      <c r="A525" s="387">
        <v>45680.0</v>
      </c>
      <c r="B525" s="332" t="s">
        <v>195</v>
      </c>
      <c r="C525" s="308"/>
      <c r="D525" s="332" t="s">
        <v>3016</v>
      </c>
      <c r="E525" s="332">
        <v>265.0</v>
      </c>
      <c r="F525" s="319"/>
      <c r="G525" s="319"/>
      <c r="H525" s="319"/>
      <c r="I525" s="308"/>
      <c r="J525" s="308"/>
      <c r="K525" s="308"/>
      <c r="L525" s="308"/>
      <c r="M525" s="332">
        <v>265.0</v>
      </c>
      <c r="N525" s="308"/>
      <c r="O525" s="308"/>
      <c r="P525" s="308"/>
      <c r="Q525" s="308"/>
      <c r="R525" s="308"/>
      <c r="S525" s="308"/>
      <c r="T525" s="308"/>
      <c r="U525" s="308"/>
      <c r="V525" s="308"/>
      <c r="W525" s="308"/>
      <c r="X525" s="308"/>
      <c r="Y525" s="308"/>
      <c r="Z525" s="309"/>
      <c r="AA525" s="309"/>
      <c r="AB525" s="308"/>
      <c r="AC525" s="308"/>
    </row>
    <row r="526" hidden="1">
      <c r="A526" s="387">
        <v>45680.0</v>
      </c>
      <c r="B526" s="332" t="s">
        <v>148</v>
      </c>
      <c r="C526" s="308"/>
      <c r="D526" s="332" t="s">
        <v>3016</v>
      </c>
      <c r="E526" s="332">
        <v>349.0</v>
      </c>
      <c r="F526" s="319"/>
      <c r="G526" s="319"/>
      <c r="H526" s="319"/>
      <c r="I526" s="308"/>
      <c r="J526" s="308"/>
      <c r="K526" s="308"/>
      <c r="L526" s="308"/>
      <c r="M526" s="308"/>
      <c r="N526" s="332">
        <v>349.0</v>
      </c>
      <c r="O526" s="308"/>
      <c r="P526" s="308"/>
      <c r="Q526" s="308"/>
      <c r="R526" s="308"/>
      <c r="S526" s="308"/>
      <c r="T526" s="308"/>
      <c r="U526" s="308"/>
      <c r="V526" s="308"/>
      <c r="W526" s="308"/>
      <c r="X526" s="308"/>
      <c r="Y526" s="308"/>
      <c r="Z526" s="309"/>
      <c r="AA526" s="309"/>
      <c r="AB526" s="308"/>
      <c r="AC526" s="308"/>
    </row>
    <row r="527" hidden="1">
      <c r="A527" s="387">
        <v>45680.0</v>
      </c>
      <c r="B527" s="332" t="s">
        <v>1746</v>
      </c>
      <c r="C527" s="308"/>
      <c r="D527" s="332" t="s">
        <v>3016</v>
      </c>
      <c r="E527" s="332">
        <v>100.0</v>
      </c>
      <c r="F527" s="319"/>
      <c r="G527" s="319"/>
      <c r="H527" s="319"/>
      <c r="I527" s="308"/>
      <c r="J527" s="308"/>
      <c r="K527" s="308"/>
      <c r="L527" s="308"/>
      <c r="M527" s="332">
        <v>100.0</v>
      </c>
      <c r="N527" s="308"/>
      <c r="O527" s="308"/>
      <c r="P527" s="308"/>
      <c r="Q527" s="308"/>
      <c r="R527" s="308"/>
      <c r="S527" s="308"/>
      <c r="T527" s="308"/>
      <c r="U527" s="308"/>
      <c r="V527" s="308"/>
      <c r="W527" s="308"/>
      <c r="X527" s="308"/>
      <c r="Y527" s="308"/>
      <c r="Z527" s="309"/>
      <c r="AA527" s="309"/>
      <c r="AB527" s="308"/>
      <c r="AC527" s="308"/>
    </row>
    <row r="528" hidden="1">
      <c r="A528" s="387">
        <v>45680.0</v>
      </c>
      <c r="B528" s="332" t="s">
        <v>1751</v>
      </c>
      <c r="C528" s="308"/>
      <c r="D528" s="332" t="s">
        <v>3016</v>
      </c>
      <c r="E528" s="332">
        <v>105.99</v>
      </c>
      <c r="F528" s="319"/>
      <c r="G528" s="319"/>
      <c r="H528" s="319"/>
      <c r="I528" s="308"/>
      <c r="J528" s="308"/>
      <c r="K528" s="308"/>
      <c r="L528" s="308"/>
      <c r="M528" s="332">
        <v>105.99</v>
      </c>
      <c r="N528" s="308"/>
      <c r="O528" s="308"/>
      <c r="P528" s="308"/>
      <c r="Q528" s="308"/>
      <c r="R528" s="308"/>
      <c r="S528" s="308"/>
      <c r="T528" s="308"/>
      <c r="U528" s="308"/>
      <c r="V528" s="308"/>
      <c r="W528" s="308"/>
      <c r="X528" s="308"/>
      <c r="Y528" s="308"/>
      <c r="Z528" s="309"/>
      <c r="AA528" s="309"/>
      <c r="AB528" s="308"/>
      <c r="AC528" s="308"/>
    </row>
    <row r="529" hidden="1">
      <c r="A529" s="387">
        <v>45681.0</v>
      </c>
      <c r="B529" s="332" t="s">
        <v>1757</v>
      </c>
      <c r="C529" s="308"/>
      <c r="D529" s="332" t="s">
        <v>3012</v>
      </c>
      <c r="E529" s="332">
        <v>15000.0</v>
      </c>
      <c r="F529" s="319"/>
      <c r="G529" s="319"/>
      <c r="H529" s="319"/>
      <c r="I529" s="308"/>
      <c r="J529" s="308"/>
      <c r="K529" s="308"/>
      <c r="L529" s="308"/>
      <c r="M529" s="308"/>
      <c r="N529" s="308"/>
      <c r="O529" s="308"/>
      <c r="P529" s="308"/>
      <c r="Q529" s="308"/>
      <c r="R529" s="308"/>
      <c r="S529" s="332">
        <v>15000.0</v>
      </c>
      <c r="T529" s="308"/>
      <c r="U529" s="308"/>
      <c r="V529" s="308"/>
      <c r="W529" s="308"/>
      <c r="X529" s="308"/>
      <c r="Y529" s="308"/>
      <c r="Z529" s="309"/>
      <c r="AA529" s="309"/>
      <c r="AB529" s="308"/>
      <c r="AC529" s="308"/>
    </row>
    <row r="530" hidden="1">
      <c r="A530" s="387">
        <v>45681.0</v>
      </c>
      <c r="B530" s="332" t="s">
        <v>1706</v>
      </c>
      <c r="C530" s="308"/>
      <c r="D530" s="332" t="s">
        <v>3016</v>
      </c>
      <c r="E530" s="332">
        <v>169.0</v>
      </c>
      <c r="F530" s="319"/>
      <c r="G530" s="319"/>
      <c r="H530" s="319"/>
      <c r="I530" s="308"/>
      <c r="J530" s="308"/>
      <c r="K530" s="308"/>
      <c r="L530" s="308"/>
      <c r="M530" s="308"/>
      <c r="N530" s="332">
        <v>169.0</v>
      </c>
      <c r="O530" s="308"/>
      <c r="P530" s="308"/>
      <c r="Q530" s="308"/>
      <c r="R530" s="308"/>
      <c r="S530" s="308"/>
      <c r="T530" s="308"/>
      <c r="U530" s="308"/>
      <c r="V530" s="308"/>
      <c r="W530" s="308"/>
      <c r="X530" s="308"/>
      <c r="Y530" s="308"/>
      <c r="Z530" s="309"/>
      <c r="AA530" s="309"/>
      <c r="AB530" s="308"/>
      <c r="AC530" s="308"/>
    </row>
    <row r="531" hidden="1">
      <c r="A531" s="387">
        <v>45681.0</v>
      </c>
      <c r="B531" s="332" t="s">
        <v>1706</v>
      </c>
      <c r="C531" s="308"/>
      <c r="D531" s="332" t="s">
        <v>3016</v>
      </c>
      <c r="E531" s="332">
        <v>699.0</v>
      </c>
      <c r="F531" s="319"/>
      <c r="G531" s="319"/>
      <c r="H531" s="319"/>
      <c r="I531" s="308"/>
      <c r="J531" s="308"/>
      <c r="K531" s="308"/>
      <c r="L531" s="308"/>
      <c r="M531" s="308"/>
      <c r="N531" s="332">
        <v>699.0</v>
      </c>
      <c r="O531" s="308"/>
      <c r="P531" s="308"/>
      <c r="Q531" s="308"/>
      <c r="R531" s="308"/>
      <c r="S531" s="308"/>
      <c r="T531" s="308"/>
      <c r="U531" s="308"/>
      <c r="V531" s="308"/>
      <c r="W531" s="308"/>
      <c r="X531" s="308"/>
      <c r="Y531" s="308"/>
      <c r="Z531" s="309"/>
      <c r="AA531" s="309"/>
      <c r="AB531" s="308"/>
      <c r="AC531" s="308"/>
    </row>
    <row r="532" hidden="1">
      <c r="A532" s="387">
        <v>45684.0</v>
      </c>
      <c r="B532" s="332" t="s">
        <v>234</v>
      </c>
      <c r="C532" s="308"/>
      <c r="D532" s="332" t="s">
        <v>3016</v>
      </c>
      <c r="E532" s="332">
        <v>3000.0</v>
      </c>
      <c r="F532" s="319"/>
      <c r="G532" s="319"/>
      <c r="H532" s="319"/>
      <c r="I532" s="308"/>
      <c r="J532" s="308"/>
      <c r="K532" s="308"/>
      <c r="L532" s="308"/>
      <c r="M532" s="308"/>
      <c r="N532" s="332">
        <v>3000.0</v>
      </c>
      <c r="O532" s="308"/>
      <c r="P532" s="308"/>
      <c r="Q532" s="308"/>
      <c r="R532" s="308"/>
      <c r="S532" s="308"/>
      <c r="T532" s="308"/>
      <c r="U532" s="308"/>
      <c r="V532" s="308"/>
      <c r="W532" s="308"/>
      <c r="X532" s="308"/>
      <c r="Y532" s="308"/>
      <c r="Z532" s="309"/>
      <c r="AA532" s="309"/>
      <c r="AB532" s="308"/>
      <c r="AC532" s="308"/>
    </row>
    <row r="533" hidden="1">
      <c r="A533" s="387">
        <v>45684.0</v>
      </c>
      <c r="B533" s="332" t="s">
        <v>1772</v>
      </c>
      <c r="C533" s="308"/>
      <c r="D533" s="332" t="s">
        <v>3006</v>
      </c>
      <c r="E533" s="332">
        <v>3000.0</v>
      </c>
      <c r="F533" s="319"/>
      <c r="G533" s="319"/>
      <c r="H533" s="319"/>
      <c r="I533" s="308"/>
      <c r="J533" s="308"/>
      <c r="K533" s="308"/>
      <c r="L533" s="308"/>
      <c r="M533" s="308"/>
      <c r="N533" s="308"/>
      <c r="O533" s="332">
        <v>3000.0</v>
      </c>
      <c r="P533" s="308"/>
      <c r="Q533" s="308"/>
      <c r="R533" s="308"/>
      <c r="S533" s="308"/>
      <c r="T533" s="308"/>
      <c r="U533" s="308"/>
      <c r="V533" s="308"/>
      <c r="W533" s="308"/>
      <c r="X533" s="308"/>
      <c r="Y533" s="308"/>
      <c r="Z533" s="309"/>
      <c r="AA533" s="309"/>
      <c r="AB533" s="308"/>
      <c r="AC533" s="308"/>
    </row>
    <row r="534" hidden="1">
      <c r="A534" s="387">
        <v>45684.0</v>
      </c>
      <c r="B534" s="332" t="s">
        <v>710</v>
      </c>
      <c r="C534" s="308"/>
      <c r="D534" s="332" t="s">
        <v>3016</v>
      </c>
      <c r="E534" s="332">
        <v>895.0</v>
      </c>
      <c r="F534" s="319"/>
      <c r="G534" s="319"/>
      <c r="H534" s="319"/>
      <c r="I534" s="308"/>
      <c r="J534" s="308"/>
      <c r="K534" s="308"/>
      <c r="L534" s="308"/>
      <c r="M534" s="308"/>
      <c r="N534" s="332">
        <v>895.0</v>
      </c>
      <c r="O534" s="308"/>
      <c r="P534" s="308"/>
      <c r="Q534" s="308"/>
      <c r="R534" s="308"/>
      <c r="S534" s="308"/>
      <c r="T534" s="308"/>
      <c r="U534" s="308"/>
      <c r="V534" s="308"/>
      <c r="W534" s="308"/>
      <c r="X534" s="308"/>
      <c r="Y534" s="308"/>
      <c r="Z534" s="309"/>
      <c r="AA534" s="309"/>
      <c r="AB534" s="308"/>
      <c r="AC534" s="308"/>
    </row>
    <row r="535" hidden="1">
      <c r="A535" s="387">
        <v>45684.0</v>
      </c>
      <c r="B535" s="332" t="s">
        <v>153</v>
      </c>
      <c r="C535" s="308"/>
      <c r="D535" s="332" t="s">
        <v>3016</v>
      </c>
      <c r="E535" s="332">
        <v>4541.0</v>
      </c>
      <c r="F535" s="319"/>
      <c r="G535" s="319"/>
      <c r="H535" s="319"/>
      <c r="I535" s="308"/>
      <c r="J535" s="308"/>
      <c r="K535" s="308"/>
      <c r="L535" s="308"/>
      <c r="M535" s="308"/>
      <c r="N535" s="332">
        <v>4541.0</v>
      </c>
      <c r="O535" s="308"/>
      <c r="P535" s="308"/>
      <c r="Q535" s="308"/>
      <c r="R535" s="308"/>
      <c r="S535" s="308"/>
      <c r="T535" s="308"/>
      <c r="U535" s="308"/>
      <c r="V535" s="308"/>
      <c r="W535" s="308"/>
      <c r="X535" s="308"/>
      <c r="Y535" s="308"/>
      <c r="Z535" s="309"/>
      <c r="AA535" s="309"/>
      <c r="AB535" s="308"/>
      <c r="AC535" s="308"/>
    </row>
    <row r="536" hidden="1">
      <c r="A536" s="387">
        <v>45685.0</v>
      </c>
      <c r="B536" s="332" t="s">
        <v>720</v>
      </c>
      <c r="C536" s="308"/>
      <c r="D536" s="332" t="s">
        <v>3016</v>
      </c>
      <c r="E536" s="332">
        <v>225.0</v>
      </c>
      <c r="F536" s="319"/>
      <c r="G536" s="319"/>
      <c r="H536" s="319"/>
      <c r="I536" s="308"/>
      <c r="J536" s="308"/>
      <c r="K536" s="308"/>
      <c r="L536" s="308"/>
      <c r="M536" s="308"/>
      <c r="N536" s="332">
        <v>225.0</v>
      </c>
      <c r="O536" s="308"/>
      <c r="P536" s="308"/>
      <c r="Q536" s="308"/>
      <c r="R536" s="308"/>
      <c r="S536" s="308"/>
      <c r="T536" s="308"/>
      <c r="U536" s="308"/>
      <c r="V536" s="308"/>
      <c r="W536" s="308"/>
      <c r="X536" s="308"/>
      <c r="Y536" s="308"/>
      <c r="Z536" s="309"/>
      <c r="AA536" s="309"/>
      <c r="AB536" s="308"/>
      <c r="AC536" s="308"/>
    </row>
    <row r="537" hidden="1">
      <c r="A537" s="387">
        <v>45685.0</v>
      </c>
      <c r="B537" s="332" t="s">
        <v>1045</v>
      </c>
      <c r="C537" s="308"/>
      <c r="D537" s="332" t="s">
        <v>3016</v>
      </c>
      <c r="E537" s="332">
        <v>625.0</v>
      </c>
      <c r="F537" s="319"/>
      <c r="G537" s="319"/>
      <c r="H537" s="319"/>
      <c r="I537" s="308"/>
      <c r="J537" s="308"/>
      <c r="K537" s="308"/>
      <c r="L537" s="308"/>
      <c r="M537" s="308"/>
      <c r="N537" s="332">
        <v>625.0</v>
      </c>
      <c r="O537" s="308"/>
      <c r="P537" s="308"/>
      <c r="Q537" s="308"/>
      <c r="R537" s="308"/>
      <c r="S537" s="308"/>
      <c r="T537" s="308"/>
      <c r="U537" s="308"/>
      <c r="V537" s="308"/>
      <c r="W537" s="308"/>
      <c r="X537" s="308"/>
      <c r="Y537" s="308"/>
      <c r="Z537" s="309"/>
      <c r="AA537" s="309"/>
      <c r="AB537" s="308"/>
      <c r="AC537" s="308"/>
    </row>
    <row r="538" hidden="1">
      <c r="A538" s="387">
        <v>45687.0</v>
      </c>
      <c r="B538" s="332" t="s">
        <v>209</v>
      </c>
      <c r="C538" s="308"/>
      <c r="D538" s="332" t="s">
        <v>3016</v>
      </c>
      <c r="E538" s="332">
        <v>3000.0</v>
      </c>
      <c r="F538" s="319"/>
      <c r="G538" s="319"/>
      <c r="H538" s="319"/>
      <c r="I538" s="308"/>
      <c r="J538" s="308"/>
      <c r="K538" s="308"/>
      <c r="L538" s="308"/>
      <c r="M538" s="308"/>
      <c r="N538" s="332">
        <v>3000.0</v>
      </c>
      <c r="O538" s="308"/>
      <c r="P538" s="308"/>
      <c r="Q538" s="308"/>
      <c r="R538" s="308"/>
      <c r="S538" s="308"/>
      <c r="T538" s="308"/>
      <c r="U538" s="308"/>
      <c r="V538" s="308"/>
      <c r="W538" s="308"/>
      <c r="X538" s="308"/>
      <c r="Y538" s="308"/>
      <c r="Z538" s="309"/>
      <c r="AA538" s="309"/>
      <c r="AB538" s="308"/>
      <c r="AC538" s="308"/>
    </row>
    <row r="539" hidden="1">
      <c r="A539" s="387">
        <v>45687.0</v>
      </c>
      <c r="B539" s="332" t="s">
        <v>424</v>
      </c>
      <c r="C539" s="308"/>
      <c r="D539" s="332" t="s">
        <v>3016</v>
      </c>
      <c r="E539" s="332">
        <v>3000.0</v>
      </c>
      <c r="F539" s="319"/>
      <c r="G539" s="319"/>
      <c r="H539" s="319"/>
      <c r="I539" s="308"/>
      <c r="J539" s="308"/>
      <c r="K539" s="308"/>
      <c r="L539" s="308"/>
      <c r="M539" s="308"/>
      <c r="N539" s="332">
        <v>3000.0</v>
      </c>
      <c r="O539" s="308"/>
      <c r="P539" s="308"/>
      <c r="Q539" s="308"/>
      <c r="R539" s="308"/>
      <c r="S539" s="308"/>
      <c r="T539" s="308"/>
      <c r="U539" s="308"/>
      <c r="V539" s="308"/>
      <c r="W539" s="308"/>
      <c r="X539" s="308"/>
      <c r="Y539" s="308"/>
      <c r="Z539" s="309"/>
      <c r="AA539" s="309"/>
      <c r="AB539" s="308"/>
      <c r="AC539" s="308"/>
    </row>
    <row r="540" hidden="1">
      <c r="A540" s="387">
        <v>45688.0</v>
      </c>
      <c r="B540" s="332" t="s">
        <v>201</v>
      </c>
      <c r="C540" s="308"/>
      <c r="D540" s="332" t="s">
        <v>2907</v>
      </c>
      <c r="E540" s="332">
        <v>550.0</v>
      </c>
      <c r="F540" s="319"/>
      <c r="G540" s="319"/>
      <c r="H540" s="319"/>
      <c r="I540" s="308"/>
      <c r="J540" s="308"/>
      <c r="K540" s="308"/>
      <c r="L540" s="308"/>
      <c r="M540" s="308"/>
      <c r="N540" s="332">
        <v>550.0</v>
      </c>
      <c r="O540" s="308"/>
      <c r="P540" s="308"/>
      <c r="Q540" s="308"/>
      <c r="R540" s="308"/>
      <c r="S540" s="308"/>
      <c r="T540" s="308"/>
      <c r="U540" s="308"/>
      <c r="V540" s="308"/>
      <c r="W540" s="308"/>
      <c r="X540" s="308"/>
      <c r="Y540" s="308"/>
      <c r="Z540" s="309"/>
      <c r="AA540" s="309"/>
      <c r="AB540" s="308"/>
      <c r="AC540" s="308"/>
    </row>
    <row r="541" hidden="1">
      <c r="A541" s="387">
        <v>45688.0</v>
      </c>
      <c r="B541" s="332" t="s">
        <v>240</v>
      </c>
      <c r="C541" s="308"/>
      <c r="D541" s="332" t="s">
        <v>3016</v>
      </c>
      <c r="E541" s="332">
        <v>1300.0</v>
      </c>
      <c r="F541" s="319"/>
      <c r="G541" s="319"/>
      <c r="H541" s="319"/>
      <c r="I541" s="308"/>
      <c r="J541" s="308"/>
      <c r="K541" s="308"/>
      <c r="L541" s="308"/>
      <c r="M541" s="308"/>
      <c r="N541" s="332">
        <v>1300.0</v>
      </c>
      <c r="O541" s="308"/>
      <c r="P541" s="308"/>
      <c r="Q541" s="308"/>
      <c r="R541" s="308"/>
      <c r="S541" s="308"/>
      <c r="T541" s="308"/>
      <c r="U541" s="308"/>
      <c r="V541" s="308"/>
      <c r="W541" s="308"/>
      <c r="X541" s="308"/>
      <c r="Y541" s="308"/>
      <c r="Z541" s="309"/>
      <c r="AA541" s="309"/>
      <c r="AB541" s="308"/>
      <c r="AC541" s="308"/>
    </row>
    <row r="542" hidden="1">
      <c r="A542" s="387">
        <v>45688.0</v>
      </c>
      <c r="B542" s="332" t="s">
        <v>715</v>
      </c>
      <c r="C542" s="308"/>
      <c r="D542" s="332" t="s">
        <v>2907</v>
      </c>
      <c r="E542" s="332">
        <v>106.0</v>
      </c>
      <c r="F542" s="319"/>
      <c r="G542" s="319"/>
      <c r="H542" s="319"/>
      <c r="I542" s="308"/>
      <c r="J542" s="308"/>
      <c r="K542" s="308"/>
      <c r="L542" s="308"/>
      <c r="M542" s="308"/>
      <c r="N542" s="332">
        <v>106.0</v>
      </c>
      <c r="O542" s="308"/>
      <c r="P542" s="308"/>
      <c r="Q542" s="308"/>
      <c r="R542" s="308"/>
      <c r="S542" s="308"/>
      <c r="T542" s="308"/>
      <c r="U542" s="308"/>
      <c r="V542" s="308"/>
      <c r="W542" s="308"/>
      <c r="X542" s="308"/>
      <c r="Y542" s="308"/>
      <c r="Z542" s="309"/>
      <c r="AA542" s="309"/>
      <c r="AB542" s="308"/>
      <c r="AC542" s="308"/>
    </row>
    <row r="543" hidden="1">
      <c r="A543" s="387">
        <v>45694.0</v>
      </c>
      <c r="B543" s="332" t="s">
        <v>368</v>
      </c>
      <c r="C543" s="308"/>
      <c r="D543" s="332" t="s">
        <v>3016</v>
      </c>
      <c r="E543" s="332">
        <v>1145.0</v>
      </c>
      <c r="F543" s="319"/>
      <c r="G543" s="319"/>
      <c r="H543" s="319"/>
      <c r="I543" s="308"/>
      <c r="J543" s="308"/>
      <c r="K543" s="308"/>
      <c r="L543" s="308"/>
      <c r="M543" s="308"/>
      <c r="N543" s="332">
        <v>1145.0</v>
      </c>
      <c r="O543" s="308"/>
      <c r="P543" s="308"/>
      <c r="Q543" s="308"/>
      <c r="R543" s="308"/>
      <c r="S543" s="308"/>
      <c r="T543" s="308"/>
      <c r="U543" s="308"/>
      <c r="V543" s="308"/>
      <c r="W543" s="308"/>
      <c r="X543" s="308"/>
      <c r="Y543" s="308"/>
      <c r="Z543" s="309"/>
      <c r="AA543" s="309"/>
      <c r="AB543" s="308"/>
      <c r="AC543" s="308"/>
    </row>
    <row r="544" hidden="1">
      <c r="A544" s="387">
        <v>45694.0</v>
      </c>
      <c r="B544" s="332" t="s">
        <v>78</v>
      </c>
      <c r="C544" s="308"/>
      <c r="D544" s="332" t="s">
        <v>3012</v>
      </c>
      <c r="E544" s="332">
        <v>15000.0</v>
      </c>
      <c r="F544" s="319"/>
      <c r="G544" s="319"/>
      <c r="H544" s="319"/>
      <c r="I544" s="308"/>
      <c r="J544" s="308"/>
      <c r="K544" s="308"/>
      <c r="L544" s="308"/>
      <c r="M544" s="308"/>
      <c r="N544" s="308"/>
      <c r="O544" s="308"/>
      <c r="P544" s="308"/>
      <c r="Q544" s="308"/>
      <c r="R544" s="308"/>
      <c r="S544" s="332">
        <v>15000.0</v>
      </c>
      <c r="T544" s="308"/>
      <c r="U544" s="308"/>
      <c r="V544" s="308"/>
      <c r="W544" s="308"/>
      <c r="X544" s="308"/>
      <c r="Y544" s="308"/>
      <c r="Z544" s="309"/>
      <c r="AA544" s="309"/>
      <c r="AB544" s="308"/>
      <c r="AC544" s="308"/>
    </row>
    <row r="545" hidden="1">
      <c r="A545" s="387">
        <v>45694.0</v>
      </c>
      <c r="B545" s="332" t="s">
        <v>600</v>
      </c>
      <c r="C545" s="308"/>
      <c r="D545" s="332" t="s">
        <v>2907</v>
      </c>
      <c r="E545" s="332">
        <v>66.0</v>
      </c>
      <c r="F545" s="319"/>
      <c r="G545" s="319"/>
      <c r="H545" s="319"/>
      <c r="I545" s="308"/>
      <c r="J545" s="308"/>
      <c r="K545" s="308"/>
      <c r="L545" s="308"/>
      <c r="M545" s="308"/>
      <c r="N545" s="332">
        <v>66.0</v>
      </c>
      <c r="O545" s="308"/>
      <c r="P545" s="308"/>
      <c r="Q545" s="308"/>
      <c r="R545" s="308"/>
      <c r="S545" s="308"/>
      <c r="T545" s="308"/>
      <c r="U545" s="308"/>
      <c r="V545" s="308"/>
      <c r="W545" s="308"/>
      <c r="X545" s="308"/>
      <c r="Y545" s="308"/>
      <c r="Z545" s="309"/>
      <c r="AA545" s="309"/>
      <c r="AB545" s="308"/>
      <c r="AC545" s="308"/>
    </row>
    <row r="546" hidden="1">
      <c r="A546" s="387">
        <v>45699.0</v>
      </c>
      <c r="B546" s="332" t="s">
        <v>234</v>
      </c>
      <c r="C546" s="308"/>
      <c r="D546" s="332" t="s">
        <v>3016</v>
      </c>
      <c r="E546" s="332">
        <v>3540.0</v>
      </c>
      <c r="F546" s="319"/>
      <c r="G546" s="319"/>
      <c r="H546" s="319"/>
      <c r="I546" s="308"/>
      <c r="J546" s="308"/>
      <c r="K546" s="308"/>
      <c r="L546" s="308"/>
      <c r="M546" s="308"/>
      <c r="N546" s="332">
        <v>3540.0</v>
      </c>
      <c r="O546" s="308"/>
      <c r="P546" s="308"/>
      <c r="Q546" s="308"/>
      <c r="R546" s="308"/>
      <c r="S546" s="308"/>
      <c r="T546" s="308"/>
      <c r="U546" s="308"/>
      <c r="V546" s="308"/>
      <c r="W546" s="308"/>
      <c r="X546" s="308"/>
      <c r="Y546" s="308"/>
      <c r="Z546" s="309"/>
      <c r="AA546" s="309"/>
      <c r="AB546" s="308"/>
      <c r="AC546" s="308"/>
    </row>
    <row r="547" hidden="1">
      <c r="A547" s="387">
        <v>45699.0</v>
      </c>
      <c r="B547" s="332" t="s">
        <v>333</v>
      </c>
      <c r="C547" s="308"/>
      <c r="D547" s="332" t="s">
        <v>3016</v>
      </c>
      <c r="E547" s="332">
        <v>10000.0</v>
      </c>
      <c r="F547" s="319"/>
      <c r="G547" s="319"/>
      <c r="H547" s="319"/>
      <c r="I547" s="308"/>
      <c r="J547" s="308"/>
      <c r="K547" s="308"/>
      <c r="L547" s="308"/>
      <c r="M547" s="308"/>
      <c r="N547" s="332">
        <v>10000.0</v>
      </c>
      <c r="O547" s="308"/>
      <c r="P547" s="308"/>
      <c r="Q547" s="308"/>
      <c r="R547" s="308"/>
      <c r="S547" s="308"/>
      <c r="T547" s="308"/>
      <c r="U547" s="308"/>
      <c r="V547" s="308"/>
      <c r="W547" s="308"/>
      <c r="X547" s="308"/>
      <c r="Y547" s="308"/>
      <c r="Z547" s="309"/>
      <c r="AA547" s="309"/>
      <c r="AB547" s="308"/>
      <c r="AC547" s="308"/>
    </row>
    <row r="548" hidden="1">
      <c r="A548" s="387">
        <v>45699.0</v>
      </c>
      <c r="B548" s="332" t="s">
        <v>104</v>
      </c>
      <c r="C548" s="308"/>
      <c r="D548" s="332" t="s">
        <v>3016</v>
      </c>
      <c r="E548" s="332">
        <v>425.0</v>
      </c>
      <c r="F548" s="319"/>
      <c r="G548" s="319"/>
      <c r="H548" s="319"/>
      <c r="I548" s="308"/>
      <c r="J548" s="308"/>
      <c r="K548" s="308"/>
      <c r="L548" s="308"/>
      <c r="M548" s="308"/>
      <c r="N548" s="332">
        <v>425.0</v>
      </c>
      <c r="O548" s="308"/>
      <c r="P548" s="308"/>
      <c r="Q548" s="308"/>
      <c r="R548" s="308"/>
      <c r="S548" s="308"/>
      <c r="T548" s="308"/>
      <c r="U548" s="308"/>
      <c r="V548" s="308"/>
      <c r="W548" s="308"/>
      <c r="X548" s="308"/>
      <c r="Y548" s="308"/>
      <c r="Z548" s="309"/>
      <c r="AA548" s="309"/>
      <c r="AB548" s="308"/>
      <c r="AC548" s="308"/>
    </row>
    <row r="549" hidden="1">
      <c r="A549" s="387">
        <v>45699.0</v>
      </c>
      <c r="B549" s="332" t="s">
        <v>104</v>
      </c>
      <c r="C549" s="308"/>
      <c r="D549" s="332" t="s">
        <v>3016</v>
      </c>
      <c r="E549" s="332">
        <v>250.0</v>
      </c>
      <c r="F549" s="319"/>
      <c r="G549" s="319"/>
      <c r="H549" s="319"/>
      <c r="I549" s="308"/>
      <c r="J549" s="308"/>
      <c r="K549" s="308"/>
      <c r="L549" s="308"/>
      <c r="M549" s="308"/>
      <c r="N549" s="332">
        <v>250.0</v>
      </c>
      <c r="O549" s="308"/>
      <c r="P549" s="308"/>
      <c r="Q549" s="308"/>
      <c r="R549" s="308"/>
      <c r="S549" s="308"/>
      <c r="T549" s="308"/>
      <c r="U549" s="308"/>
      <c r="V549" s="308"/>
      <c r="W549" s="308"/>
      <c r="X549" s="308"/>
      <c r="Y549" s="308"/>
      <c r="Z549" s="309"/>
      <c r="AA549" s="309"/>
      <c r="AB549" s="308"/>
      <c r="AC549" s="308"/>
    </row>
    <row r="550" hidden="1">
      <c r="A550" s="387">
        <v>45701.0</v>
      </c>
      <c r="B550" s="332" t="s">
        <v>104</v>
      </c>
      <c r="C550" s="308"/>
      <c r="D550" s="332" t="s">
        <v>2907</v>
      </c>
      <c r="E550" s="332">
        <v>150.0</v>
      </c>
      <c r="F550" s="319"/>
      <c r="G550" s="319"/>
      <c r="H550" s="319"/>
      <c r="I550" s="308"/>
      <c r="J550" s="308"/>
      <c r="K550" s="308"/>
      <c r="L550" s="308"/>
      <c r="M550" s="308"/>
      <c r="N550" s="332">
        <v>150.0</v>
      </c>
      <c r="O550" s="308"/>
      <c r="P550" s="308"/>
      <c r="Q550" s="308"/>
      <c r="R550" s="308"/>
      <c r="S550" s="308"/>
      <c r="T550" s="308"/>
      <c r="U550" s="308"/>
      <c r="V550" s="308"/>
      <c r="W550" s="308"/>
      <c r="X550" s="308"/>
      <c r="Y550" s="308"/>
      <c r="Z550" s="309"/>
      <c r="AA550" s="309"/>
      <c r="AB550" s="308"/>
      <c r="AC550" s="308"/>
    </row>
    <row r="551" hidden="1">
      <c r="A551" s="387">
        <v>45701.0</v>
      </c>
      <c r="B551" s="332" t="s">
        <v>675</v>
      </c>
      <c r="C551" s="308"/>
      <c r="D551" s="332" t="s">
        <v>3016</v>
      </c>
      <c r="E551" s="332">
        <v>4000.0</v>
      </c>
      <c r="F551" s="319"/>
      <c r="G551" s="319"/>
      <c r="H551" s="319"/>
      <c r="I551" s="308"/>
      <c r="J551" s="308"/>
      <c r="K551" s="308"/>
      <c r="L551" s="308"/>
      <c r="M551" s="308"/>
      <c r="N551" s="332">
        <v>4000.0</v>
      </c>
      <c r="O551" s="308"/>
      <c r="P551" s="308"/>
      <c r="Q551" s="308"/>
      <c r="R551" s="308"/>
      <c r="S551" s="308"/>
      <c r="T551" s="308"/>
      <c r="U551" s="308"/>
      <c r="V551" s="308"/>
      <c r="W551" s="308"/>
      <c r="X551" s="308"/>
      <c r="Y551" s="308"/>
      <c r="Z551" s="309"/>
      <c r="AA551" s="309"/>
      <c r="AB551" s="308"/>
      <c r="AC551" s="308"/>
    </row>
    <row r="552" hidden="1">
      <c r="A552" s="387">
        <v>45701.0</v>
      </c>
      <c r="B552" s="332" t="s">
        <v>431</v>
      </c>
      <c r="C552" s="308"/>
      <c r="D552" s="332" t="s">
        <v>3016</v>
      </c>
      <c r="E552" s="332">
        <v>4500.0</v>
      </c>
      <c r="F552" s="319"/>
      <c r="G552" s="319"/>
      <c r="H552" s="319"/>
      <c r="I552" s="308"/>
      <c r="J552" s="308"/>
      <c r="K552" s="308"/>
      <c r="L552" s="308"/>
      <c r="M552" s="308"/>
      <c r="N552" s="332">
        <v>4500.0</v>
      </c>
      <c r="O552" s="308"/>
      <c r="P552" s="308"/>
      <c r="Q552" s="308"/>
      <c r="R552" s="308"/>
      <c r="S552" s="308"/>
      <c r="T552" s="308"/>
      <c r="U552" s="308"/>
      <c r="V552" s="308"/>
      <c r="W552" s="308"/>
      <c r="X552" s="308"/>
      <c r="Y552" s="308"/>
      <c r="Z552" s="309"/>
      <c r="AA552" s="309"/>
      <c r="AB552" s="308"/>
      <c r="AC552" s="308"/>
    </row>
    <row r="553" hidden="1">
      <c r="A553" s="387">
        <v>45701.0</v>
      </c>
      <c r="B553" s="332" t="s">
        <v>1869</v>
      </c>
      <c r="C553" s="308"/>
      <c r="D553" s="343" t="s">
        <v>2909</v>
      </c>
      <c r="E553" s="332">
        <v>525.0</v>
      </c>
      <c r="F553" s="319"/>
      <c r="G553" s="319"/>
      <c r="H553" s="319"/>
      <c r="I553" s="308"/>
      <c r="J553" s="332">
        <v>525.0</v>
      </c>
      <c r="K553" s="332"/>
      <c r="L553" s="308"/>
      <c r="M553" s="308"/>
      <c r="N553" s="308"/>
      <c r="O553" s="308"/>
      <c r="P553" s="308"/>
      <c r="Q553" s="308"/>
      <c r="R553" s="308"/>
      <c r="S553" s="308"/>
      <c r="T553" s="308"/>
      <c r="U553" s="308"/>
      <c r="V553" s="308"/>
      <c r="W553" s="308"/>
      <c r="X553" s="308"/>
      <c r="Y553" s="308"/>
      <c r="Z553" s="309"/>
      <c r="AA553" s="309"/>
      <c r="AB553" s="308"/>
      <c r="AC553" s="308"/>
    </row>
    <row r="554" hidden="1">
      <c r="A554" s="387">
        <v>45701.0</v>
      </c>
      <c r="B554" s="332" t="s">
        <v>314</v>
      </c>
      <c r="C554" s="308"/>
      <c r="D554" s="332" t="s">
        <v>3016</v>
      </c>
      <c r="E554" s="332">
        <v>219.0</v>
      </c>
      <c r="F554" s="319"/>
      <c r="G554" s="319"/>
      <c r="H554" s="319"/>
      <c r="I554" s="308"/>
      <c r="J554" s="308"/>
      <c r="K554" s="308"/>
      <c r="L554" s="308"/>
      <c r="M554" s="308"/>
      <c r="N554" s="332">
        <v>219.0</v>
      </c>
      <c r="O554" s="308"/>
      <c r="P554" s="308"/>
      <c r="Q554" s="308"/>
      <c r="R554" s="308"/>
      <c r="S554" s="308"/>
      <c r="T554" s="308"/>
      <c r="U554" s="308"/>
      <c r="V554" s="308"/>
      <c r="W554" s="308"/>
      <c r="X554" s="308"/>
      <c r="Y554" s="308"/>
      <c r="Z554" s="309"/>
      <c r="AA554" s="309"/>
      <c r="AB554" s="308"/>
      <c r="AC554" s="308"/>
    </row>
    <row r="555" hidden="1">
      <c r="A555" s="387">
        <v>45701.0</v>
      </c>
      <c r="B555" s="332" t="s">
        <v>1025</v>
      </c>
      <c r="C555" s="308"/>
      <c r="D555" s="332" t="s">
        <v>3016</v>
      </c>
      <c r="E555" s="332">
        <v>300.0</v>
      </c>
      <c r="F555" s="319"/>
      <c r="G555" s="319"/>
      <c r="H555" s="319"/>
      <c r="I555" s="308"/>
      <c r="J555" s="308"/>
      <c r="K555" s="308"/>
      <c r="L555" s="308"/>
      <c r="M555" s="308"/>
      <c r="N555" s="332">
        <v>300.0</v>
      </c>
      <c r="O555" s="308"/>
      <c r="P555" s="308"/>
      <c r="Q555" s="308"/>
      <c r="R555" s="308"/>
      <c r="S555" s="308"/>
      <c r="T555" s="308"/>
      <c r="U555" s="308"/>
      <c r="V555" s="308"/>
      <c r="W555" s="308"/>
      <c r="X555" s="308"/>
      <c r="Y555" s="308"/>
      <c r="Z555" s="309"/>
      <c r="AA555" s="309"/>
      <c r="AB555" s="308"/>
      <c r="AC555" s="308"/>
    </row>
    <row r="556" hidden="1">
      <c r="A556" s="387">
        <v>45701.0</v>
      </c>
      <c r="B556" s="332" t="s">
        <v>424</v>
      </c>
      <c r="C556" s="308"/>
      <c r="D556" s="332" t="s">
        <v>3016</v>
      </c>
      <c r="E556" s="332">
        <v>300.0</v>
      </c>
      <c r="F556" s="319"/>
      <c r="G556" s="319"/>
      <c r="H556" s="319"/>
      <c r="I556" s="308"/>
      <c r="J556" s="308"/>
      <c r="K556" s="308"/>
      <c r="L556" s="308"/>
      <c r="M556" s="308"/>
      <c r="N556" s="332">
        <v>300.0</v>
      </c>
      <c r="O556" s="308"/>
      <c r="P556" s="308"/>
      <c r="Q556" s="308"/>
      <c r="R556" s="308"/>
      <c r="S556" s="308"/>
      <c r="T556" s="308"/>
      <c r="U556" s="308"/>
      <c r="V556" s="308"/>
      <c r="W556" s="308"/>
      <c r="X556" s="308"/>
      <c r="Y556" s="308"/>
      <c r="Z556" s="309"/>
      <c r="AA556" s="309"/>
      <c r="AB556" s="308"/>
      <c r="AC556" s="308"/>
    </row>
    <row r="557" hidden="1">
      <c r="A557" s="387">
        <v>45706.0</v>
      </c>
      <c r="B557" s="332" t="s">
        <v>231</v>
      </c>
      <c r="C557" s="308"/>
      <c r="D557" s="332" t="s">
        <v>3016</v>
      </c>
      <c r="E557" s="332">
        <v>100.0</v>
      </c>
      <c r="F557" s="319"/>
      <c r="G557" s="319"/>
      <c r="H557" s="319"/>
      <c r="I557" s="308"/>
      <c r="J557" s="308"/>
      <c r="K557" s="308"/>
      <c r="L557" s="308"/>
      <c r="M557" s="308"/>
      <c r="N557" s="332">
        <v>100.0</v>
      </c>
      <c r="O557" s="308"/>
      <c r="P557" s="308"/>
      <c r="Q557" s="308"/>
      <c r="R557" s="308"/>
      <c r="S557" s="308"/>
      <c r="T557" s="308"/>
      <c r="U557" s="308"/>
      <c r="V557" s="308"/>
      <c r="W557" s="308"/>
      <c r="X557" s="308"/>
      <c r="Y557" s="308"/>
      <c r="Z557" s="309"/>
      <c r="AA557" s="309"/>
      <c r="AB557" s="308"/>
      <c r="AC557" s="308"/>
    </row>
    <row r="558" hidden="1">
      <c r="A558" s="387">
        <v>45706.0</v>
      </c>
      <c r="B558" s="332" t="s">
        <v>385</v>
      </c>
      <c r="C558" s="308"/>
      <c r="D558" s="332" t="s">
        <v>3016</v>
      </c>
      <c r="E558" s="332">
        <v>150.0</v>
      </c>
      <c r="F558" s="319"/>
      <c r="G558" s="319"/>
      <c r="H558" s="319"/>
      <c r="I558" s="308"/>
      <c r="J558" s="308"/>
      <c r="K558" s="308"/>
      <c r="L558" s="308"/>
      <c r="M558" s="308"/>
      <c r="N558" s="332">
        <v>150.0</v>
      </c>
      <c r="O558" s="308"/>
      <c r="P558" s="308"/>
      <c r="Q558" s="308"/>
      <c r="R558" s="308"/>
      <c r="S558" s="308"/>
      <c r="T558" s="308"/>
      <c r="U558" s="308"/>
      <c r="V558" s="308"/>
      <c r="W558" s="308"/>
      <c r="X558" s="308"/>
      <c r="Y558" s="308"/>
      <c r="Z558" s="309"/>
      <c r="AA558" s="309"/>
      <c r="AB558" s="308"/>
      <c r="AC558" s="308"/>
    </row>
    <row r="559" hidden="1">
      <c r="A559" s="387">
        <v>45706.0</v>
      </c>
      <c r="B559" s="332" t="s">
        <v>382</v>
      </c>
      <c r="C559" s="308"/>
      <c r="D559" s="332" t="s">
        <v>3016</v>
      </c>
      <c r="E559" s="332">
        <v>150.0</v>
      </c>
      <c r="F559" s="319"/>
      <c r="G559" s="319"/>
      <c r="H559" s="319"/>
      <c r="I559" s="308"/>
      <c r="J559" s="308"/>
      <c r="K559" s="308"/>
      <c r="L559" s="308"/>
      <c r="M559" s="308"/>
      <c r="N559" s="332">
        <v>150.0</v>
      </c>
      <c r="O559" s="308"/>
      <c r="P559" s="308"/>
      <c r="Q559" s="308"/>
      <c r="R559" s="308"/>
      <c r="S559" s="308"/>
      <c r="T559" s="308"/>
      <c r="U559" s="308"/>
      <c r="V559" s="308"/>
      <c r="W559" s="308"/>
      <c r="X559" s="308"/>
      <c r="Y559" s="308"/>
      <c r="Z559" s="309"/>
      <c r="AA559" s="309"/>
      <c r="AB559" s="308"/>
      <c r="AC559" s="308"/>
    </row>
    <row r="560" hidden="1">
      <c r="A560" s="387">
        <v>45708.0</v>
      </c>
      <c r="B560" s="332" t="s">
        <v>148</v>
      </c>
      <c r="C560" s="308"/>
      <c r="D560" s="332" t="s">
        <v>3016</v>
      </c>
      <c r="E560" s="332">
        <v>219.0</v>
      </c>
      <c r="F560" s="319"/>
      <c r="G560" s="319"/>
      <c r="H560" s="319"/>
      <c r="I560" s="308"/>
      <c r="J560" s="308"/>
      <c r="K560" s="308"/>
      <c r="L560" s="308"/>
      <c r="M560" s="308"/>
      <c r="N560" s="332">
        <v>219.0</v>
      </c>
      <c r="O560" s="308"/>
      <c r="P560" s="308"/>
      <c r="Q560" s="308"/>
      <c r="R560" s="308"/>
      <c r="S560" s="308"/>
      <c r="T560" s="308"/>
      <c r="U560" s="308"/>
      <c r="V560" s="308"/>
      <c r="W560" s="308"/>
      <c r="X560" s="308"/>
      <c r="Y560" s="308"/>
      <c r="Z560" s="309"/>
      <c r="AA560" s="309"/>
      <c r="AB560" s="308"/>
      <c r="AC560" s="308"/>
    </row>
    <row r="561" hidden="1">
      <c r="A561" s="387">
        <v>45708.0</v>
      </c>
      <c r="B561" s="332" t="s">
        <v>171</v>
      </c>
      <c r="C561" s="308"/>
      <c r="D561" s="332" t="s">
        <v>3016</v>
      </c>
      <c r="E561" s="332">
        <v>219.0</v>
      </c>
      <c r="F561" s="319"/>
      <c r="G561" s="319"/>
      <c r="H561" s="319"/>
      <c r="I561" s="308"/>
      <c r="J561" s="308"/>
      <c r="K561" s="308"/>
      <c r="L561" s="308"/>
      <c r="M561" s="308"/>
      <c r="N561" s="332">
        <v>219.0</v>
      </c>
      <c r="O561" s="308"/>
      <c r="P561" s="308"/>
      <c r="Q561" s="308"/>
      <c r="R561" s="308"/>
      <c r="S561" s="308"/>
      <c r="T561" s="308"/>
      <c r="U561" s="308"/>
      <c r="V561" s="308"/>
      <c r="W561" s="308"/>
      <c r="X561" s="308"/>
      <c r="Y561" s="308"/>
      <c r="Z561" s="309"/>
      <c r="AA561" s="309"/>
      <c r="AB561" s="308"/>
      <c r="AC561" s="308"/>
    </row>
    <row r="562" hidden="1">
      <c r="A562" s="387">
        <v>45708.0</v>
      </c>
      <c r="B562" s="332" t="s">
        <v>1902</v>
      </c>
      <c r="C562" s="308"/>
      <c r="D562" s="332" t="s">
        <v>3016</v>
      </c>
      <c r="E562" s="332">
        <v>219.0</v>
      </c>
      <c r="F562" s="319"/>
      <c r="G562" s="319"/>
      <c r="H562" s="319"/>
      <c r="I562" s="308"/>
      <c r="J562" s="308"/>
      <c r="K562" s="308"/>
      <c r="L562" s="308"/>
      <c r="M562" s="308"/>
      <c r="N562" s="332">
        <v>219.0</v>
      </c>
      <c r="O562" s="308"/>
      <c r="P562" s="308"/>
      <c r="Q562" s="308"/>
      <c r="R562" s="308"/>
      <c r="S562" s="308"/>
      <c r="T562" s="308"/>
      <c r="U562" s="308"/>
      <c r="V562" s="308"/>
      <c r="W562" s="308"/>
      <c r="X562" s="308"/>
      <c r="Y562" s="308"/>
      <c r="Z562" s="309"/>
      <c r="AA562" s="309"/>
      <c r="AB562" s="308"/>
      <c r="AC562" s="308"/>
    </row>
    <row r="563" hidden="1">
      <c r="A563" s="387">
        <v>45708.0</v>
      </c>
      <c r="B563" s="332" t="s">
        <v>209</v>
      </c>
      <c r="C563" s="308"/>
      <c r="D563" s="332" t="s">
        <v>3016</v>
      </c>
      <c r="E563" s="332">
        <v>219.0</v>
      </c>
      <c r="F563" s="319"/>
      <c r="G563" s="319"/>
      <c r="H563" s="319"/>
      <c r="I563" s="308"/>
      <c r="J563" s="308"/>
      <c r="K563" s="308"/>
      <c r="L563" s="308"/>
      <c r="M563" s="308"/>
      <c r="N563" s="332">
        <v>219.0</v>
      </c>
      <c r="O563" s="308"/>
      <c r="P563" s="308"/>
      <c r="Q563" s="308"/>
      <c r="R563" s="308"/>
      <c r="S563" s="308"/>
      <c r="T563" s="308"/>
      <c r="U563" s="308"/>
      <c r="V563" s="308"/>
      <c r="W563" s="308"/>
      <c r="X563" s="308"/>
      <c r="Y563" s="308"/>
      <c r="Z563" s="309"/>
      <c r="AA563" s="309"/>
      <c r="AB563" s="308"/>
      <c r="AC563" s="308"/>
    </row>
    <row r="564" hidden="1">
      <c r="A564" s="387">
        <v>45708.0</v>
      </c>
      <c r="B564" s="332" t="s">
        <v>1242</v>
      </c>
      <c r="C564" s="308"/>
      <c r="D564" s="332" t="s">
        <v>3016</v>
      </c>
      <c r="E564" s="332">
        <v>50.0</v>
      </c>
      <c r="F564" s="319"/>
      <c r="G564" s="319"/>
      <c r="H564" s="319"/>
      <c r="I564" s="308"/>
      <c r="J564" s="308"/>
      <c r="K564" s="308"/>
      <c r="L564" s="308"/>
      <c r="M564" s="308"/>
      <c r="N564" s="332">
        <v>50.0</v>
      </c>
      <c r="O564" s="308"/>
      <c r="P564" s="308"/>
      <c r="Q564" s="308"/>
      <c r="R564" s="308"/>
      <c r="S564" s="308"/>
      <c r="T564" s="308"/>
      <c r="U564" s="308"/>
      <c r="V564" s="308"/>
      <c r="W564" s="308"/>
      <c r="X564" s="308"/>
      <c r="Y564" s="308"/>
      <c r="Z564" s="309"/>
      <c r="AA564" s="309"/>
      <c r="AB564" s="308"/>
      <c r="AC564" s="308"/>
    </row>
    <row r="565" hidden="1">
      <c r="A565" s="387">
        <v>45713.0</v>
      </c>
      <c r="B565" s="332" t="s">
        <v>150</v>
      </c>
      <c r="C565" s="308"/>
      <c r="D565" s="332" t="s">
        <v>3016</v>
      </c>
      <c r="E565" s="332">
        <v>219.0</v>
      </c>
      <c r="F565" s="319"/>
      <c r="G565" s="319"/>
      <c r="H565" s="319"/>
      <c r="I565" s="308"/>
      <c r="J565" s="308"/>
      <c r="K565" s="308"/>
      <c r="L565" s="308"/>
      <c r="M565" s="308"/>
      <c r="N565" s="332">
        <v>219.0</v>
      </c>
      <c r="O565" s="308"/>
      <c r="P565" s="308"/>
      <c r="Q565" s="308"/>
      <c r="R565" s="308"/>
      <c r="S565" s="308"/>
      <c r="T565" s="308"/>
      <c r="U565" s="308"/>
      <c r="V565" s="308"/>
      <c r="W565" s="308"/>
      <c r="X565" s="308"/>
      <c r="Y565" s="308"/>
      <c r="Z565" s="309"/>
      <c r="AA565" s="309"/>
      <c r="AB565" s="308"/>
      <c r="AC565" s="308"/>
    </row>
    <row r="566" hidden="1">
      <c r="A566" s="387">
        <v>45713.0</v>
      </c>
      <c r="B566" s="332" t="s">
        <v>600</v>
      </c>
      <c r="C566" s="308"/>
      <c r="D566" s="332" t="s">
        <v>3016</v>
      </c>
      <c r="E566" s="332">
        <v>50.0</v>
      </c>
      <c r="F566" s="319"/>
      <c r="G566" s="319"/>
      <c r="H566" s="319"/>
      <c r="I566" s="308"/>
      <c r="J566" s="308"/>
      <c r="K566" s="308"/>
      <c r="L566" s="308"/>
      <c r="M566" s="308"/>
      <c r="N566" s="332">
        <v>50.0</v>
      </c>
      <c r="O566" s="308"/>
      <c r="P566" s="308"/>
      <c r="Q566" s="308"/>
      <c r="R566" s="308"/>
      <c r="S566" s="308"/>
      <c r="T566" s="308"/>
      <c r="U566" s="308"/>
      <c r="V566" s="308"/>
      <c r="W566" s="308"/>
      <c r="X566" s="308"/>
      <c r="Y566" s="308"/>
      <c r="Z566" s="309"/>
      <c r="AA566" s="309"/>
      <c r="AB566" s="308"/>
      <c r="AC566" s="308"/>
    </row>
    <row r="567" hidden="1">
      <c r="A567" s="387">
        <v>45713.0</v>
      </c>
      <c r="B567" s="332" t="s">
        <v>188</v>
      </c>
      <c r="C567" s="308"/>
      <c r="D567" s="332" t="s">
        <v>3016</v>
      </c>
      <c r="E567" s="332">
        <v>899.0</v>
      </c>
      <c r="F567" s="319"/>
      <c r="G567" s="319"/>
      <c r="H567" s="319"/>
      <c r="I567" s="308"/>
      <c r="J567" s="308"/>
      <c r="K567" s="308"/>
      <c r="L567" s="308"/>
      <c r="M567" s="308"/>
      <c r="N567" s="332">
        <v>899.0</v>
      </c>
      <c r="O567" s="308"/>
      <c r="P567" s="308"/>
      <c r="Q567" s="308"/>
      <c r="R567" s="308"/>
      <c r="S567" s="308"/>
      <c r="T567" s="308"/>
      <c r="U567" s="308"/>
      <c r="V567" s="308"/>
      <c r="W567" s="308"/>
      <c r="X567" s="308"/>
      <c r="Y567" s="308"/>
      <c r="Z567" s="309"/>
      <c r="AA567" s="309"/>
      <c r="AB567" s="308"/>
      <c r="AC567" s="308"/>
    </row>
    <row r="568" hidden="1">
      <c r="A568" s="387">
        <v>45713.0</v>
      </c>
      <c r="B568" s="332" t="s">
        <v>1931</v>
      </c>
      <c r="C568" s="308"/>
      <c r="D568" s="332" t="s">
        <v>3016</v>
      </c>
      <c r="E568" s="332">
        <v>209.0</v>
      </c>
      <c r="F568" s="319"/>
      <c r="G568" s="319"/>
      <c r="H568" s="319"/>
      <c r="I568" s="308"/>
      <c r="J568" s="308"/>
      <c r="K568" s="308"/>
      <c r="L568" s="308"/>
      <c r="M568" s="308"/>
      <c r="N568" s="332">
        <v>209.0</v>
      </c>
      <c r="O568" s="308"/>
      <c r="P568" s="308"/>
      <c r="Q568" s="308"/>
      <c r="R568" s="308"/>
      <c r="S568" s="308"/>
      <c r="T568" s="308"/>
      <c r="U568" s="308"/>
      <c r="V568" s="308"/>
      <c r="W568" s="308"/>
      <c r="X568" s="308"/>
      <c r="Y568" s="308"/>
      <c r="Z568" s="309"/>
      <c r="AA568" s="309"/>
      <c r="AB568" s="308"/>
      <c r="AC568" s="308"/>
    </row>
    <row r="569" hidden="1">
      <c r="A569" s="387">
        <v>45715.0</v>
      </c>
      <c r="B569" s="332" t="s">
        <v>650</v>
      </c>
      <c r="C569" s="308"/>
      <c r="D569" s="332" t="s">
        <v>3012</v>
      </c>
      <c r="E569" s="332">
        <v>15000.0</v>
      </c>
      <c r="F569" s="319"/>
      <c r="G569" s="319"/>
      <c r="H569" s="319"/>
      <c r="I569" s="308"/>
      <c r="J569" s="308"/>
      <c r="K569" s="308"/>
      <c r="L569" s="308"/>
      <c r="M569" s="308"/>
      <c r="N569" s="308"/>
      <c r="O569" s="308"/>
      <c r="P569" s="308"/>
      <c r="Q569" s="308"/>
      <c r="R569" s="308"/>
      <c r="S569" s="332">
        <v>15000.0</v>
      </c>
      <c r="T569" s="308"/>
      <c r="U569" s="308"/>
      <c r="V569" s="308"/>
      <c r="W569" s="308"/>
      <c r="X569" s="308"/>
      <c r="Y569" s="308"/>
      <c r="Z569" s="309"/>
      <c r="AA569" s="309"/>
      <c r="AB569" s="308"/>
      <c r="AC569" s="308"/>
    </row>
    <row r="570" hidden="1">
      <c r="A570" s="387">
        <v>45715.0</v>
      </c>
      <c r="B570" s="332" t="s">
        <v>697</v>
      </c>
      <c r="C570" s="308"/>
      <c r="D570" s="332" t="s">
        <v>2907</v>
      </c>
      <c r="E570" s="332">
        <v>295.0</v>
      </c>
      <c r="F570" s="319"/>
      <c r="G570" s="319"/>
      <c r="H570" s="319"/>
      <c r="I570" s="308"/>
      <c r="J570" s="308"/>
      <c r="K570" s="308"/>
      <c r="L570" s="308"/>
      <c r="M570" s="308"/>
      <c r="N570" s="332">
        <v>295.0</v>
      </c>
      <c r="O570" s="308"/>
      <c r="P570" s="308"/>
      <c r="Q570" s="308"/>
      <c r="R570" s="308"/>
      <c r="S570" s="308"/>
      <c r="T570" s="308"/>
      <c r="U570" s="308"/>
      <c r="V570" s="308"/>
      <c r="W570" s="308"/>
      <c r="X570" s="308"/>
      <c r="Y570" s="308"/>
      <c r="Z570" s="309"/>
      <c r="AA570" s="309"/>
      <c r="AB570" s="308"/>
      <c r="AC570" s="308"/>
    </row>
    <row r="571" hidden="1">
      <c r="A571" s="387">
        <v>45715.0</v>
      </c>
      <c r="B571" s="332" t="s">
        <v>516</v>
      </c>
      <c r="C571" s="308"/>
      <c r="D571" s="332" t="s">
        <v>3016</v>
      </c>
      <c r="E571" s="332">
        <v>135.0</v>
      </c>
      <c r="F571" s="319"/>
      <c r="G571" s="319"/>
      <c r="H571" s="319"/>
      <c r="I571" s="308"/>
      <c r="J571" s="308"/>
      <c r="K571" s="308"/>
      <c r="L571" s="308"/>
      <c r="M571" s="308"/>
      <c r="N571" s="332">
        <v>135.0</v>
      </c>
      <c r="O571" s="308"/>
      <c r="P571" s="308"/>
      <c r="Q571" s="308"/>
      <c r="R571" s="308"/>
      <c r="S571" s="308"/>
      <c r="T571" s="308"/>
      <c r="U571" s="308"/>
      <c r="V571" s="308"/>
      <c r="W571" s="308"/>
      <c r="X571" s="308"/>
      <c r="Y571" s="308"/>
      <c r="Z571" s="309"/>
      <c r="AA571" s="309"/>
      <c r="AB571" s="308"/>
      <c r="AC571" s="308"/>
    </row>
    <row r="572" hidden="1">
      <c r="A572" s="387">
        <v>45715.0</v>
      </c>
      <c r="B572" s="332" t="s">
        <v>123</v>
      </c>
      <c r="C572" s="308"/>
      <c r="D572" s="332" t="s">
        <v>3016</v>
      </c>
      <c r="E572" s="332">
        <v>395.0</v>
      </c>
      <c r="F572" s="319"/>
      <c r="G572" s="319"/>
      <c r="H572" s="319"/>
      <c r="I572" s="308"/>
      <c r="J572" s="308"/>
      <c r="K572" s="308"/>
      <c r="L572" s="308"/>
      <c r="M572" s="308"/>
      <c r="N572" s="332">
        <v>395.0</v>
      </c>
      <c r="O572" s="308"/>
      <c r="P572" s="308"/>
      <c r="Q572" s="308"/>
      <c r="R572" s="308"/>
      <c r="S572" s="308"/>
      <c r="T572" s="308"/>
      <c r="U572" s="308"/>
      <c r="V572" s="308"/>
      <c r="W572" s="308"/>
      <c r="X572" s="308"/>
      <c r="Y572" s="308"/>
      <c r="Z572" s="309"/>
      <c r="AA572" s="309"/>
      <c r="AB572" s="308"/>
      <c r="AC572" s="308"/>
    </row>
    <row r="573" hidden="1">
      <c r="A573" s="387">
        <v>45715.0</v>
      </c>
      <c r="B573" s="332" t="s">
        <v>1284</v>
      </c>
      <c r="C573" s="308"/>
      <c r="D573" s="332" t="s">
        <v>2907</v>
      </c>
      <c r="E573" s="332">
        <v>286.0</v>
      </c>
      <c r="F573" s="319"/>
      <c r="G573" s="319"/>
      <c r="H573" s="319"/>
      <c r="I573" s="308"/>
      <c r="J573" s="308"/>
      <c r="K573" s="308"/>
      <c r="L573" s="308"/>
      <c r="M573" s="308"/>
      <c r="N573" s="332">
        <v>286.0</v>
      </c>
      <c r="O573" s="308"/>
      <c r="P573" s="308"/>
      <c r="Q573" s="308"/>
      <c r="R573" s="308"/>
      <c r="S573" s="308"/>
      <c r="T573" s="308"/>
      <c r="U573" s="308"/>
      <c r="V573" s="308"/>
      <c r="W573" s="308"/>
      <c r="X573" s="308"/>
      <c r="Y573" s="308"/>
      <c r="Z573" s="309"/>
      <c r="AA573" s="309"/>
      <c r="AB573" s="308"/>
      <c r="AC573" s="308"/>
    </row>
    <row r="574" hidden="1">
      <c r="A574" s="387">
        <v>45715.0</v>
      </c>
      <c r="B574" s="332" t="s">
        <v>311</v>
      </c>
      <c r="C574" s="308"/>
      <c r="D574" s="332" t="s">
        <v>3016</v>
      </c>
      <c r="E574" s="332">
        <v>219.0</v>
      </c>
      <c r="F574" s="319"/>
      <c r="G574" s="319"/>
      <c r="H574" s="319"/>
      <c r="I574" s="308"/>
      <c r="J574" s="308"/>
      <c r="K574" s="308"/>
      <c r="L574" s="308"/>
      <c r="M574" s="308"/>
      <c r="N574" s="332">
        <v>219.0</v>
      </c>
      <c r="O574" s="308"/>
      <c r="P574" s="308"/>
      <c r="Q574" s="308"/>
      <c r="R574" s="308"/>
      <c r="S574" s="308"/>
      <c r="T574" s="308"/>
      <c r="U574" s="308"/>
      <c r="V574" s="308"/>
      <c r="W574" s="308"/>
      <c r="X574" s="308"/>
      <c r="Y574" s="308"/>
      <c r="Z574" s="309"/>
      <c r="AA574" s="309"/>
      <c r="AB574" s="308"/>
      <c r="AC574" s="308"/>
    </row>
    <row r="575" hidden="1">
      <c r="A575" s="387">
        <v>45715.0</v>
      </c>
      <c r="B575" s="332" t="s">
        <v>385</v>
      </c>
      <c r="C575" s="308"/>
      <c r="D575" s="332" t="s">
        <v>3016</v>
      </c>
      <c r="E575" s="332">
        <v>1000.0</v>
      </c>
      <c r="F575" s="319"/>
      <c r="G575" s="319"/>
      <c r="H575" s="319"/>
      <c r="I575" s="308"/>
      <c r="J575" s="308"/>
      <c r="K575" s="308"/>
      <c r="L575" s="308"/>
      <c r="M575" s="308"/>
      <c r="N575" s="332">
        <v>1000.0</v>
      </c>
      <c r="O575" s="308"/>
      <c r="P575" s="308"/>
      <c r="Q575" s="308"/>
      <c r="R575" s="308"/>
      <c r="S575" s="308"/>
      <c r="T575" s="308"/>
      <c r="U575" s="308"/>
      <c r="V575" s="308"/>
      <c r="W575" s="308"/>
      <c r="X575" s="308"/>
      <c r="Y575" s="308"/>
      <c r="Z575" s="309"/>
      <c r="AA575" s="309"/>
      <c r="AB575" s="308"/>
      <c r="AC575" s="308"/>
    </row>
    <row r="576" hidden="1">
      <c r="A576" s="387">
        <v>45716.0</v>
      </c>
      <c r="B576" s="332" t="s">
        <v>436</v>
      </c>
      <c r="C576" s="308"/>
      <c r="D576" s="332" t="s">
        <v>3016</v>
      </c>
      <c r="E576" s="332">
        <v>209.0</v>
      </c>
      <c r="F576" s="319"/>
      <c r="G576" s="319"/>
      <c r="H576" s="319"/>
      <c r="I576" s="308"/>
      <c r="J576" s="308"/>
      <c r="K576" s="308"/>
      <c r="L576" s="308"/>
      <c r="M576" s="308"/>
      <c r="N576" s="332">
        <v>209.0</v>
      </c>
      <c r="O576" s="308"/>
      <c r="P576" s="308"/>
      <c r="Q576" s="308"/>
      <c r="R576" s="308"/>
      <c r="S576" s="308"/>
      <c r="T576" s="308"/>
      <c r="U576" s="308"/>
      <c r="V576" s="308"/>
      <c r="W576" s="308"/>
      <c r="X576" s="308"/>
      <c r="Y576" s="308"/>
      <c r="Z576" s="309"/>
      <c r="AA576" s="309"/>
      <c r="AB576" s="308"/>
      <c r="AC576" s="308"/>
    </row>
    <row r="577" hidden="1">
      <c r="A577" s="387">
        <v>45716.0</v>
      </c>
      <c r="B577" s="332" t="s">
        <v>130</v>
      </c>
      <c r="C577" s="308"/>
      <c r="D577" s="332" t="s">
        <v>3016</v>
      </c>
      <c r="E577" s="332">
        <v>219.0</v>
      </c>
      <c r="F577" s="319"/>
      <c r="G577" s="319"/>
      <c r="H577" s="319"/>
      <c r="I577" s="308"/>
      <c r="J577" s="308"/>
      <c r="K577" s="308"/>
      <c r="L577" s="308"/>
      <c r="M577" s="308"/>
      <c r="N577" s="332">
        <v>219.0</v>
      </c>
      <c r="O577" s="308"/>
      <c r="P577" s="308"/>
      <c r="Q577" s="308"/>
      <c r="R577" s="308"/>
      <c r="S577" s="308"/>
      <c r="T577" s="308"/>
      <c r="U577" s="308"/>
      <c r="V577" s="308"/>
      <c r="W577" s="308"/>
      <c r="X577" s="308"/>
      <c r="Y577" s="308"/>
      <c r="Z577" s="309"/>
      <c r="AA577" s="309"/>
      <c r="AB577" s="308"/>
      <c r="AC577" s="308"/>
    </row>
    <row r="578" hidden="1">
      <c r="A578" s="387">
        <v>45716.0</v>
      </c>
      <c r="B578" s="332" t="s">
        <v>193</v>
      </c>
      <c r="C578" s="308"/>
      <c r="D578" s="332" t="s">
        <v>3012</v>
      </c>
      <c r="E578" s="332">
        <v>15000.0</v>
      </c>
      <c r="F578" s="319"/>
      <c r="G578" s="319"/>
      <c r="H578" s="319"/>
      <c r="I578" s="308"/>
      <c r="J578" s="308"/>
      <c r="K578" s="308"/>
      <c r="L578" s="308"/>
      <c r="M578" s="308"/>
      <c r="N578" s="308"/>
      <c r="O578" s="308"/>
      <c r="P578" s="308"/>
      <c r="Q578" s="308"/>
      <c r="R578" s="308"/>
      <c r="S578" s="332">
        <v>15000.0</v>
      </c>
      <c r="T578" s="308"/>
      <c r="U578" s="308"/>
      <c r="V578" s="308"/>
      <c r="W578" s="308"/>
      <c r="X578" s="308"/>
      <c r="Y578" s="308"/>
      <c r="Z578" s="309"/>
      <c r="AA578" s="309"/>
      <c r="AB578" s="308"/>
      <c r="AC578" s="308"/>
    </row>
    <row r="579">
      <c r="A579" s="373">
        <v>45682.0</v>
      </c>
      <c r="B579" s="332" t="s">
        <v>2650</v>
      </c>
      <c r="C579" s="308"/>
      <c r="D579" s="343" t="s">
        <v>3017</v>
      </c>
      <c r="E579" s="308"/>
      <c r="F579" s="391">
        <v>45708.0</v>
      </c>
      <c r="G579" s="346">
        <v>400.0</v>
      </c>
      <c r="H579" s="346" t="s">
        <v>3018</v>
      </c>
      <c r="I579" s="308"/>
      <c r="J579" s="332">
        <v>400.0</v>
      </c>
      <c r="K579" s="308"/>
      <c r="L579" s="308"/>
      <c r="M579" s="308"/>
      <c r="N579" s="308"/>
      <c r="O579" s="308"/>
      <c r="P579" s="308"/>
      <c r="Q579" s="308"/>
      <c r="R579" s="308"/>
      <c r="S579" s="308"/>
      <c r="T579" s="308"/>
      <c r="U579" s="308"/>
      <c r="V579" s="308"/>
      <c r="W579" s="308"/>
      <c r="X579" s="332" t="s">
        <v>3019</v>
      </c>
      <c r="Y579" s="308"/>
      <c r="Z579" s="392">
        <v>2.0</v>
      </c>
      <c r="AA579" s="393">
        <v>45658.0</v>
      </c>
      <c r="AB579" s="308"/>
      <c r="AC579" s="308"/>
    </row>
    <row r="580">
      <c r="A580" s="373">
        <v>45708.0</v>
      </c>
      <c r="B580" s="332" t="s">
        <v>3020</v>
      </c>
      <c r="C580" s="308"/>
      <c r="D580" s="343" t="s">
        <v>3017</v>
      </c>
      <c r="E580" s="308"/>
      <c r="F580" s="391">
        <v>45716.0</v>
      </c>
      <c r="G580" s="346">
        <v>1400.0</v>
      </c>
      <c r="H580" s="319"/>
      <c r="I580" s="308"/>
      <c r="J580" s="308"/>
      <c r="K580" s="308"/>
      <c r="L580" s="308"/>
      <c r="M580" s="308"/>
      <c r="N580" s="308"/>
      <c r="O580" s="308"/>
      <c r="P580" s="308"/>
      <c r="Q580" s="308"/>
      <c r="R580" s="308"/>
      <c r="S580" s="308"/>
      <c r="T580" s="308"/>
      <c r="U580" s="308"/>
      <c r="V580" s="308"/>
      <c r="W580" s="308"/>
      <c r="X580" s="332" t="s">
        <v>3021</v>
      </c>
      <c r="Y580" s="308"/>
      <c r="Z580" s="392">
        <v>7.0</v>
      </c>
      <c r="AA580" s="392" t="s">
        <v>3022</v>
      </c>
      <c r="AB580" s="308"/>
      <c r="AC580" s="308"/>
    </row>
    <row r="581" hidden="1">
      <c r="A581" s="387">
        <v>45721.0</v>
      </c>
      <c r="B581" s="332" t="s">
        <v>323</v>
      </c>
      <c r="C581" s="308"/>
      <c r="D581" s="332" t="s">
        <v>3016</v>
      </c>
      <c r="E581" s="332">
        <v>249.0</v>
      </c>
      <c r="F581" s="319"/>
      <c r="G581" s="319"/>
      <c r="H581" s="319"/>
      <c r="I581" s="308"/>
      <c r="J581" s="308"/>
      <c r="K581" s="308"/>
      <c r="L581" s="308"/>
      <c r="M581" s="308"/>
      <c r="N581" s="308"/>
      <c r="O581" s="308"/>
      <c r="P581" s="308"/>
      <c r="Q581" s="308"/>
      <c r="R581" s="308"/>
      <c r="S581" s="308"/>
      <c r="T581" s="308"/>
      <c r="U581" s="308"/>
      <c r="V581" s="308"/>
      <c r="W581" s="308"/>
      <c r="X581" s="308"/>
      <c r="Y581" s="308"/>
      <c r="Z581" s="309"/>
      <c r="AA581" s="309"/>
      <c r="AB581" s="308"/>
      <c r="AC581" s="308"/>
    </row>
    <row r="582" hidden="1">
      <c r="A582" s="387">
        <v>45721.0</v>
      </c>
      <c r="B582" s="332" t="s">
        <v>64</v>
      </c>
      <c r="C582" s="308"/>
      <c r="D582" s="332" t="s">
        <v>3012</v>
      </c>
      <c r="E582" s="332">
        <v>15000.0</v>
      </c>
      <c r="F582" s="319"/>
      <c r="G582" s="319"/>
      <c r="H582" s="319"/>
      <c r="I582" s="308"/>
      <c r="J582" s="308"/>
      <c r="K582" s="308"/>
      <c r="L582" s="308"/>
      <c r="M582" s="308"/>
      <c r="N582" s="308"/>
      <c r="O582" s="308"/>
      <c r="P582" s="308"/>
      <c r="Q582" s="308"/>
      <c r="R582" s="308"/>
      <c r="S582" s="332">
        <v>15000.0</v>
      </c>
      <c r="T582" s="308"/>
      <c r="U582" s="308"/>
      <c r="V582" s="308"/>
      <c r="W582" s="308"/>
      <c r="X582" s="308"/>
      <c r="Y582" s="308"/>
      <c r="Z582" s="309"/>
      <c r="AA582" s="309"/>
      <c r="AB582" s="308"/>
      <c r="AC582" s="308"/>
    </row>
    <row r="583" hidden="1">
      <c r="A583" s="387">
        <v>45721.0</v>
      </c>
      <c r="B583" s="332" t="s">
        <v>323</v>
      </c>
      <c r="C583" s="308"/>
      <c r="D583" s="332" t="s">
        <v>3012</v>
      </c>
      <c r="E583" s="332">
        <v>15000.0</v>
      </c>
      <c r="F583" s="319"/>
      <c r="G583" s="319"/>
      <c r="H583" s="319"/>
      <c r="I583" s="308"/>
      <c r="J583" s="308"/>
      <c r="K583" s="308"/>
      <c r="L583" s="308"/>
      <c r="M583" s="308"/>
      <c r="N583" s="308"/>
      <c r="O583" s="308"/>
      <c r="P583" s="308"/>
      <c r="Q583" s="308"/>
      <c r="R583" s="308"/>
      <c r="S583" s="332">
        <v>15000.0</v>
      </c>
      <c r="T583" s="308"/>
      <c r="U583" s="308"/>
      <c r="V583" s="308"/>
      <c r="W583" s="308"/>
      <c r="X583" s="308"/>
      <c r="Y583" s="308"/>
      <c r="Z583" s="309"/>
      <c r="AA583" s="309"/>
      <c r="AB583" s="308"/>
      <c r="AC583" s="308"/>
    </row>
    <row r="584" hidden="1">
      <c r="A584" s="387">
        <v>45721.0</v>
      </c>
      <c r="B584" s="332" t="s">
        <v>123</v>
      </c>
      <c r="C584" s="308"/>
      <c r="D584" s="332" t="s">
        <v>3016</v>
      </c>
      <c r="E584" s="332">
        <v>2145.0</v>
      </c>
      <c r="F584" s="319"/>
      <c r="G584" s="319"/>
      <c r="H584" s="319"/>
      <c r="I584" s="308"/>
      <c r="J584" s="308"/>
      <c r="K584" s="308"/>
      <c r="L584" s="308"/>
      <c r="M584" s="308"/>
      <c r="N584" s="332">
        <v>2145.0</v>
      </c>
      <c r="O584" s="308"/>
      <c r="P584" s="308"/>
      <c r="Q584" s="308"/>
      <c r="R584" s="308"/>
      <c r="S584" s="308"/>
      <c r="T584" s="308"/>
      <c r="U584" s="308"/>
      <c r="V584" s="308"/>
      <c r="W584" s="308"/>
      <c r="X584" s="308"/>
      <c r="Y584" s="308"/>
      <c r="Z584" s="309"/>
      <c r="AA584" s="309"/>
      <c r="AB584" s="308"/>
      <c r="AC584" s="308"/>
    </row>
    <row r="585" hidden="1">
      <c r="A585" s="387">
        <v>45721.0</v>
      </c>
      <c r="B585" s="332" t="s">
        <v>494</v>
      </c>
      <c r="C585" s="308"/>
      <c r="D585" s="332" t="s">
        <v>3016</v>
      </c>
      <c r="E585" s="332">
        <v>219.0</v>
      </c>
      <c r="F585" s="319"/>
      <c r="G585" s="319"/>
      <c r="H585" s="319"/>
      <c r="I585" s="308"/>
      <c r="J585" s="308"/>
      <c r="K585" s="308"/>
      <c r="L585" s="308"/>
      <c r="M585" s="308"/>
      <c r="N585" s="332">
        <v>219.0</v>
      </c>
      <c r="O585" s="308"/>
      <c r="P585" s="308"/>
      <c r="Q585" s="308"/>
      <c r="R585" s="308"/>
      <c r="S585" s="308"/>
      <c r="T585" s="308"/>
      <c r="U585" s="308"/>
      <c r="V585" s="308"/>
      <c r="W585" s="308"/>
      <c r="X585" s="308"/>
      <c r="Y585" s="308"/>
      <c r="Z585" s="309"/>
      <c r="AA585" s="309"/>
      <c r="AB585" s="308"/>
      <c r="AC585" s="308"/>
    </row>
    <row r="586" hidden="1">
      <c r="A586" s="387">
        <v>45721.0</v>
      </c>
      <c r="B586" s="332" t="s">
        <v>1990</v>
      </c>
      <c r="C586" s="308"/>
      <c r="D586" s="332" t="s">
        <v>3016</v>
      </c>
      <c r="E586" s="332">
        <v>219.0</v>
      </c>
      <c r="F586" s="319"/>
      <c r="G586" s="319"/>
      <c r="H586" s="319"/>
      <c r="I586" s="308"/>
      <c r="J586" s="308"/>
      <c r="K586" s="308"/>
      <c r="L586" s="308"/>
      <c r="M586" s="308"/>
      <c r="N586" s="332">
        <v>219.0</v>
      </c>
      <c r="O586" s="308"/>
      <c r="P586" s="308"/>
      <c r="Q586" s="308"/>
      <c r="R586" s="308"/>
      <c r="S586" s="308"/>
      <c r="T586" s="308"/>
      <c r="U586" s="308"/>
      <c r="V586" s="308"/>
      <c r="W586" s="308"/>
      <c r="X586" s="308"/>
      <c r="Y586" s="308"/>
      <c r="Z586" s="309"/>
      <c r="AA586" s="309"/>
      <c r="AB586" s="308"/>
      <c r="AC586" s="308"/>
    </row>
    <row r="587" hidden="1">
      <c r="A587" s="387">
        <v>45721.0</v>
      </c>
      <c r="B587" s="332" t="s">
        <v>1994</v>
      </c>
      <c r="C587" s="308"/>
      <c r="D587" s="332" t="s">
        <v>3016</v>
      </c>
      <c r="E587" s="332">
        <v>219.0</v>
      </c>
      <c r="F587" s="319"/>
      <c r="G587" s="319"/>
      <c r="H587" s="319"/>
      <c r="I587" s="308"/>
      <c r="J587" s="308"/>
      <c r="K587" s="308"/>
      <c r="L587" s="308"/>
      <c r="M587" s="308"/>
      <c r="N587" s="332">
        <v>219.0</v>
      </c>
      <c r="O587" s="308"/>
      <c r="P587" s="308"/>
      <c r="Q587" s="308"/>
      <c r="R587" s="308"/>
      <c r="S587" s="308"/>
      <c r="T587" s="308"/>
      <c r="U587" s="308"/>
      <c r="V587" s="308"/>
      <c r="W587" s="308"/>
      <c r="X587" s="308"/>
      <c r="Y587" s="308"/>
      <c r="Z587" s="309"/>
      <c r="AA587" s="309"/>
      <c r="AB587" s="308"/>
      <c r="AC587" s="308"/>
    </row>
    <row r="588" hidden="1">
      <c r="A588" s="387">
        <v>45721.0</v>
      </c>
      <c r="B588" s="332" t="s">
        <v>1994</v>
      </c>
      <c r="C588" s="308"/>
      <c r="D588" s="332" t="s">
        <v>3016</v>
      </c>
      <c r="E588" s="332">
        <v>3500.0</v>
      </c>
      <c r="F588" s="319"/>
      <c r="G588" s="319"/>
      <c r="H588" s="319"/>
      <c r="I588" s="308"/>
      <c r="J588" s="308"/>
      <c r="K588" s="308"/>
      <c r="L588" s="308"/>
      <c r="M588" s="308"/>
      <c r="N588" s="332">
        <v>3500.0</v>
      </c>
      <c r="O588" s="308"/>
      <c r="P588" s="308"/>
      <c r="Q588" s="308"/>
      <c r="R588" s="308"/>
      <c r="S588" s="308"/>
      <c r="T588" s="308"/>
      <c r="U588" s="308"/>
      <c r="V588" s="308"/>
      <c r="W588" s="308"/>
      <c r="X588" s="308"/>
      <c r="Y588" s="308"/>
      <c r="Z588" s="309"/>
      <c r="AA588" s="309"/>
      <c r="AB588" s="308"/>
      <c r="AC588" s="308"/>
    </row>
    <row r="589">
      <c r="A589" s="387">
        <v>45715.0</v>
      </c>
      <c r="B589" s="332" t="s">
        <v>715</v>
      </c>
      <c r="C589" s="308"/>
      <c r="D589" s="343" t="s">
        <v>3017</v>
      </c>
      <c r="E589" s="332"/>
      <c r="F589" s="391">
        <v>45720.0</v>
      </c>
      <c r="G589" s="346">
        <v>300.0</v>
      </c>
      <c r="H589" s="346" t="s">
        <v>3023</v>
      </c>
      <c r="I589" s="308"/>
      <c r="J589" s="308"/>
      <c r="K589" s="308"/>
      <c r="L589" s="308"/>
      <c r="M589" s="308"/>
      <c r="N589" s="308"/>
      <c r="O589" s="308"/>
      <c r="P589" s="308"/>
      <c r="Q589" s="308"/>
      <c r="R589" s="308"/>
      <c r="S589" s="308"/>
      <c r="T589" s="308"/>
      <c r="U589" s="308"/>
      <c r="V589" s="308"/>
      <c r="W589" s="308"/>
      <c r="X589" s="332" t="s">
        <v>3024</v>
      </c>
      <c r="Y589" s="308"/>
      <c r="Z589" s="392">
        <v>2.0</v>
      </c>
      <c r="AA589" s="393">
        <v>45689.0</v>
      </c>
      <c r="AB589" s="308"/>
      <c r="AC589" s="308"/>
    </row>
    <row r="590" hidden="1">
      <c r="A590" s="387">
        <v>45721.0</v>
      </c>
      <c r="B590" s="332" t="s">
        <v>237</v>
      </c>
      <c r="C590" s="308"/>
      <c r="D590" s="332" t="s">
        <v>3016</v>
      </c>
      <c r="E590" s="332">
        <v>219.0</v>
      </c>
      <c r="F590" s="319"/>
      <c r="G590" s="319"/>
      <c r="H590" s="319"/>
      <c r="I590" s="308"/>
      <c r="J590" s="308"/>
      <c r="K590" s="308"/>
      <c r="L590" s="308"/>
      <c r="M590" s="308"/>
      <c r="N590" s="332">
        <v>219.0</v>
      </c>
      <c r="O590" s="308"/>
      <c r="P590" s="308"/>
      <c r="Q590" s="308"/>
      <c r="R590" s="308"/>
      <c r="S590" s="308"/>
      <c r="T590" s="308"/>
      <c r="U590" s="308"/>
      <c r="V590" s="308"/>
      <c r="W590" s="308"/>
      <c r="X590" s="308"/>
      <c r="Y590" s="308"/>
      <c r="Z590" s="309"/>
      <c r="AA590" s="309"/>
      <c r="AB590" s="308"/>
      <c r="AC590" s="308"/>
    </row>
    <row r="591" hidden="1">
      <c r="A591" s="387">
        <v>45721.0</v>
      </c>
      <c r="B591" s="332" t="s">
        <v>123</v>
      </c>
      <c r="C591" s="308"/>
      <c r="D591" s="332" t="s">
        <v>3016</v>
      </c>
      <c r="E591" s="332">
        <v>14000.0</v>
      </c>
      <c r="F591" s="319"/>
      <c r="G591" s="319"/>
      <c r="H591" s="319"/>
      <c r="I591" s="308"/>
      <c r="J591" s="308"/>
      <c r="K591" s="308"/>
      <c r="L591" s="308"/>
      <c r="M591" s="308"/>
      <c r="N591" s="332">
        <v>14000.0</v>
      </c>
      <c r="O591" s="308"/>
      <c r="P591" s="308"/>
      <c r="Q591" s="308"/>
      <c r="R591" s="308"/>
      <c r="S591" s="308"/>
      <c r="T591" s="308"/>
      <c r="U591" s="308"/>
      <c r="V591" s="308"/>
      <c r="W591" s="308"/>
      <c r="X591" s="308"/>
      <c r="Y591" s="308"/>
      <c r="Z591" s="309"/>
      <c r="AA591" s="309"/>
      <c r="AB591" s="308"/>
      <c r="AC591" s="308"/>
    </row>
    <row r="592" hidden="1">
      <c r="A592" s="387">
        <v>45721.0</v>
      </c>
      <c r="B592" s="332" t="s">
        <v>104</v>
      </c>
      <c r="C592" s="308"/>
      <c r="D592" s="332" t="s">
        <v>3016</v>
      </c>
      <c r="E592" s="332">
        <v>150.0</v>
      </c>
      <c r="F592" s="319"/>
      <c r="G592" s="319"/>
      <c r="H592" s="319"/>
      <c r="I592" s="308"/>
      <c r="J592" s="308"/>
      <c r="K592" s="308"/>
      <c r="L592" s="308"/>
      <c r="M592" s="308"/>
      <c r="N592" s="332">
        <v>150.0</v>
      </c>
      <c r="O592" s="308"/>
      <c r="P592" s="308"/>
      <c r="Q592" s="308"/>
      <c r="R592" s="308"/>
      <c r="S592" s="308"/>
      <c r="T592" s="308"/>
      <c r="U592" s="308"/>
      <c r="V592" s="308"/>
      <c r="W592" s="308"/>
      <c r="X592" s="308"/>
      <c r="Y592" s="308"/>
      <c r="Z592" s="309"/>
      <c r="AA592" s="309"/>
      <c r="AB592" s="308"/>
      <c r="AC592" s="308"/>
    </row>
    <row r="593" hidden="1">
      <c r="A593" s="387">
        <v>45721.0</v>
      </c>
      <c r="B593" s="332" t="s">
        <v>219</v>
      </c>
      <c r="C593" s="308"/>
      <c r="D593" s="332" t="s">
        <v>3016</v>
      </c>
      <c r="E593" s="332">
        <v>10000.0</v>
      </c>
      <c r="F593" s="319"/>
      <c r="G593" s="319"/>
      <c r="H593" s="319"/>
      <c r="I593" s="308"/>
      <c r="J593" s="308"/>
      <c r="K593" s="308"/>
      <c r="L593" s="308"/>
      <c r="M593" s="308"/>
      <c r="N593" s="332">
        <v>10000.0</v>
      </c>
      <c r="O593" s="308"/>
      <c r="P593" s="308"/>
      <c r="Q593" s="308"/>
      <c r="R593" s="308"/>
      <c r="S593" s="308"/>
      <c r="T593" s="308"/>
      <c r="U593" s="308"/>
      <c r="V593" s="308"/>
      <c r="W593" s="308"/>
      <c r="X593" s="308"/>
      <c r="Y593" s="308"/>
      <c r="Z593" s="309"/>
      <c r="AA593" s="309"/>
      <c r="AB593" s="308"/>
      <c r="AC593" s="308"/>
    </row>
    <row r="594" hidden="1">
      <c r="A594" s="387">
        <v>45721.0</v>
      </c>
      <c r="B594" s="332" t="s">
        <v>1539</v>
      </c>
      <c r="C594" s="308"/>
      <c r="D594" s="332" t="s">
        <v>3016</v>
      </c>
      <c r="E594" s="332">
        <v>2500.0</v>
      </c>
      <c r="F594" s="319"/>
      <c r="G594" s="319"/>
      <c r="H594" s="319"/>
      <c r="I594" s="308"/>
      <c r="J594" s="308"/>
      <c r="K594" s="308"/>
      <c r="L594" s="308"/>
      <c r="M594" s="308"/>
      <c r="N594" s="332">
        <v>2500.0</v>
      </c>
      <c r="O594" s="308"/>
      <c r="P594" s="308"/>
      <c r="Q594" s="308"/>
      <c r="R594" s="308"/>
      <c r="S594" s="308"/>
      <c r="T594" s="308"/>
      <c r="U594" s="308"/>
      <c r="V594" s="308"/>
      <c r="W594" s="308"/>
      <c r="X594" s="308"/>
      <c r="Y594" s="308"/>
      <c r="Z594" s="309"/>
      <c r="AA594" s="309"/>
      <c r="AB594" s="308"/>
      <c r="AC594" s="308"/>
    </row>
    <row r="595" hidden="1">
      <c r="A595" s="387">
        <v>45723.0</v>
      </c>
      <c r="B595" s="332" t="s">
        <v>487</v>
      </c>
      <c r="C595" s="308"/>
      <c r="D595" s="332" t="s">
        <v>3016</v>
      </c>
      <c r="E595" s="332">
        <v>390.0</v>
      </c>
      <c r="F595" s="319"/>
      <c r="G595" s="319"/>
      <c r="H595" s="319"/>
      <c r="I595" s="308"/>
      <c r="J595" s="308"/>
      <c r="K595" s="308"/>
      <c r="L595" s="308"/>
      <c r="M595" s="308"/>
      <c r="N595" s="332">
        <v>390.0</v>
      </c>
      <c r="O595" s="308"/>
      <c r="P595" s="308"/>
      <c r="Q595" s="308"/>
      <c r="R595" s="308"/>
      <c r="S595" s="308"/>
      <c r="T595" s="308"/>
      <c r="U595" s="308"/>
      <c r="V595" s="308"/>
      <c r="W595" s="308"/>
      <c r="X595" s="308"/>
      <c r="Y595" s="308"/>
      <c r="Z595" s="309"/>
      <c r="AA595" s="309"/>
      <c r="AB595" s="308"/>
      <c r="AC595" s="308"/>
    </row>
    <row r="596" hidden="1">
      <c r="A596" s="387">
        <v>45723.0</v>
      </c>
      <c r="B596" s="332" t="s">
        <v>123</v>
      </c>
      <c r="C596" s="308"/>
      <c r="D596" s="332" t="s">
        <v>3016</v>
      </c>
      <c r="E596" s="332">
        <v>2000.0</v>
      </c>
      <c r="F596" s="319"/>
      <c r="G596" s="319"/>
      <c r="H596" s="319"/>
      <c r="I596" s="308"/>
      <c r="J596" s="308"/>
      <c r="K596" s="308"/>
      <c r="L596" s="308"/>
      <c r="M596" s="308"/>
      <c r="N596" s="332">
        <v>390.0</v>
      </c>
      <c r="O596" s="308"/>
      <c r="P596" s="308"/>
      <c r="Q596" s="308"/>
      <c r="R596" s="308"/>
      <c r="S596" s="308"/>
      <c r="T596" s="308"/>
      <c r="U596" s="308"/>
      <c r="V596" s="308"/>
      <c r="W596" s="308"/>
      <c r="X596" s="308"/>
      <c r="Y596" s="308"/>
      <c r="Z596" s="309"/>
      <c r="AA596" s="309"/>
      <c r="AB596" s="308"/>
      <c r="AC596" s="308"/>
    </row>
    <row r="597" hidden="1">
      <c r="A597" s="387">
        <v>45723.0</v>
      </c>
      <c r="B597" s="332" t="s">
        <v>760</v>
      </c>
      <c r="C597" s="308"/>
      <c r="D597" s="332" t="s">
        <v>3016</v>
      </c>
      <c r="E597" s="332">
        <v>1050.0</v>
      </c>
      <c r="F597" s="319"/>
      <c r="G597" s="319"/>
      <c r="H597" s="319"/>
      <c r="I597" s="308"/>
      <c r="J597" s="308"/>
      <c r="K597" s="308"/>
      <c r="L597" s="308"/>
      <c r="M597" s="308"/>
      <c r="N597" s="332">
        <v>1050.0</v>
      </c>
      <c r="O597" s="308"/>
      <c r="P597" s="308"/>
      <c r="Q597" s="308"/>
      <c r="R597" s="308"/>
      <c r="S597" s="308"/>
      <c r="T597" s="308"/>
      <c r="U597" s="308"/>
      <c r="V597" s="308"/>
      <c r="W597" s="308"/>
      <c r="X597" s="308"/>
      <c r="Y597" s="308"/>
      <c r="Z597" s="309"/>
      <c r="AA597" s="309"/>
      <c r="AB597" s="308"/>
      <c r="AC597" s="308"/>
    </row>
    <row r="598" hidden="1">
      <c r="A598" s="387">
        <v>45723.0</v>
      </c>
      <c r="B598" s="332" t="s">
        <v>333</v>
      </c>
      <c r="C598" s="308"/>
      <c r="D598" s="332" t="s">
        <v>2907</v>
      </c>
      <c r="E598" s="332">
        <v>450.0</v>
      </c>
      <c r="F598" s="319"/>
      <c r="G598" s="319"/>
      <c r="H598" s="319"/>
      <c r="I598" s="308"/>
      <c r="J598" s="308"/>
      <c r="K598" s="308"/>
      <c r="L598" s="308"/>
      <c r="M598" s="308"/>
      <c r="N598" s="332">
        <v>450.0</v>
      </c>
      <c r="O598" s="308"/>
      <c r="P598" s="308"/>
      <c r="Q598" s="308"/>
      <c r="R598" s="308"/>
      <c r="S598" s="308"/>
      <c r="T598" s="308"/>
      <c r="U598" s="308"/>
      <c r="V598" s="308"/>
      <c r="W598" s="308"/>
      <c r="X598" s="308"/>
      <c r="Y598" s="308"/>
      <c r="Z598" s="309"/>
      <c r="AA598" s="309"/>
      <c r="AB598" s="308"/>
      <c r="AC598" s="308"/>
    </row>
    <row r="599" hidden="1">
      <c r="A599" s="387">
        <v>45723.0</v>
      </c>
      <c r="B599" s="332" t="s">
        <v>117</v>
      </c>
      <c r="C599" s="308"/>
      <c r="D599" s="332" t="s">
        <v>3016</v>
      </c>
      <c r="E599" s="332">
        <v>286.0</v>
      </c>
      <c r="F599" s="319"/>
      <c r="G599" s="319"/>
      <c r="H599" s="319"/>
      <c r="I599" s="308"/>
      <c r="J599" s="308"/>
      <c r="K599" s="308"/>
      <c r="L599" s="308"/>
      <c r="M599" s="308"/>
      <c r="N599" s="332">
        <v>286.0</v>
      </c>
      <c r="O599" s="308"/>
      <c r="P599" s="308"/>
      <c r="Q599" s="308"/>
      <c r="R599" s="308"/>
      <c r="S599" s="308"/>
      <c r="T599" s="308"/>
      <c r="U599" s="308"/>
      <c r="V599" s="308"/>
      <c r="W599" s="308"/>
      <c r="X599" s="308"/>
      <c r="Y599" s="308"/>
      <c r="Z599" s="309"/>
      <c r="AA599" s="309"/>
      <c r="AB599" s="308"/>
      <c r="AC599" s="308"/>
    </row>
    <row r="600" hidden="1">
      <c r="A600" s="387">
        <v>45726.0</v>
      </c>
      <c r="B600" s="332" t="s">
        <v>715</v>
      </c>
      <c r="C600" s="308"/>
      <c r="D600" s="332" t="s">
        <v>3016</v>
      </c>
      <c r="E600" s="332">
        <v>99.0</v>
      </c>
      <c r="F600" s="319"/>
      <c r="G600" s="319"/>
      <c r="H600" s="319"/>
      <c r="I600" s="308"/>
      <c r="J600" s="308"/>
      <c r="K600" s="308"/>
      <c r="L600" s="308"/>
      <c r="M600" s="308"/>
      <c r="N600" s="332">
        <v>99.0</v>
      </c>
      <c r="O600" s="308"/>
      <c r="P600" s="308"/>
      <c r="Q600" s="308"/>
      <c r="R600" s="308"/>
      <c r="S600" s="308"/>
      <c r="T600" s="308"/>
      <c r="U600" s="308"/>
      <c r="V600" s="308"/>
      <c r="W600" s="308"/>
      <c r="X600" s="308"/>
      <c r="Y600" s="308"/>
      <c r="Z600" s="309"/>
      <c r="AA600" s="309"/>
      <c r="AB600" s="308"/>
      <c r="AC600" s="308"/>
    </row>
    <row r="601" hidden="1">
      <c r="A601" s="387">
        <v>45726.0</v>
      </c>
      <c r="B601" s="332" t="s">
        <v>1280</v>
      </c>
      <c r="C601" s="308"/>
      <c r="D601" s="332" t="s">
        <v>3016</v>
      </c>
      <c r="E601" s="332">
        <v>75.0</v>
      </c>
      <c r="F601" s="319"/>
      <c r="G601" s="319"/>
      <c r="H601" s="319"/>
      <c r="I601" s="308"/>
      <c r="J601" s="308"/>
      <c r="K601" s="308"/>
      <c r="L601" s="308"/>
      <c r="M601" s="308"/>
      <c r="N601" s="332">
        <v>75.0</v>
      </c>
      <c r="O601" s="308"/>
      <c r="P601" s="308"/>
      <c r="Q601" s="308"/>
      <c r="R601" s="308"/>
      <c r="S601" s="308"/>
      <c r="T601" s="308"/>
      <c r="U601" s="308"/>
      <c r="V601" s="308"/>
      <c r="W601" s="308"/>
      <c r="X601" s="308"/>
      <c r="Y601" s="308"/>
      <c r="Z601" s="309"/>
      <c r="AA601" s="309"/>
      <c r="AB601" s="308"/>
      <c r="AC601" s="308"/>
    </row>
    <row r="602" hidden="1">
      <c r="A602" s="387">
        <v>45726.0</v>
      </c>
      <c r="B602" s="332" t="s">
        <v>333</v>
      </c>
      <c r="C602" s="308"/>
      <c r="D602" s="332" t="s">
        <v>3016</v>
      </c>
      <c r="E602" s="332">
        <v>200.0</v>
      </c>
      <c r="F602" s="319"/>
      <c r="G602" s="319"/>
      <c r="H602" s="319"/>
      <c r="I602" s="308"/>
      <c r="J602" s="308"/>
      <c r="K602" s="308"/>
      <c r="L602" s="308"/>
      <c r="M602" s="308"/>
      <c r="N602" s="332">
        <v>200.0</v>
      </c>
      <c r="O602" s="308"/>
      <c r="P602" s="308"/>
      <c r="Q602" s="308"/>
      <c r="R602" s="308"/>
      <c r="S602" s="308"/>
      <c r="T602" s="308"/>
      <c r="U602" s="308"/>
      <c r="V602" s="308"/>
      <c r="W602" s="308"/>
      <c r="X602" s="308"/>
      <c r="Y602" s="308"/>
      <c r="Z602" s="309"/>
      <c r="AA602" s="309"/>
      <c r="AB602" s="308"/>
      <c r="AC602" s="308"/>
    </row>
    <row r="603" hidden="1">
      <c r="A603" s="387">
        <v>45726.0</v>
      </c>
      <c r="B603" s="332" t="s">
        <v>2045</v>
      </c>
      <c r="C603" s="308"/>
      <c r="D603" s="332" t="s">
        <v>3016</v>
      </c>
      <c r="E603" s="332">
        <v>776.0</v>
      </c>
      <c r="F603" s="319"/>
      <c r="G603" s="319"/>
      <c r="H603" s="319"/>
      <c r="I603" s="308"/>
      <c r="J603" s="308"/>
      <c r="K603" s="308"/>
      <c r="L603" s="308"/>
      <c r="M603" s="308"/>
      <c r="N603" s="332">
        <v>776.0</v>
      </c>
      <c r="O603" s="308"/>
      <c r="P603" s="308"/>
      <c r="Q603" s="308"/>
      <c r="R603" s="308"/>
      <c r="S603" s="308"/>
      <c r="T603" s="308"/>
      <c r="U603" s="308"/>
      <c r="V603" s="308"/>
      <c r="W603" s="308"/>
      <c r="X603" s="308"/>
      <c r="Y603" s="308"/>
      <c r="Z603" s="309"/>
      <c r="AA603" s="309"/>
      <c r="AB603" s="308"/>
      <c r="AC603" s="308"/>
    </row>
    <row r="604">
      <c r="A604" s="373">
        <v>45715.0</v>
      </c>
      <c r="B604" s="332" t="s">
        <v>2650</v>
      </c>
      <c r="C604" s="308"/>
      <c r="D604" s="343" t="s">
        <v>3017</v>
      </c>
      <c r="E604" s="308"/>
      <c r="F604" s="391">
        <v>45735.0</v>
      </c>
      <c r="G604" s="346">
        <v>400.0</v>
      </c>
      <c r="H604" s="346" t="s">
        <v>3025</v>
      </c>
      <c r="I604" s="308"/>
      <c r="J604" s="332">
        <v>400.0</v>
      </c>
      <c r="K604" s="308"/>
      <c r="L604" s="308"/>
      <c r="M604" s="308"/>
      <c r="N604" s="308"/>
      <c r="O604" s="308"/>
      <c r="P604" s="308"/>
      <c r="Q604" s="308"/>
      <c r="R604" s="308"/>
      <c r="S604" s="308"/>
      <c r="T604" s="308"/>
      <c r="U604" s="308"/>
      <c r="V604" s="308"/>
      <c r="W604" s="308"/>
      <c r="X604" s="332" t="s">
        <v>3019</v>
      </c>
      <c r="Y604" s="308"/>
      <c r="Z604" s="392">
        <v>2.0</v>
      </c>
      <c r="AA604" s="393">
        <v>45689.0</v>
      </c>
      <c r="AB604" s="308"/>
      <c r="AC604" s="308"/>
    </row>
    <row r="605">
      <c r="A605" s="373">
        <v>45736.0</v>
      </c>
      <c r="B605" s="332" t="s">
        <v>3020</v>
      </c>
      <c r="C605" s="308"/>
      <c r="D605" s="343" t="s">
        <v>3017</v>
      </c>
      <c r="E605" s="308"/>
      <c r="F605" s="391">
        <v>45742.0</v>
      </c>
      <c r="G605" s="346">
        <v>800.0</v>
      </c>
      <c r="H605" s="319"/>
      <c r="I605" s="308"/>
      <c r="J605" s="308"/>
      <c r="K605" s="308"/>
      <c r="L605" s="308"/>
      <c r="M605" s="308"/>
      <c r="N605" s="308"/>
      <c r="O605" s="308"/>
      <c r="P605" s="308"/>
      <c r="Q605" s="308"/>
      <c r="R605" s="308"/>
      <c r="S605" s="308"/>
      <c r="T605" s="308"/>
      <c r="U605" s="308"/>
      <c r="V605" s="308"/>
      <c r="W605" s="308"/>
      <c r="X605" s="332" t="s">
        <v>3021</v>
      </c>
      <c r="Y605" s="308"/>
      <c r="Z605" s="392">
        <v>4.0</v>
      </c>
      <c r="AA605" s="392" t="s">
        <v>3026</v>
      </c>
      <c r="AB605" s="308"/>
      <c r="AC605" s="308"/>
    </row>
    <row r="606">
      <c r="A606" s="373">
        <v>45748.0</v>
      </c>
      <c r="B606" s="332" t="s">
        <v>2650</v>
      </c>
      <c r="C606" s="308"/>
      <c r="D606" s="343" t="s">
        <v>3017</v>
      </c>
      <c r="E606" s="308"/>
      <c r="F606" s="391">
        <v>45750.0</v>
      </c>
      <c r="G606" s="346">
        <v>200.0</v>
      </c>
      <c r="H606" s="346"/>
      <c r="I606" s="308"/>
      <c r="J606" s="332">
        <v>200.0</v>
      </c>
      <c r="K606" s="308"/>
      <c r="L606" s="308"/>
      <c r="M606" s="308"/>
      <c r="N606" s="308"/>
      <c r="O606" s="308"/>
      <c r="P606" s="308"/>
      <c r="Q606" s="308"/>
      <c r="R606" s="308"/>
      <c r="S606" s="308"/>
      <c r="T606" s="308"/>
      <c r="U606" s="308"/>
      <c r="V606" s="308"/>
      <c r="W606" s="308"/>
      <c r="X606" s="332" t="s">
        <v>3019</v>
      </c>
      <c r="Y606" s="308"/>
      <c r="Z606" s="392">
        <v>1.0</v>
      </c>
      <c r="AA606" s="393">
        <v>45717.0</v>
      </c>
      <c r="AB606" s="308"/>
      <c r="AC606" s="308"/>
    </row>
    <row r="607">
      <c r="A607" s="373">
        <v>45767.0</v>
      </c>
      <c r="B607" s="332" t="s">
        <v>3020</v>
      </c>
      <c r="C607" s="308"/>
      <c r="D607" s="343" t="s">
        <v>3017</v>
      </c>
      <c r="E607" s="308"/>
      <c r="F607" s="391">
        <v>45769.0</v>
      </c>
      <c r="G607" s="346">
        <v>600.0</v>
      </c>
      <c r="H607" s="319"/>
      <c r="I607" s="308"/>
      <c r="J607" s="308"/>
      <c r="K607" s="308"/>
      <c r="L607" s="308"/>
      <c r="M607" s="308"/>
      <c r="N607" s="308"/>
      <c r="O607" s="308"/>
      <c r="P607" s="308"/>
      <c r="Q607" s="308"/>
      <c r="R607" s="308"/>
      <c r="S607" s="308"/>
      <c r="T607" s="308"/>
      <c r="U607" s="308"/>
      <c r="V607" s="308"/>
      <c r="W607" s="308"/>
      <c r="X607" s="332" t="s">
        <v>3021</v>
      </c>
      <c r="Y607" s="308"/>
      <c r="Z607" s="392">
        <v>3.0</v>
      </c>
      <c r="AA607" s="392" t="s">
        <v>3027</v>
      </c>
      <c r="AB607" s="308"/>
      <c r="AC607" s="308"/>
    </row>
    <row r="608">
      <c r="A608" s="373">
        <v>45791.0</v>
      </c>
      <c r="B608" s="332" t="s">
        <v>3028</v>
      </c>
      <c r="C608" s="308"/>
      <c r="D608" s="343" t="s">
        <v>3017</v>
      </c>
      <c r="E608" s="308"/>
      <c r="F608" s="391">
        <v>45792.0</v>
      </c>
      <c r="G608" s="346">
        <v>120.0</v>
      </c>
      <c r="H608" s="319"/>
      <c r="I608" s="308"/>
      <c r="J608" s="308"/>
      <c r="K608" s="308"/>
      <c r="L608" s="308"/>
      <c r="M608" s="308"/>
      <c r="N608" s="308"/>
      <c r="O608" s="308"/>
      <c r="P608" s="308"/>
      <c r="Q608" s="308"/>
      <c r="R608" s="308"/>
      <c r="S608" s="308"/>
      <c r="T608" s="308"/>
      <c r="U608" s="308"/>
      <c r="V608" s="308"/>
      <c r="W608" s="308"/>
      <c r="X608" s="332" t="s">
        <v>3029</v>
      </c>
      <c r="Y608" s="308"/>
      <c r="Z608" s="392">
        <v>1.25</v>
      </c>
      <c r="AA608" s="394">
        <v>45748.0</v>
      </c>
      <c r="AB608" s="308"/>
      <c r="AC608" s="308"/>
    </row>
    <row r="609">
      <c r="A609" s="373">
        <v>46150.0</v>
      </c>
      <c r="B609" s="332" t="s">
        <v>715</v>
      </c>
      <c r="C609" s="308"/>
      <c r="D609" s="343" t="s">
        <v>3017</v>
      </c>
      <c r="E609" s="308"/>
      <c r="F609" s="391">
        <v>45792.0</v>
      </c>
      <c r="G609" s="346">
        <v>300.0</v>
      </c>
      <c r="H609" s="319"/>
      <c r="I609" s="308"/>
      <c r="J609" s="308"/>
      <c r="K609" s="308"/>
      <c r="L609" s="308"/>
      <c r="M609" s="308"/>
      <c r="N609" s="308"/>
      <c r="O609" s="308"/>
      <c r="P609" s="308"/>
      <c r="Q609" s="308"/>
      <c r="R609" s="308"/>
      <c r="S609" s="308"/>
      <c r="T609" s="308"/>
      <c r="U609" s="308"/>
      <c r="V609" s="308"/>
      <c r="W609" s="308"/>
      <c r="X609" s="332" t="s">
        <v>3024</v>
      </c>
      <c r="Y609" s="308"/>
      <c r="Z609" s="392">
        <v>2.0</v>
      </c>
      <c r="AA609" s="394">
        <v>45748.0</v>
      </c>
      <c r="AB609" s="308"/>
      <c r="AC609" s="308"/>
    </row>
    <row r="610">
      <c r="A610" s="373">
        <v>45790.0</v>
      </c>
      <c r="B610" s="332" t="s">
        <v>2650</v>
      </c>
      <c r="C610" s="308"/>
      <c r="D610" s="343" t="s">
        <v>3017</v>
      </c>
      <c r="E610" s="308"/>
      <c r="F610" s="391">
        <v>45792.0</v>
      </c>
      <c r="G610" s="346">
        <v>400.0</v>
      </c>
      <c r="H610" s="319"/>
      <c r="I610" s="308"/>
      <c r="J610" s="308"/>
      <c r="K610" s="308"/>
      <c r="L610" s="308"/>
      <c r="M610" s="308"/>
      <c r="N610" s="308"/>
      <c r="O610" s="308"/>
      <c r="P610" s="308"/>
      <c r="Q610" s="308"/>
      <c r="R610" s="308"/>
      <c r="S610" s="308"/>
      <c r="T610" s="308"/>
      <c r="U610" s="308"/>
      <c r="V610" s="308"/>
      <c r="W610" s="308"/>
      <c r="X610" s="332" t="s">
        <v>3019</v>
      </c>
      <c r="Y610" s="308"/>
      <c r="Z610" s="392">
        <v>2.0</v>
      </c>
      <c r="AA610" s="394">
        <v>45748.0</v>
      </c>
      <c r="AB610" s="308"/>
      <c r="AC610" s="308"/>
    </row>
    <row r="611">
      <c r="A611" s="373">
        <v>45795.0</v>
      </c>
      <c r="B611" s="332" t="s">
        <v>3020</v>
      </c>
      <c r="C611" s="308"/>
      <c r="D611" s="343" t="s">
        <v>3017</v>
      </c>
      <c r="E611" s="308"/>
      <c r="F611" s="391">
        <v>45799.0</v>
      </c>
      <c r="G611" s="346">
        <v>800.0</v>
      </c>
      <c r="H611" s="319"/>
      <c r="I611" s="308"/>
      <c r="J611" s="308"/>
      <c r="K611" s="308"/>
      <c r="L611" s="308"/>
      <c r="M611" s="308"/>
      <c r="N611" s="308"/>
      <c r="O611" s="308"/>
      <c r="P611" s="308"/>
      <c r="Q611" s="308"/>
      <c r="R611" s="308"/>
      <c r="S611" s="308"/>
      <c r="T611" s="308"/>
      <c r="U611" s="308"/>
      <c r="V611" s="308"/>
      <c r="W611" s="308"/>
      <c r="X611" s="332" t="s">
        <v>3021</v>
      </c>
      <c r="Y611" s="308"/>
      <c r="Z611" s="392">
        <v>4.0</v>
      </c>
      <c r="AA611" s="392" t="s">
        <v>3030</v>
      </c>
      <c r="AB611" s="308"/>
      <c r="AC611" s="308"/>
    </row>
    <row r="612">
      <c r="A612" s="373">
        <v>45798.0</v>
      </c>
      <c r="B612" s="332" t="s">
        <v>2650</v>
      </c>
      <c r="C612" s="308"/>
      <c r="D612" s="343" t="s">
        <v>3017</v>
      </c>
      <c r="E612" s="308"/>
      <c r="F612" s="391">
        <v>45800.0</v>
      </c>
      <c r="G612" s="346">
        <v>400.0</v>
      </c>
      <c r="H612" s="319"/>
      <c r="I612" s="308"/>
      <c r="J612" s="308"/>
      <c r="K612" s="308"/>
      <c r="L612" s="308"/>
      <c r="M612" s="308"/>
      <c r="N612" s="308"/>
      <c r="O612" s="308"/>
      <c r="P612" s="308"/>
      <c r="Q612" s="308"/>
      <c r="R612" s="308"/>
      <c r="S612" s="308"/>
      <c r="T612" s="308"/>
      <c r="U612" s="308"/>
      <c r="V612" s="308"/>
      <c r="W612" s="308"/>
      <c r="X612" s="332" t="s">
        <v>3019</v>
      </c>
      <c r="Y612" s="308"/>
      <c r="Z612" s="392">
        <v>2.0</v>
      </c>
      <c r="AA612" s="394">
        <v>45778.0</v>
      </c>
      <c r="AB612" s="308"/>
      <c r="AC612" s="308"/>
    </row>
    <row r="613">
      <c r="A613" s="395">
        <v>45826.0</v>
      </c>
      <c r="B613" s="396" t="s">
        <v>3020</v>
      </c>
      <c r="C613" s="397"/>
      <c r="D613" s="398" t="s">
        <v>3017</v>
      </c>
      <c r="E613" s="397"/>
      <c r="F613" s="399">
        <v>45832.0</v>
      </c>
      <c r="G613" s="400">
        <v>1000.0</v>
      </c>
      <c r="H613" s="401"/>
      <c r="I613" s="397"/>
      <c r="J613" s="397"/>
      <c r="K613" s="397"/>
      <c r="L613" s="397"/>
      <c r="M613" s="397"/>
      <c r="N613" s="397"/>
      <c r="O613" s="397"/>
      <c r="P613" s="397"/>
      <c r="Q613" s="397"/>
      <c r="R613" s="397"/>
      <c r="S613" s="397"/>
      <c r="T613" s="397"/>
      <c r="U613" s="397"/>
      <c r="V613" s="397"/>
      <c r="W613" s="397"/>
      <c r="X613" s="396" t="s">
        <v>3021</v>
      </c>
      <c r="Y613" s="397"/>
      <c r="Z613" s="402">
        <v>5.0</v>
      </c>
      <c r="AA613" s="403" t="s">
        <v>3031</v>
      </c>
      <c r="AB613" s="397"/>
      <c r="AC613" s="397"/>
    </row>
    <row r="614">
      <c r="A614" s="373">
        <v>45828.0</v>
      </c>
      <c r="B614" s="332" t="s">
        <v>3028</v>
      </c>
      <c r="C614" s="308"/>
      <c r="D614" s="343" t="s">
        <v>3017</v>
      </c>
      <c r="E614" s="308"/>
      <c r="F614" s="391">
        <v>45835.0</v>
      </c>
      <c r="G614" s="346">
        <v>640.0</v>
      </c>
      <c r="H614" s="319"/>
      <c r="I614" s="308"/>
      <c r="J614" s="308"/>
      <c r="K614" s="308"/>
      <c r="L614" s="308"/>
      <c r="M614" s="308"/>
      <c r="N614" s="308"/>
      <c r="O614" s="308"/>
      <c r="P614" s="308"/>
      <c r="Q614" s="308"/>
      <c r="R614" s="308"/>
      <c r="S614" s="308"/>
      <c r="T614" s="308"/>
      <c r="U614" s="308"/>
      <c r="V614" s="308"/>
      <c r="W614" s="308"/>
      <c r="X614" s="332" t="s">
        <v>3029</v>
      </c>
      <c r="Y614" s="308"/>
      <c r="Z614" s="392">
        <v>4.0</v>
      </c>
      <c r="AA614" s="394">
        <v>45809.0</v>
      </c>
      <c r="AB614" s="308"/>
      <c r="AC614" s="308"/>
    </row>
    <row r="615">
      <c r="A615" s="373">
        <v>45828.0</v>
      </c>
      <c r="B615" s="332" t="s">
        <v>574</v>
      </c>
      <c r="C615" s="308"/>
      <c r="D615" s="343" t="s">
        <v>3017</v>
      </c>
      <c r="E615" s="308"/>
      <c r="F615" s="391">
        <v>45835.0</v>
      </c>
      <c r="G615" s="346">
        <v>80.0</v>
      </c>
      <c r="H615" s="319"/>
      <c r="I615" s="308"/>
      <c r="J615" s="308"/>
      <c r="K615" s="308"/>
      <c r="L615" s="308"/>
      <c r="M615" s="308"/>
      <c r="N615" s="308"/>
      <c r="O615" s="308"/>
      <c r="P615" s="308"/>
      <c r="Q615" s="308"/>
      <c r="R615" s="308"/>
      <c r="S615" s="308"/>
      <c r="T615" s="308"/>
      <c r="U615" s="308"/>
      <c r="V615" s="308"/>
      <c r="W615" s="308"/>
      <c r="X615" s="332" t="s">
        <v>3029</v>
      </c>
      <c r="Y615" s="308"/>
      <c r="Z615" s="392">
        <v>0.5</v>
      </c>
      <c r="AA615" s="394">
        <v>45778.0</v>
      </c>
      <c r="AB615" s="308"/>
      <c r="AC615" s="308"/>
    </row>
    <row r="616">
      <c r="A616" s="373">
        <v>45835.0</v>
      </c>
      <c r="B616" s="332" t="s">
        <v>276</v>
      </c>
      <c r="C616" s="308"/>
      <c r="D616" s="343" t="s">
        <v>3017</v>
      </c>
      <c r="E616" s="308"/>
      <c r="F616" s="391">
        <v>45838.0</v>
      </c>
      <c r="G616" s="346">
        <v>400.0</v>
      </c>
      <c r="H616" s="319"/>
      <c r="I616" s="308"/>
      <c r="J616" s="308"/>
      <c r="K616" s="308"/>
      <c r="L616" s="308"/>
      <c r="M616" s="308"/>
      <c r="N616" s="308"/>
      <c r="O616" s="308"/>
      <c r="P616" s="308"/>
      <c r="Q616" s="308"/>
      <c r="R616" s="308"/>
      <c r="S616" s="308"/>
      <c r="T616" s="308"/>
      <c r="U616" s="308"/>
      <c r="V616" s="308"/>
      <c r="W616" s="308"/>
      <c r="X616" s="332" t="s">
        <v>3021</v>
      </c>
      <c r="Y616" s="308"/>
      <c r="Z616" s="392">
        <v>2.0</v>
      </c>
      <c r="AA616" s="392" t="s">
        <v>3031</v>
      </c>
      <c r="AB616" s="308"/>
      <c r="AC616" s="308"/>
    </row>
    <row r="617">
      <c r="A617" s="395">
        <v>45838.0</v>
      </c>
      <c r="B617" s="396" t="s">
        <v>2650</v>
      </c>
      <c r="C617" s="397"/>
      <c r="D617" s="398" t="s">
        <v>3017</v>
      </c>
      <c r="E617" s="397"/>
      <c r="F617" s="391">
        <v>45838.0</v>
      </c>
      <c r="G617" s="404">
        <v>400.0</v>
      </c>
      <c r="H617" s="401"/>
      <c r="I617" s="397"/>
      <c r="J617" s="397"/>
      <c r="K617" s="397"/>
      <c r="L617" s="397"/>
      <c r="M617" s="397"/>
      <c r="N617" s="397"/>
      <c r="O617" s="397"/>
      <c r="P617" s="397"/>
      <c r="Q617" s="397"/>
      <c r="R617" s="397"/>
      <c r="S617" s="397"/>
      <c r="T617" s="397"/>
      <c r="U617" s="397"/>
      <c r="V617" s="397"/>
      <c r="W617" s="397"/>
      <c r="X617" s="396" t="s">
        <v>3019</v>
      </c>
      <c r="Y617" s="397"/>
      <c r="Z617" s="405">
        <v>2.0</v>
      </c>
      <c r="AA617" s="394">
        <v>45809.0</v>
      </c>
      <c r="AB617" s="397"/>
      <c r="AC617" s="397"/>
    </row>
    <row r="618">
      <c r="A618" s="373">
        <v>45849.0</v>
      </c>
      <c r="B618" s="332" t="s">
        <v>276</v>
      </c>
      <c r="C618" s="308"/>
      <c r="D618" s="343" t="s">
        <v>3017</v>
      </c>
      <c r="E618" s="308"/>
      <c r="F618" s="391">
        <v>45859.0</v>
      </c>
      <c r="G618" s="346">
        <v>450.0</v>
      </c>
      <c r="H618" s="319"/>
      <c r="I618" s="308"/>
      <c r="J618" s="308"/>
      <c r="K618" s="308"/>
      <c r="L618" s="308"/>
      <c r="M618" s="308"/>
      <c r="N618" s="308"/>
      <c r="O618" s="308"/>
      <c r="P618" s="308"/>
      <c r="Q618" s="308"/>
      <c r="R618" s="308"/>
      <c r="S618" s="308"/>
      <c r="T618" s="308"/>
      <c r="U618" s="308"/>
      <c r="V618" s="308"/>
      <c r="W618" s="308"/>
      <c r="X618" s="332" t="s">
        <v>3021</v>
      </c>
      <c r="Y618" s="308"/>
      <c r="Z618" s="392">
        <v>2.0</v>
      </c>
      <c r="AA618" s="392" t="s">
        <v>3032</v>
      </c>
      <c r="AB618" s="308"/>
      <c r="AC618" s="308"/>
    </row>
    <row r="619">
      <c r="A619" s="373">
        <v>45849.0</v>
      </c>
      <c r="B619" s="396" t="s">
        <v>3020</v>
      </c>
      <c r="C619" s="397"/>
      <c r="D619" s="398" t="s">
        <v>3017</v>
      </c>
      <c r="E619" s="397"/>
      <c r="F619" s="391">
        <v>45859.0</v>
      </c>
      <c r="G619" s="400">
        <v>700.0</v>
      </c>
      <c r="H619" s="401"/>
      <c r="I619" s="397"/>
      <c r="J619" s="397"/>
      <c r="K619" s="397"/>
      <c r="L619" s="397"/>
      <c r="M619" s="397"/>
      <c r="N619" s="397"/>
      <c r="O619" s="397"/>
      <c r="P619" s="397"/>
      <c r="Q619" s="397"/>
      <c r="R619" s="397"/>
      <c r="S619" s="397"/>
      <c r="T619" s="397"/>
      <c r="U619" s="397"/>
      <c r="V619" s="397"/>
      <c r="W619" s="397"/>
      <c r="X619" s="396" t="s">
        <v>3021</v>
      </c>
      <c r="Y619" s="397"/>
      <c r="Z619" s="402">
        <v>3.0</v>
      </c>
      <c r="AA619" s="392" t="s">
        <v>3032</v>
      </c>
      <c r="AB619" s="397"/>
      <c r="AC619" s="397"/>
    </row>
    <row r="620">
      <c r="A620" s="373">
        <v>45859.0</v>
      </c>
      <c r="B620" s="332" t="s">
        <v>3028</v>
      </c>
      <c r="C620" s="308"/>
      <c r="D620" s="343" t="s">
        <v>3017</v>
      </c>
      <c r="E620" s="308"/>
      <c r="F620" s="391">
        <v>45859.0</v>
      </c>
      <c r="G620" s="346">
        <v>640.0</v>
      </c>
      <c r="H620" s="319"/>
      <c r="I620" s="308"/>
      <c r="J620" s="308"/>
      <c r="K620" s="308"/>
      <c r="L620" s="308"/>
      <c r="M620" s="308"/>
      <c r="N620" s="308"/>
      <c r="O620" s="308"/>
      <c r="P620" s="308"/>
      <c r="Q620" s="308"/>
      <c r="R620" s="308"/>
      <c r="S620" s="308"/>
      <c r="T620" s="308"/>
      <c r="U620" s="308"/>
      <c r="V620" s="308"/>
      <c r="W620" s="308"/>
      <c r="X620" s="332" t="s">
        <v>3029</v>
      </c>
      <c r="Y620" s="308"/>
      <c r="Z620" s="392">
        <v>4.0</v>
      </c>
      <c r="AA620" s="392" t="s">
        <v>3032</v>
      </c>
      <c r="AB620" s="308"/>
      <c r="AC620" s="308"/>
    </row>
    <row r="621">
      <c r="A621" s="395">
        <v>45869.0</v>
      </c>
      <c r="B621" s="396" t="s">
        <v>2650</v>
      </c>
      <c r="C621" s="397"/>
      <c r="D621" s="398" t="s">
        <v>3017</v>
      </c>
      <c r="E621" s="397"/>
      <c r="F621" s="391">
        <v>45870.0</v>
      </c>
      <c r="G621" s="400">
        <v>600.0</v>
      </c>
      <c r="H621" s="401"/>
      <c r="I621" s="397"/>
      <c r="J621" s="397"/>
      <c r="K621" s="397"/>
      <c r="L621" s="397"/>
      <c r="M621" s="397"/>
      <c r="N621" s="397"/>
      <c r="O621" s="397"/>
      <c r="P621" s="397"/>
      <c r="Q621" s="397"/>
      <c r="R621" s="397"/>
      <c r="S621" s="397"/>
      <c r="T621" s="397"/>
      <c r="U621" s="397"/>
      <c r="V621" s="397"/>
      <c r="W621" s="397"/>
      <c r="X621" s="396" t="s">
        <v>3019</v>
      </c>
      <c r="Y621" s="397"/>
      <c r="Z621" s="402">
        <v>3.0</v>
      </c>
      <c r="AA621" s="394">
        <v>45839.0</v>
      </c>
      <c r="AB621" s="397"/>
      <c r="AC621" s="397"/>
    </row>
    <row r="622">
      <c r="A622" s="373">
        <v>45889.0</v>
      </c>
      <c r="B622" s="332" t="s">
        <v>276</v>
      </c>
      <c r="C622" s="308"/>
      <c r="D622" s="343" t="s">
        <v>3017</v>
      </c>
      <c r="E622" s="308"/>
      <c r="F622" s="391">
        <v>45890.0</v>
      </c>
      <c r="G622" s="346">
        <v>250.0</v>
      </c>
      <c r="H622" s="319"/>
      <c r="I622" s="308"/>
      <c r="J622" s="308"/>
      <c r="K622" s="308"/>
      <c r="L622" s="308"/>
      <c r="M622" s="308"/>
      <c r="N622" s="308"/>
      <c r="O622" s="308"/>
      <c r="P622" s="308"/>
      <c r="Q622" s="308"/>
      <c r="R622" s="308"/>
      <c r="S622" s="308"/>
      <c r="T622" s="308"/>
      <c r="U622" s="308"/>
      <c r="V622" s="308"/>
      <c r="W622" s="308"/>
      <c r="X622" s="332" t="s">
        <v>3021</v>
      </c>
      <c r="Y622" s="308"/>
      <c r="Z622" s="392">
        <v>1.0</v>
      </c>
      <c r="AA622" s="394">
        <v>45839.0</v>
      </c>
      <c r="AB622" s="308"/>
      <c r="AC622" s="308"/>
    </row>
    <row r="623">
      <c r="A623" s="373">
        <v>45889.0</v>
      </c>
      <c r="B623" s="396" t="s">
        <v>3020</v>
      </c>
      <c r="C623" s="397"/>
      <c r="D623" s="398" t="s">
        <v>3017</v>
      </c>
      <c r="E623" s="397"/>
      <c r="F623" s="391">
        <v>45890.0</v>
      </c>
      <c r="G623" s="400">
        <v>1000.0</v>
      </c>
      <c r="H623" s="401"/>
      <c r="I623" s="397"/>
      <c r="J623" s="397"/>
      <c r="K623" s="397"/>
      <c r="L623" s="397"/>
      <c r="M623" s="397"/>
      <c r="N623" s="397"/>
      <c r="O623" s="397"/>
      <c r="P623" s="397"/>
      <c r="Q623" s="397"/>
      <c r="R623" s="397"/>
      <c r="S623" s="397"/>
      <c r="T623" s="397"/>
      <c r="U623" s="397"/>
      <c r="V623" s="397"/>
      <c r="W623" s="397"/>
      <c r="X623" s="396" t="s">
        <v>3021</v>
      </c>
      <c r="Y623" s="397"/>
      <c r="Z623" s="402">
        <v>5.0</v>
      </c>
      <c r="AA623" s="392" t="s">
        <v>3033</v>
      </c>
      <c r="AB623" s="397"/>
      <c r="AC623" s="397"/>
    </row>
    <row r="624">
      <c r="A624" s="373">
        <v>45890.0</v>
      </c>
      <c r="B624" s="332" t="s">
        <v>3028</v>
      </c>
      <c r="C624" s="308"/>
      <c r="D624" s="343" t="s">
        <v>3017</v>
      </c>
      <c r="E624" s="308"/>
      <c r="F624" s="391">
        <v>45890.0</v>
      </c>
      <c r="G624" s="346">
        <v>480.0</v>
      </c>
      <c r="H624" s="319"/>
      <c r="I624" s="308"/>
      <c r="J624" s="308"/>
      <c r="K624" s="308"/>
      <c r="L624" s="308"/>
      <c r="M624" s="308"/>
      <c r="N624" s="308"/>
      <c r="O624" s="308"/>
      <c r="P624" s="308"/>
      <c r="Q624" s="308"/>
      <c r="R624" s="308"/>
      <c r="S624" s="308"/>
      <c r="T624" s="308"/>
      <c r="U624" s="308"/>
      <c r="V624" s="308"/>
      <c r="W624" s="308"/>
      <c r="X624" s="332" t="s">
        <v>3029</v>
      </c>
      <c r="Y624" s="308"/>
      <c r="Z624" s="392">
        <v>3.0</v>
      </c>
      <c r="AA624" s="392" t="s">
        <v>3033</v>
      </c>
      <c r="AB624" s="308"/>
      <c r="AC624" s="308"/>
    </row>
    <row r="625">
      <c r="A625" s="395">
        <v>45894.0</v>
      </c>
      <c r="B625" s="396" t="s">
        <v>2650</v>
      </c>
      <c r="C625" s="397"/>
      <c r="D625" s="398" t="s">
        <v>3017</v>
      </c>
      <c r="E625" s="397"/>
      <c r="F625" s="391">
        <v>45895.0</v>
      </c>
      <c r="G625" s="400">
        <v>400.0</v>
      </c>
      <c r="H625" s="401"/>
      <c r="I625" s="397"/>
      <c r="J625" s="397"/>
      <c r="K625" s="397"/>
      <c r="L625" s="397"/>
      <c r="M625" s="397"/>
      <c r="N625" s="397"/>
      <c r="O625" s="397"/>
      <c r="P625" s="397"/>
      <c r="Q625" s="397"/>
      <c r="R625" s="397"/>
      <c r="S625" s="397"/>
      <c r="T625" s="397"/>
      <c r="U625" s="397"/>
      <c r="V625" s="397"/>
      <c r="W625" s="397"/>
      <c r="X625" s="396" t="s">
        <v>3019</v>
      </c>
      <c r="Y625" s="397"/>
      <c r="Z625" s="402">
        <v>2.0</v>
      </c>
      <c r="AA625" s="394">
        <v>45870.0</v>
      </c>
      <c r="AB625" s="397"/>
      <c r="AC625" s="397"/>
    </row>
    <row r="626" hidden="1">
      <c r="A626" s="308"/>
      <c r="B626" s="308"/>
      <c r="C626" s="308"/>
      <c r="D626" s="332"/>
      <c r="E626" s="308"/>
      <c r="F626" s="319"/>
      <c r="G626" s="319"/>
      <c r="H626" s="319"/>
      <c r="I626" s="308"/>
      <c r="J626" s="308"/>
      <c r="K626" s="308"/>
      <c r="L626" s="308"/>
      <c r="M626" s="308"/>
      <c r="N626" s="308"/>
      <c r="O626" s="308"/>
      <c r="P626" s="308"/>
      <c r="Q626" s="308"/>
      <c r="R626" s="308"/>
      <c r="S626" s="308"/>
      <c r="T626" s="308"/>
      <c r="U626" s="308"/>
      <c r="V626" s="308"/>
      <c r="W626" s="308"/>
      <c r="X626" s="308"/>
      <c r="Y626" s="308"/>
      <c r="Z626" s="309"/>
      <c r="AA626" s="309"/>
      <c r="AB626" s="308"/>
      <c r="AC626" s="308"/>
    </row>
    <row r="627" hidden="1">
      <c r="A627" s="308"/>
      <c r="B627" s="308"/>
      <c r="C627" s="308"/>
      <c r="D627" s="332"/>
      <c r="E627" s="308"/>
      <c r="F627" s="319"/>
      <c r="G627" s="319"/>
      <c r="H627" s="319"/>
      <c r="I627" s="308"/>
      <c r="J627" s="308"/>
      <c r="K627" s="308"/>
      <c r="L627" s="308"/>
      <c r="M627" s="308"/>
      <c r="N627" s="308"/>
      <c r="O627" s="308"/>
      <c r="P627" s="308"/>
      <c r="Q627" s="308"/>
      <c r="R627" s="308"/>
      <c r="S627" s="308"/>
      <c r="T627" s="308"/>
      <c r="U627" s="308"/>
      <c r="V627" s="308"/>
      <c r="W627" s="308"/>
      <c r="X627" s="308"/>
      <c r="Y627" s="308"/>
      <c r="Z627" s="309"/>
      <c r="AA627" s="309"/>
      <c r="AB627" s="308"/>
      <c r="AC627" s="308"/>
    </row>
    <row r="628" hidden="1">
      <c r="A628" s="308"/>
      <c r="B628" s="308"/>
      <c r="C628" s="308"/>
      <c r="D628" s="332"/>
      <c r="E628" s="308"/>
      <c r="F628" s="319"/>
      <c r="G628" s="319"/>
      <c r="H628" s="319"/>
      <c r="I628" s="308"/>
      <c r="J628" s="308"/>
      <c r="K628" s="308"/>
      <c r="L628" s="308"/>
      <c r="M628" s="308"/>
      <c r="N628" s="308"/>
      <c r="O628" s="308"/>
      <c r="P628" s="308"/>
      <c r="Q628" s="308"/>
      <c r="R628" s="308"/>
      <c r="S628" s="308"/>
      <c r="T628" s="308"/>
      <c r="U628" s="308"/>
      <c r="V628" s="308"/>
      <c r="W628" s="308"/>
      <c r="X628" s="308"/>
      <c r="Y628" s="308"/>
      <c r="Z628" s="309"/>
      <c r="AA628" s="309"/>
      <c r="AB628" s="308"/>
      <c r="AC628" s="308"/>
    </row>
    <row r="629" hidden="1">
      <c r="A629" s="308"/>
      <c r="B629" s="308"/>
      <c r="C629" s="308"/>
      <c r="D629" s="332"/>
      <c r="E629" s="308"/>
      <c r="F629" s="319"/>
      <c r="G629" s="319"/>
      <c r="H629" s="319"/>
      <c r="I629" s="308"/>
      <c r="J629" s="308"/>
      <c r="K629" s="308"/>
      <c r="L629" s="308"/>
      <c r="M629" s="308"/>
      <c r="N629" s="308"/>
      <c r="O629" s="308"/>
      <c r="P629" s="308"/>
      <c r="Q629" s="308"/>
      <c r="R629" s="308"/>
      <c r="S629" s="308"/>
      <c r="T629" s="308"/>
      <c r="U629" s="308"/>
      <c r="V629" s="308"/>
      <c r="W629" s="308"/>
      <c r="X629" s="308"/>
      <c r="Y629" s="308"/>
      <c r="Z629" s="309"/>
      <c r="AA629" s="309"/>
      <c r="AB629" s="308"/>
      <c r="AC629" s="308"/>
    </row>
    <row r="630" hidden="1">
      <c r="A630" s="308"/>
      <c r="B630" s="308"/>
      <c r="C630" s="308"/>
      <c r="D630" s="332"/>
      <c r="E630" s="308"/>
      <c r="F630" s="319"/>
      <c r="G630" s="319"/>
      <c r="H630" s="319"/>
      <c r="I630" s="308"/>
      <c r="J630" s="308"/>
      <c r="K630" s="308"/>
      <c r="L630" s="308"/>
      <c r="M630" s="308"/>
      <c r="N630" s="308"/>
      <c r="O630" s="308"/>
      <c r="P630" s="308"/>
      <c r="Q630" s="308"/>
      <c r="R630" s="308"/>
      <c r="S630" s="308"/>
      <c r="T630" s="308"/>
      <c r="U630" s="308"/>
      <c r="V630" s="308"/>
      <c r="W630" s="308"/>
      <c r="X630" s="308"/>
      <c r="Y630" s="308"/>
      <c r="Z630" s="309"/>
      <c r="AA630" s="309"/>
      <c r="AB630" s="308"/>
      <c r="AC630" s="308"/>
    </row>
    <row r="631" hidden="1">
      <c r="A631" s="308"/>
      <c r="B631" s="308"/>
      <c r="C631" s="308"/>
      <c r="D631" s="332"/>
      <c r="E631" s="308"/>
      <c r="F631" s="319"/>
      <c r="G631" s="319"/>
      <c r="H631" s="319"/>
      <c r="I631" s="308"/>
      <c r="J631" s="308"/>
      <c r="K631" s="308"/>
      <c r="L631" s="308"/>
      <c r="M631" s="308"/>
      <c r="N631" s="308"/>
      <c r="O631" s="308"/>
      <c r="P631" s="308"/>
      <c r="Q631" s="308"/>
      <c r="R631" s="308"/>
      <c r="S631" s="308"/>
      <c r="T631" s="308"/>
      <c r="U631" s="308"/>
      <c r="V631" s="308"/>
      <c r="W631" s="308"/>
      <c r="X631" s="308"/>
      <c r="Y631" s="308"/>
      <c r="Z631" s="309"/>
      <c r="AA631" s="309"/>
      <c r="AB631" s="308"/>
      <c r="AC631" s="308"/>
    </row>
    <row r="632" hidden="1">
      <c r="A632" s="308"/>
      <c r="B632" s="308"/>
      <c r="C632" s="308"/>
      <c r="D632" s="332"/>
      <c r="E632" s="308"/>
      <c r="F632" s="319"/>
      <c r="G632" s="319"/>
      <c r="H632" s="319"/>
      <c r="I632" s="308"/>
      <c r="J632" s="308"/>
      <c r="K632" s="308"/>
      <c r="L632" s="308"/>
      <c r="M632" s="308"/>
      <c r="N632" s="308"/>
      <c r="O632" s="308"/>
      <c r="P632" s="308"/>
      <c r="Q632" s="308"/>
      <c r="R632" s="308"/>
      <c r="S632" s="308"/>
      <c r="T632" s="308"/>
      <c r="U632" s="308"/>
      <c r="V632" s="308"/>
      <c r="W632" s="308"/>
      <c r="X632" s="308"/>
      <c r="Y632" s="308"/>
      <c r="Z632" s="309"/>
      <c r="AA632" s="309"/>
      <c r="AB632" s="308"/>
      <c r="AC632" s="308"/>
    </row>
    <row r="633" hidden="1">
      <c r="A633" s="308"/>
      <c r="B633" s="308"/>
      <c r="C633" s="308"/>
      <c r="D633" s="332"/>
      <c r="E633" s="308"/>
      <c r="F633" s="319"/>
      <c r="G633" s="319"/>
      <c r="H633" s="319"/>
      <c r="I633" s="308"/>
      <c r="J633" s="308"/>
      <c r="K633" s="308"/>
      <c r="L633" s="308"/>
      <c r="M633" s="308"/>
      <c r="N633" s="308"/>
      <c r="O633" s="308"/>
      <c r="P633" s="308"/>
      <c r="Q633" s="308"/>
      <c r="R633" s="308"/>
      <c r="S633" s="308"/>
      <c r="T633" s="308"/>
      <c r="U633" s="308"/>
      <c r="V633" s="308"/>
      <c r="W633" s="308"/>
      <c r="X633" s="308"/>
      <c r="Y633" s="308"/>
      <c r="Z633" s="309"/>
      <c r="AA633" s="309"/>
      <c r="AB633" s="308"/>
      <c r="AC633" s="308"/>
    </row>
    <row r="634" hidden="1">
      <c r="A634" s="308"/>
      <c r="B634" s="308"/>
      <c r="C634" s="308"/>
      <c r="D634" s="332"/>
      <c r="E634" s="308"/>
      <c r="F634" s="319"/>
      <c r="G634" s="319"/>
      <c r="H634" s="319"/>
      <c r="I634" s="308"/>
      <c r="J634" s="308"/>
      <c r="K634" s="308"/>
      <c r="L634" s="308"/>
      <c r="M634" s="308"/>
      <c r="N634" s="308"/>
      <c r="O634" s="308"/>
      <c r="P634" s="308"/>
      <c r="Q634" s="308"/>
      <c r="R634" s="308"/>
      <c r="S634" s="308"/>
      <c r="T634" s="308"/>
      <c r="U634" s="308"/>
      <c r="V634" s="308"/>
      <c r="W634" s="308"/>
      <c r="X634" s="308"/>
      <c r="Y634" s="308"/>
      <c r="Z634" s="309"/>
      <c r="AA634" s="309"/>
      <c r="AB634" s="308"/>
      <c r="AC634" s="308"/>
    </row>
    <row r="635" hidden="1">
      <c r="A635" s="308"/>
      <c r="B635" s="308"/>
      <c r="C635" s="308"/>
      <c r="D635" s="332"/>
      <c r="E635" s="308"/>
      <c r="F635" s="319"/>
      <c r="G635" s="319"/>
      <c r="H635" s="319"/>
      <c r="I635" s="308"/>
      <c r="J635" s="308"/>
      <c r="K635" s="308"/>
      <c r="L635" s="308"/>
      <c r="M635" s="308"/>
      <c r="N635" s="308"/>
      <c r="O635" s="308"/>
      <c r="P635" s="308"/>
      <c r="Q635" s="308"/>
      <c r="R635" s="308"/>
      <c r="S635" s="308"/>
      <c r="T635" s="308"/>
      <c r="U635" s="308"/>
      <c r="V635" s="308"/>
      <c r="W635" s="308"/>
      <c r="X635" s="308"/>
      <c r="Y635" s="308"/>
      <c r="Z635" s="309"/>
      <c r="AA635" s="309"/>
      <c r="AB635" s="308"/>
      <c r="AC635" s="308"/>
    </row>
    <row r="636" hidden="1">
      <c r="A636" s="308"/>
      <c r="B636" s="308"/>
      <c r="C636" s="308"/>
      <c r="D636" s="332"/>
      <c r="E636" s="308"/>
      <c r="F636" s="319"/>
      <c r="G636" s="319"/>
      <c r="H636" s="319"/>
      <c r="I636" s="308"/>
      <c r="J636" s="308"/>
      <c r="K636" s="308"/>
      <c r="L636" s="308"/>
      <c r="M636" s="308"/>
      <c r="N636" s="308"/>
      <c r="O636" s="308"/>
      <c r="P636" s="308"/>
      <c r="Q636" s="308"/>
      <c r="R636" s="308"/>
      <c r="S636" s="308"/>
      <c r="T636" s="308"/>
      <c r="U636" s="308"/>
      <c r="V636" s="308"/>
      <c r="W636" s="308"/>
      <c r="X636" s="308"/>
      <c r="Y636" s="308"/>
      <c r="Z636" s="309"/>
      <c r="AA636" s="309"/>
      <c r="AB636" s="308"/>
      <c r="AC636" s="308"/>
    </row>
    <row r="637" hidden="1">
      <c r="A637" s="308"/>
      <c r="B637" s="308"/>
      <c r="C637" s="308"/>
      <c r="D637" s="332"/>
      <c r="E637" s="308"/>
      <c r="F637" s="319"/>
      <c r="G637" s="319"/>
      <c r="H637" s="319"/>
      <c r="I637" s="308"/>
      <c r="J637" s="308"/>
      <c r="K637" s="308"/>
      <c r="L637" s="308"/>
      <c r="M637" s="308"/>
      <c r="N637" s="308"/>
      <c r="O637" s="308"/>
      <c r="P637" s="308"/>
      <c r="Q637" s="308"/>
      <c r="R637" s="308"/>
      <c r="S637" s="308"/>
      <c r="T637" s="308"/>
      <c r="U637" s="308"/>
      <c r="V637" s="308"/>
      <c r="W637" s="308"/>
      <c r="X637" s="308"/>
      <c r="Y637" s="308"/>
      <c r="Z637" s="309"/>
      <c r="AA637" s="309"/>
      <c r="AB637" s="308"/>
      <c r="AC637" s="308"/>
    </row>
    <row r="638" hidden="1">
      <c r="A638" s="308"/>
      <c r="B638" s="308"/>
      <c r="C638" s="308"/>
      <c r="D638" s="332"/>
      <c r="E638" s="308"/>
      <c r="F638" s="319"/>
      <c r="G638" s="319"/>
      <c r="H638" s="319"/>
      <c r="I638" s="308"/>
      <c r="J638" s="308"/>
      <c r="K638" s="308"/>
      <c r="L638" s="308"/>
      <c r="M638" s="308"/>
      <c r="N638" s="308"/>
      <c r="O638" s="308"/>
      <c r="P638" s="308"/>
      <c r="Q638" s="308"/>
      <c r="R638" s="308"/>
      <c r="S638" s="308"/>
      <c r="T638" s="308"/>
      <c r="U638" s="308"/>
      <c r="V638" s="308"/>
      <c r="W638" s="308"/>
      <c r="X638" s="308"/>
      <c r="Y638" s="308"/>
      <c r="Z638" s="309"/>
      <c r="AA638" s="309"/>
      <c r="AB638" s="308"/>
      <c r="AC638" s="308"/>
    </row>
    <row r="639" hidden="1">
      <c r="A639" s="308"/>
      <c r="B639" s="308"/>
      <c r="C639" s="308"/>
      <c r="D639" s="332"/>
      <c r="E639" s="308"/>
      <c r="F639" s="319"/>
      <c r="G639" s="319"/>
      <c r="H639" s="319"/>
      <c r="I639" s="308"/>
      <c r="J639" s="308"/>
      <c r="K639" s="308"/>
      <c r="L639" s="308"/>
      <c r="M639" s="308"/>
      <c r="N639" s="308"/>
      <c r="O639" s="308"/>
      <c r="P639" s="308"/>
      <c r="Q639" s="308"/>
      <c r="R639" s="308"/>
      <c r="S639" s="308"/>
      <c r="T639" s="308"/>
      <c r="U639" s="308"/>
      <c r="V639" s="308"/>
      <c r="W639" s="308"/>
      <c r="X639" s="308"/>
      <c r="Y639" s="308"/>
      <c r="Z639" s="309"/>
      <c r="AA639" s="309"/>
      <c r="AB639" s="308"/>
      <c r="AC639" s="308"/>
    </row>
    <row r="640" hidden="1">
      <c r="A640" s="308"/>
      <c r="B640" s="308"/>
      <c r="C640" s="308"/>
      <c r="D640" s="332"/>
      <c r="E640" s="308"/>
      <c r="F640" s="319"/>
      <c r="G640" s="319"/>
      <c r="H640" s="319"/>
      <c r="I640" s="308"/>
      <c r="J640" s="308"/>
      <c r="K640" s="308"/>
      <c r="L640" s="308"/>
      <c r="M640" s="308"/>
      <c r="N640" s="308"/>
      <c r="O640" s="308"/>
      <c r="P640" s="308"/>
      <c r="Q640" s="308"/>
      <c r="R640" s="308"/>
      <c r="S640" s="308"/>
      <c r="T640" s="308"/>
      <c r="U640" s="308"/>
      <c r="V640" s="308"/>
      <c r="W640" s="308"/>
      <c r="X640" s="308"/>
      <c r="Y640" s="308"/>
      <c r="Z640" s="309"/>
      <c r="AA640" s="309"/>
      <c r="AB640" s="308"/>
      <c r="AC640" s="308"/>
    </row>
    <row r="641" hidden="1">
      <c r="A641" s="308"/>
      <c r="B641" s="308"/>
      <c r="C641" s="308"/>
      <c r="D641" s="332"/>
      <c r="E641" s="308"/>
      <c r="F641" s="319"/>
      <c r="G641" s="319"/>
      <c r="H641" s="319"/>
      <c r="I641" s="308"/>
      <c r="J641" s="308"/>
      <c r="K641" s="308"/>
      <c r="L641" s="308"/>
      <c r="M641" s="308"/>
      <c r="N641" s="308"/>
      <c r="O641" s="308"/>
      <c r="P641" s="308"/>
      <c r="Q641" s="308"/>
      <c r="R641" s="308"/>
      <c r="S641" s="308"/>
      <c r="T641" s="308"/>
      <c r="U641" s="308"/>
      <c r="V641" s="308"/>
      <c r="W641" s="308"/>
      <c r="X641" s="308"/>
      <c r="Y641" s="308"/>
      <c r="Z641" s="309"/>
      <c r="AA641" s="309"/>
      <c r="AB641" s="308"/>
      <c r="AC641" s="308"/>
    </row>
    <row r="642" hidden="1">
      <c r="A642" s="308"/>
      <c r="B642" s="308"/>
      <c r="C642" s="308"/>
      <c r="D642" s="332"/>
      <c r="E642" s="308"/>
      <c r="F642" s="319"/>
      <c r="G642" s="319"/>
      <c r="H642" s="319"/>
      <c r="I642" s="308"/>
      <c r="J642" s="308"/>
      <c r="K642" s="308"/>
      <c r="L642" s="308"/>
      <c r="M642" s="308"/>
      <c r="N642" s="308"/>
      <c r="O642" s="308"/>
      <c r="P642" s="308"/>
      <c r="Q642" s="308"/>
      <c r="R642" s="308"/>
      <c r="S642" s="308"/>
      <c r="T642" s="308"/>
      <c r="U642" s="308"/>
      <c r="V642" s="308"/>
      <c r="W642" s="308"/>
      <c r="X642" s="308"/>
      <c r="Y642" s="308"/>
      <c r="Z642" s="309"/>
      <c r="AA642" s="309"/>
      <c r="AB642" s="308"/>
      <c r="AC642" s="308"/>
    </row>
    <row r="643" hidden="1">
      <c r="A643" s="308"/>
      <c r="B643" s="308"/>
      <c r="C643" s="308"/>
      <c r="D643" s="332"/>
      <c r="E643" s="308"/>
      <c r="F643" s="319"/>
      <c r="G643" s="319"/>
      <c r="H643" s="319"/>
      <c r="I643" s="308"/>
      <c r="J643" s="308"/>
      <c r="K643" s="308"/>
      <c r="L643" s="308"/>
      <c r="M643" s="308"/>
      <c r="N643" s="308"/>
      <c r="O643" s="308"/>
      <c r="P643" s="308"/>
      <c r="Q643" s="308"/>
      <c r="R643" s="308"/>
      <c r="S643" s="308"/>
      <c r="T643" s="308"/>
      <c r="U643" s="308"/>
      <c r="V643" s="308"/>
      <c r="W643" s="308"/>
      <c r="X643" s="308"/>
      <c r="Y643" s="308"/>
      <c r="Z643" s="309"/>
      <c r="AA643" s="309"/>
      <c r="AB643" s="308"/>
      <c r="AC643" s="308"/>
    </row>
    <row r="644" hidden="1">
      <c r="A644" s="308"/>
      <c r="B644" s="308"/>
      <c r="C644" s="308"/>
      <c r="D644" s="332"/>
      <c r="E644" s="308"/>
      <c r="F644" s="319"/>
      <c r="G644" s="319"/>
      <c r="H644" s="319"/>
      <c r="I644" s="308"/>
      <c r="J644" s="308"/>
      <c r="K644" s="308"/>
      <c r="L644" s="308"/>
      <c r="M644" s="308"/>
      <c r="N644" s="308"/>
      <c r="O644" s="308"/>
      <c r="P644" s="308"/>
      <c r="Q644" s="308"/>
      <c r="R644" s="308"/>
      <c r="S644" s="308"/>
      <c r="T644" s="308"/>
      <c r="U644" s="308"/>
      <c r="V644" s="308"/>
      <c r="W644" s="308"/>
      <c r="X644" s="308"/>
      <c r="Y644" s="308"/>
      <c r="Z644" s="309"/>
      <c r="AA644" s="309"/>
      <c r="AB644" s="308"/>
      <c r="AC644" s="308"/>
    </row>
    <row r="645" hidden="1">
      <c r="A645" s="308"/>
      <c r="B645" s="308"/>
      <c r="C645" s="308"/>
      <c r="D645" s="332"/>
      <c r="E645" s="308"/>
      <c r="F645" s="319"/>
      <c r="G645" s="319"/>
      <c r="H645" s="319"/>
      <c r="I645" s="308"/>
      <c r="J645" s="308"/>
      <c r="K645" s="308"/>
      <c r="L645" s="308"/>
      <c r="M645" s="308"/>
      <c r="N645" s="308"/>
      <c r="O645" s="308"/>
      <c r="P645" s="308"/>
      <c r="Q645" s="308"/>
      <c r="R645" s="308"/>
      <c r="S645" s="308"/>
      <c r="T645" s="308"/>
      <c r="U645" s="308"/>
      <c r="V645" s="308"/>
      <c r="W645" s="308"/>
      <c r="X645" s="308"/>
      <c r="Y645" s="308"/>
      <c r="Z645" s="309"/>
      <c r="AA645" s="309"/>
      <c r="AB645" s="308"/>
      <c r="AC645" s="308"/>
    </row>
    <row r="646" hidden="1">
      <c r="A646" s="308"/>
      <c r="B646" s="308"/>
      <c r="C646" s="308"/>
      <c r="D646" s="332"/>
      <c r="E646" s="308"/>
      <c r="F646" s="319"/>
      <c r="G646" s="319"/>
      <c r="H646" s="319"/>
      <c r="I646" s="308"/>
      <c r="J646" s="308"/>
      <c r="K646" s="308"/>
      <c r="L646" s="308"/>
      <c r="M646" s="308"/>
      <c r="N646" s="308"/>
      <c r="O646" s="308"/>
      <c r="P646" s="308"/>
      <c r="Q646" s="308"/>
      <c r="R646" s="308"/>
      <c r="S646" s="308"/>
      <c r="T646" s="308"/>
      <c r="U646" s="308"/>
      <c r="V646" s="308"/>
      <c r="W646" s="308"/>
      <c r="X646" s="308"/>
      <c r="Y646" s="308"/>
      <c r="Z646" s="309"/>
      <c r="AA646" s="309"/>
      <c r="AB646" s="308"/>
      <c r="AC646" s="308"/>
    </row>
    <row r="647" hidden="1">
      <c r="A647" s="308"/>
      <c r="B647" s="308"/>
      <c r="C647" s="308"/>
      <c r="D647" s="332"/>
      <c r="E647" s="308"/>
      <c r="F647" s="319"/>
      <c r="G647" s="319"/>
      <c r="H647" s="319"/>
      <c r="I647" s="308"/>
      <c r="J647" s="308"/>
      <c r="K647" s="308"/>
      <c r="L647" s="308"/>
      <c r="M647" s="308"/>
      <c r="N647" s="308"/>
      <c r="O647" s="308"/>
      <c r="P647" s="308"/>
      <c r="Q647" s="308"/>
      <c r="R647" s="308"/>
      <c r="S647" s="308"/>
      <c r="T647" s="308"/>
      <c r="U647" s="308"/>
      <c r="V647" s="308"/>
      <c r="W647" s="308"/>
      <c r="X647" s="308"/>
      <c r="Y647" s="308"/>
      <c r="Z647" s="309"/>
      <c r="AA647" s="309"/>
      <c r="AB647" s="308"/>
      <c r="AC647" s="308"/>
    </row>
    <row r="648" hidden="1">
      <c r="A648" s="308"/>
      <c r="B648" s="308"/>
      <c r="C648" s="308"/>
      <c r="D648" s="332"/>
      <c r="E648" s="308"/>
      <c r="F648" s="319"/>
      <c r="G648" s="319"/>
      <c r="H648" s="319"/>
      <c r="I648" s="308"/>
      <c r="J648" s="308"/>
      <c r="K648" s="308"/>
      <c r="L648" s="308"/>
      <c r="M648" s="308"/>
      <c r="N648" s="308"/>
      <c r="O648" s="308"/>
      <c r="P648" s="308"/>
      <c r="Q648" s="308"/>
      <c r="R648" s="308"/>
      <c r="S648" s="308"/>
      <c r="T648" s="308"/>
      <c r="U648" s="308"/>
      <c r="V648" s="308"/>
      <c r="W648" s="308"/>
      <c r="X648" s="308"/>
      <c r="Y648" s="308"/>
      <c r="Z648" s="309"/>
      <c r="AA648" s="309"/>
      <c r="AB648" s="308"/>
      <c r="AC648" s="308"/>
    </row>
    <row r="649" hidden="1">
      <c r="A649" s="308"/>
      <c r="B649" s="308"/>
      <c r="C649" s="308"/>
      <c r="D649" s="332"/>
      <c r="E649" s="308"/>
      <c r="F649" s="319"/>
      <c r="G649" s="319"/>
      <c r="H649" s="319"/>
      <c r="I649" s="308"/>
      <c r="J649" s="308"/>
      <c r="K649" s="308"/>
      <c r="L649" s="308"/>
      <c r="M649" s="308"/>
      <c r="N649" s="308"/>
      <c r="O649" s="308"/>
      <c r="P649" s="308"/>
      <c r="Q649" s="308"/>
      <c r="R649" s="308"/>
      <c r="S649" s="308"/>
      <c r="T649" s="308"/>
      <c r="U649" s="308"/>
      <c r="V649" s="308"/>
      <c r="W649" s="308"/>
      <c r="X649" s="308"/>
      <c r="Y649" s="308"/>
      <c r="Z649" s="309"/>
      <c r="AA649" s="309"/>
      <c r="AB649" s="308"/>
      <c r="AC649" s="308"/>
    </row>
    <row r="650" hidden="1">
      <c r="A650" s="308"/>
      <c r="B650" s="308"/>
      <c r="C650" s="308"/>
      <c r="D650" s="332"/>
      <c r="E650" s="308"/>
      <c r="F650" s="319"/>
      <c r="G650" s="319"/>
      <c r="H650" s="319"/>
      <c r="I650" s="308"/>
      <c r="J650" s="308"/>
      <c r="K650" s="308"/>
      <c r="L650" s="308"/>
      <c r="M650" s="308"/>
      <c r="N650" s="308"/>
      <c r="O650" s="308"/>
      <c r="P650" s="308"/>
      <c r="Q650" s="308"/>
      <c r="R650" s="308"/>
      <c r="S650" s="308"/>
      <c r="T650" s="308"/>
      <c r="U650" s="308"/>
      <c r="V650" s="308"/>
      <c r="W650" s="308"/>
      <c r="X650" s="308"/>
      <c r="Y650" s="308"/>
      <c r="Z650" s="309"/>
      <c r="AA650" s="309"/>
      <c r="AB650" s="308"/>
      <c r="AC650" s="308"/>
    </row>
    <row r="651" hidden="1">
      <c r="A651" s="308"/>
      <c r="B651" s="308"/>
      <c r="C651" s="308"/>
      <c r="D651" s="332"/>
      <c r="E651" s="308"/>
      <c r="F651" s="319"/>
      <c r="G651" s="319"/>
      <c r="H651" s="319"/>
      <c r="I651" s="308"/>
      <c r="J651" s="308"/>
      <c r="K651" s="308"/>
      <c r="L651" s="308"/>
      <c r="M651" s="308"/>
      <c r="N651" s="308"/>
      <c r="O651" s="308"/>
      <c r="P651" s="308"/>
      <c r="Q651" s="308"/>
      <c r="R651" s="308"/>
      <c r="S651" s="308"/>
      <c r="T651" s="308"/>
      <c r="U651" s="308"/>
      <c r="V651" s="308"/>
      <c r="W651" s="308"/>
      <c r="X651" s="308"/>
      <c r="Y651" s="308"/>
      <c r="Z651" s="309"/>
      <c r="AA651" s="309"/>
      <c r="AB651" s="308"/>
      <c r="AC651" s="308"/>
    </row>
    <row r="652" hidden="1">
      <c r="A652" s="308"/>
      <c r="B652" s="308"/>
      <c r="C652" s="308"/>
      <c r="D652" s="332"/>
      <c r="E652" s="308"/>
      <c r="F652" s="319"/>
      <c r="G652" s="319"/>
      <c r="H652" s="319"/>
      <c r="I652" s="308"/>
      <c r="J652" s="308"/>
      <c r="K652" s="308"/>
      <c r="L652" s="308"/>
      <c r="M652" s="308"/>
      <c r="N652" s="308"/>
      <c r="O652" s="308"/>
      <c r="P652" s="308"/>
      <c r="Q652" s="308"/>
      <c r="R652" s="308"/>
      <c r="S652" s="308"/>
      <c r="T652" s="308"/>
      <c r="U652" s="308"/>
      <c r="V652" s="308"/>
      <c r="W652" s="308"/>
      <c r="X652" s="308"/>
      <c r="Y652" s="308"/>
      <c r="Z652" s="309"/>
      <c r="AA652" s="309"/>
      <c r="AB652" s="308"/>
      <c r="AC652" s="308"/>
    </row>
    <row r="653" hidden="1">
      <c r="A653" s="308"/>
      <c r="B653" s="308"/>
      <c r="C653" s="308"/>
      <c r="D653" s="332"/>
      <c r="E653" s="308"/>
      <c r="F653" s="319"/>
      <c r="G653" s="319"/>
      <c r="H653" s="319"/>
      <c r="I653" s="308"/>
      <c r="J653" s="308"/>
      <c r="K653" s="308"/>
      <c r="L653" s="308"/>
      <c r="M653" s="308"/>
      <c r="N653" s="308"/>
      <c r="O653" s="308"/>
      <c r="P653" s="308"/>
      <c r="Q653" s="308"/>
      <c r="R653" s="308"/>
      <c r="S653" s="308"/>
      <c r="T653" s="308"/>
      <c r="U653" s="308"/>
      <c r="V653" s="308"/>
      <c r="W653" s="308"/>
      <c r="X653" s="308"/>
      <c r="Y653" s="308"/>
      <c r="Z653" s="309"/>
      <c r="AA653" s="309"/>
      <c r="AB653" s="308"/>
      <c r="AC653" s="308"/>
    </row>
    <row r="654" hidden="1">
      <c r="A654" s="308"/>
      <c r="B654" s="308"/>
      <c r="C654" s="308"/>
      <c r="D654" s="332"/>
      <c r="E654" s="308"/>
      <c r="F654" s="319"/>
      <c r="G654" s="319"/>
      <c r="H654" s="319"/>
      <c r="I654" s="308"/>
      <c r="J654" s="308"/>
      <c r="K654" s="308"/>
      <c r="L654" s="308"/>
      <c r="M654" s="308"/>
      <c r="N654" s="308"/>
      <c r="O654" s="308"/>
      <c r="P654" s="308"/>
      <c r="Q654" s="308"/>
      <c r="R654" s="308"/>
      <c r="S654" s="308"/>
      <c r="T654" s="308"/>
      <c r="U654" s="308"/>
      <c r="V654" s="308"/>
      <c r="W654" s="308"/>
      <c r="X654" s="308"/>
      <c r="Y654" s="308"/>
      <c r="Z654" s="309"/>
      <c r="AA654" s="309"/>
      <c r="AB654" s="308"/>
      <c r="AC654" s="308"/>
    </row>
    <row r="655" hidden="1">
      <c r="A655" s="308"/>
      <c r="B655" s="308"/>
      <c r="C655" s="308"/>
      <c r="D655" s="332"/>
      <c r="E655" s="308"/>
      <c r="F655" s="319"/>
      <c r="G655" s="319"/>
      <c r="H655" s="319"/>
      <c r="I655" s="308"/>
      <c r="J655" s="308"/>
      <c r="K655" s="308"/>
      <c r="L655" s="308"/>
      <c r="M655" s="308"/>
      <c r="N655" s="308"/>
      <c r="O655" s="308"/>
      <c r="P655" s="308"/>
      <c r="Q655" s="308"/>
      <c r="R655" s="308"/>
      <c r="S655" s="308"/>
      <c r="T655" s="308"/>
      <c r="U655" s="308"/>
      <c r="V655" s="308"/>
      <c r="W655" s="308"/>
      <c r="X655" s="308"/>
      <c r="Y655" s="308"/>
      <c r="Z655" s="309"/>
      <c r="AA655" s="309"/>
      <c r="AB655" s="308"/>
      <c r="AC655" s="308"/>
    </row>
    <row r="656" hidden="1">
      <c r="A656" s="308"/>
      <c r="B656" s="308"/>
      <c r="C656" s="308"/>
      <c r="D656" s="332"/>
      <c r="E656" s="308"/>
      <c r="F656" s="319"/>
      <c r="G656" s="319"/>
      <c r="H656" s="319"/>
      <c r="I656" s="308"/>
      <c r="J656" s="308"/>
      <c r="K656" s="308"/>
      <c r="L656" s="308"/>
      <c r="M656" s="308"/>
      <c r="N656" s="308"/>
      <c r="O656" s="308"/>
      <c r="P656" s="308"/>
      <c r="Q656" s="308"/>
      <c r="R656" s="308"/>
      <c r="S656" s="308"/>
      <c r="T656" s="308"/>
      <c r="U656" s="308"/>
      <c r="V656" s="308"/>
      <c r="W656" s="308"/>
      <c r="X656" s="308"/>
      <c r="Y656" s="308"/>
      <c r="Z656" s="309"/>
      <c r="AA656" s="309"/>
      <c r="AB656" s="308"/>
      <c r="AC656" s="308"/>
    </row>
    <row r="657" hidden="1">
      <c r="A657" s="308"/>
      <c r="B657" s="308"/>
      <c r="C657" s="308"/>
      <c r="D657" s="332"/>
      <c r="E657" s="308"/>
      <c r="F657" s="319"/>
      <c r="G657" s="319"/>
      <c r="H657" s="319"/>
      <c r="I657" s="308"/>
      <c r="J657" s="308"/>
      <c r="K657" s="308"/>
      <c r="L657" s="308"/>
      <c r="M657" s="308"/>
      <c r="N657" s="308"/>
      <c r="O657" s="308"/>
      <c r="P657" s="308"/>
      <c r="Q657" s="308"/>
      <c r="R657" s="308"/>
      <c r="S657" s="308"/>
      <c r="T657" s="308"/>
      <c r="U657" s="308"/>
      <c r="V657" s="308"/>
      <c r="W657" s="308"/>
      <c r="X657" s="308"/>
      <c r="Y657" s="308"/>
      <c r="Z657" s="309"/>
      <c r="AA657" s="309"/>
      <c r="AB657" s="308"/>
      <c r="AC657" s="308"/>
    </row>
    <row r="658" hidden="1">
      <c r="A658" s="308"/>
      <c r="B658" s="308"/>
      <c r="C658" s="308"/>
      <c r="D658" s="332"/>
      <c r="E658" s="308"/>
      <c r="F658" s="319"/>
      <c r="G658" s="319"/>
      <c r="H658" s="319"/>
      <c r="I658" s="308"/>
      <c r="J658" s="308"/>
      <c r="K658" s="308"/>
      <c r="L658" s="308"/>
      <c r="M658" s="308"/>
      <c r="N658" s="308"/>
      <c r="O658" s="308"/>
      <c r="P658" s="308"/>
      <c r="Q658" s="308"/>
      <c r="R658" s="308"/>
      <c r="S658" s="308"/>
      <c r="T658" s="308"/>
      <c r="U658" s="308"/>
      <c r="V658" s="308"/>
      <c r="W658" s="308"/>
      <c r="X658" s="308"/>
      <c r="Y658" s="308"/>
      <c r="Z658" s="309"/>
      <c r="AA658" s="309"/>
      <c r="AB658" s="308"/>
      <c r="AC658" s="308"/>
    </row>
    <row r="659" hidden="1">
      <c r="A659" s="308"/>
      <c r="B659" s="308"/>
      <c r="C659" s="308"/>
      <c r="D659" s="332"/>
      <c r="E659" s="308"/>
      <c r="F659" s="319"/>
      <c r="G659" s="319"/>
      <c r="H659" s="319"/>
      <c r="I659" s="308"/>
      <c r="J659" s="308"/>
      <c r="K659" s="308"/>
      <c r="L659" s="308"/>
      <c r="M659" s="308"/>
      <c r="N659" s="308"/>
      <c r="O659" s="308"/>
      <c r="P659" s="308"/>
      <c r="Q659" s="308"/>
      <c r="R659" s="308"/>
      <c r="S659" s="308"/>
      <c r="T659" s="308"/>
      <c r="U659" s="308"/>
      <c r="V659" s="308"/>
      <c r="W659" s="308"/>
      <c r="X659" s="308"/>
      <c r="Y659" s="308"/>
      <c r="Z659" s="309"/>
      <c r="AA659" s="309"/>
      <c r="AB659" s="308"/>
      <c r="AC659" s="308"/>
    </row>
    <row r="660" hidden="1">
      <c r="A660" s="308"/>
      <c r="B660" s="308"/>
      <c r="C660" s="308"/>
      <c r="D660" s="332"/>
      <c r="E660" s="308"/>
      <c r="F660" s="319"/>
      <c r="G660" s="319"/>
      <c r="H660" s="319"/>
      <c r="I660" s="308"/>
      <c r="J660" s="308"/>
      <c r="K660" s="308"/>
      <c r="L660" s="308"/>
      <c r="M660" s="308"/>
      <c r="N660" s="308"/>
      <c r="O660" s="308"/>
      <c r="P660" s="308"/>
      <c r="Q660" s="308"/>
      <c r="R660" s="308"/>
      <c r="S660" s="308"/>
      <c r="T660" s="308"/>
      <c r="U660" s="308"/>
      <c r="V660" s="308"/>
      <c r="W660" s="308"/>
      <c r="X660" s="308"/>
      <c r="Y660" s="308"/>
      <c r="Z660" s="309"/>
      <c r="AA660" s="309"/>
      <c r="AB660" s="308"/>
      <c r="AC660" s="308"/>
    </row>
    <row r="661" hidden="1">
      <c r="A661" s="308"/>
      <c r="B661" s="308"/>
      <c r="C661" s="308"/>
      <c r="D661" s="332"/>
      <c r="E661" s="308"/>
      <c r="F661" s="319"/>
      <c r="G661" s="319"/>
      <c r="H661" s="319"/>
      <c r="I661" s="308"/>
      <c r="J661" s="308"/>
      <c r="K661" s="308"/>
      <c r="L661" s="308"/>
      <c r="M661" s="308"/>
      <c r="N661" s="308"/>
      <c r="O661" s="308"/>
      <c r="P661" s="308"/>
      <c r="Q661" s="308"/>
      <c r="R661" s="308"/>
      <c r="S661" s="308"/>
      <c r="T661" s="308"/>
      <c r="U661" s="308"/>
      <c r="V661" s="308"/>
      <c r="W661" s="308"/>
      <c r="X661" s="308"/>
      <c r="Y661" s="308"/>
      <c r="Z661" s="309"/>
      <c r="AA661" s="309"/>
      <c r="AB661" s="308"/>
      <c r="AC661" s="308"/>
    </row>
    <row r="662" hidden="1">
      <c r="A662" s="308"/>
      <c r="B662" s="308"/>
      <c r="C662" s="308"/>
      <c r="D662" s="332"/>
      <c r="E662" s="308"/>
      <c r="F662" s="319"/>
      <c r="G662" s="319"/>
      <c r="H662" s="319"/>
      <c r="I662" s="308"/>
      <c r="J662" s="308"/>
      <c r="K662" s="308"/>
      <c r="L662" s="308"/>
      <c r="M662" s="308"/>
      <c r="N662" s="308"/>
      <c r="O662" s="308"/>
      <c r="P662" s="308"/>
      <c r="Q662" s="308"/>
      <c r="R662" s="308"/>
      <c r="S662" s="308"/>
      <c r="T662" s="308"/>
      <c r="U662" s="308"/>
      <c r="V662" s="308"/>
      <c r="W662" s="308"/>
      <c r="X662" s="308"/>
      <c r="Y662" s="308"/>
      <c r="Z662" s="309"/>
      <c r="AA662" s="309"/>
      <c r="AB662" s="308"/>
      <c r="AC662" s="308"/>
    </row>
    <row r="663" hidden="1">
      <c r="A663" s="308"/>
      <c r="B663" s="308"/>
      <c r="C663" s="308"/>
      <c r="D663" s="332"/>
      <c r="E663" s="308"/>
      <c r="F663" s="319"/>
      <c r="G663" s="319"/>
      <c r="H663" s="319"/>
      <c r="I663" s="308"/>
      <c r="J663" s="308"/>
      <c r="K663" s="308"/>
      <c r="L663" s="308"/>
      <c r="M663" s="308"/>
      <c r="N663" s="308"/>
      <c r="O663" s="308"/>
      <c r="P663" s="308"/>
      <c r="Q663" s="308"/>
      <c r="R663" s="308"/>
      <c r="S663" s="308"/>
      <c r="T663" s="308"/>
      <c r="U663" s="308"/>
      <c r="V663" s="308"/>
      <c r="W663" s="308"/>
      <c r="X663" s="308"/>
      <c r="Y663" s="308"/>
      <c r="Z663" s="309"/>
      <c r="AA663" s="309"/>
      <c r="AB663" s="308"/>
      <c r="AC663" s="308"/>
    </row>
    <row r="664" hidden="1">
      <c r="A664" s="308"/>
      <c r="B664" s="308"/>
      <c r="C664" s="308"/>
      <c r="D664" s="332"/>
      <c r="E664" s="308"/>
      <c r="F664" s="319"/>
      <c r="G664" s="319"/>
      <c r="H664" s="319"/>
      <c r="I664" s="308"/>
      <c r="J664" s="308"/>
      <c r="K664" s="308"/>
      <c r="L664" s="308"/>
      <c r="M664" s="308"/>
      <c r="N664" s="308"/>
      <c r="O664" s="308"/>
      <c r="P664" s="308"/>
      <c r="Q664" s="308"/>
      <c r="R664" s="308"/>
      <c r="S664" s="308"/>
      <c r="T664" s="308"/>
      <c r="U664" s="308"/>
      <c r="V664" s="308"/>
      <c r="W664" s="308"/>
      <c r="X664" s="308"/>
      <c r="Y664" s="308"/>
      <c r="Z664" s="309"/>
      <c r="AA664" s="309"/>
      <c r="AB664" s="308"/>
      <c r="AC664" s="308"/>
    </row>
    <row r="665" hidden="1">
      <c r="A665" s="308"/>
      <c r="B665" s="308"/>
      <c r="C665" s="308"/>
      <c r="D665" s="332"/>
      <c r="E665" s="308"/>
      <c r="F665" s="319"/>
      <c r="G665" s="319"/>
      <c r="H665" s="319"/>
      <c r="I665" s="308"/>
      <c r="J665" s="308"/>
      <c r="K665" s="308"/>
      <c r="L665" s="308"/>
      <c r="M665" s="308"/>
      <c r="N665" s="308"/>
      <c r="O665" s="308"/>
      <c r="P665" s="308"/>
      <c r="Q665" s="308"/>
      <c r="R665" s="308"/>
      <c r="S665" s="308"/>
      <c r="T665" s="308"/>
      <c r="U665" s="308"/>
      <c r="V665" s="308"/>
      <c r="W665" s="308"/>
      <c r="X665" s="308"/>
      <c r="Y665" s="308"/>
      <c r="Z665" s="309"/>
      <c r="AA665" s="309"/>
      <c r="AB665" s="308"/>
      <c r="AC665" s="308"/>
    </row>
    <row r="666" hidden="1">
      <c r="A666" s="308"/>
      <c r="B666" s="308"/>
      <c r="C666" s="308"/>
      <c r="D666" s="332"/>
      <c r="E666" s="308"/>
      <c r="F666" s="319"/>
      <c r="G666" s="319"/>
      <c r="H666" s="319"/>
      <c r="I666" s="308"/>
      <c r="J666" s="308"/>
      <c r="K666" s="308"/>
      <c r="L666" s="308"/>
      <c r="M666" s="308"/>
      <c r="N666" s="308"/>
      <c r="O666" s="308"/>
      <c r="P666" s="308"/>
      <c r="Q666" s="308"/>
      <c r="R666" s="308"/>
      <c r="S666" s="308"/>
      <c r="T666" s="308"/>
      <c r="U666" s="308"/>
      <c r="V666" s="308"/>
      <c r="W666" s="308"/>
      <c r="X666" s="308"/>
      <c r="Y666" s="308"/>
      <c r="Z666" s="309"/>
      <c r="AA666" s="309"/>
      <c r="AB666" s="308"/>
      <c r="AC666" s="308"/>
    </row>
    <row r="667" hidden="1">
      <c r="A667" s="308"/>
      <c r="B667" s="308"/>
      <c r="C667" s="308"/>
      <c r="D667" s="332"/>
      <c r="E667" s="308"/>
      <c r="F667" s="319"/>
      <c r="G667" s="319"/>
      <c r="H667" s="319"/>
      <c r="I667" s="308"/>
      <c r="J667" s="308"/>
      <c r="K667" s="308"/>
      <c r="L667" s="308"/>
      <c r="M667" s="308"/>
      <c r="N667" s="308"/>
      <c r="O667" s="308"/>
      <c r="P667" s="308"/>
      <c r="Q667" s="308"/>
      <c r="R667" s="308"/>
      <c r="S667" s="308"/>
      <c r="T667" s="308"/>
      <c r="U667" s="308"/>
      <c r="V667" s="308"/>
      <c r="W667" s="308"/>
      <c r="X667" s="308"/>
      <c r="Y667" s="308"/>
      <c r="Z667" s="309"/>
      <c r="AA667" s="309"/>
      <c r="AB667" s="308"/>
      <c r="AC667" s="308"/>
    </row>
    <row r="668" hidden="1">
      <c r="A668" s="308"/>
      <c r="B668" s="308"/>
      <c r="C668" s="308"/>
      <c r="D668" s="332"/>
      <c r="E668" s="308"/>
      <c r="F668" s="319"/>
      <c r="G668" s="319"/>
      <c r="H668" s="319"/>
      <c r="I668" s="308"/>
      <c r="J668" s="308"/>
      <c r="K668" s="308"/>
      <c r="L668" s="308"/>
      <c r="M668" s="308"/>
      <c r="N668" s="308"/>
      <c r="O668" s="308"/>
      <c r="P668" s="308"/>
      <c r="Q668" s="308"/>
      <c r="R668" s="308"/>
      <c r="S668" s="308"/>
      <c r="T668" s="308"/>
      <c r="U668" s="308"/>
      <c r="V668" s="308"/>
      <c r="W668" s="308"/>
      <c r="X668" s="308"/>
      <c r="Y668" s="308"/>
      <c r="Z668" s="309"/>
      <c r="AA668" s="309"/>
      <c r="AB668" s="308"/>
      <c r="AC668" s="308"/>
    </row>
    <row r="669" hidden="1">
      <c r="A669" s="308"/>
      <c r="B669" s="308"/>
      <c r="C669" s="308"/>
      <c r="D669" s="332"/>
      <c r="E669" s="308"/>
      <c r="F669" s="319"/>
      <c r="G669" s="319"/>
      <c r="H669" s="319"/>
      <c r="I669" s="308"/>
      <c r="J669" s="308"/>
      <c r="K669" s="308"/>
      <c r="L669" s="308"/>
      <c r="M669" s="308"/>
      <c r="N669" s="308"/>
      <c r="O669" s="308"/>
      <c r="P669" s="308"/>
      <c r="Q669" s="308"/>
      <c r="R669" s="308"/>
      <c r="S669" s="308"/>
      <c r="T669" s="308"/>
      <c r="U669" s="308"/>
      <c r="V669" s="308"/>
      <c r="W669" s="308"/>
      <c r="X669" s="308"/>
      <c r="Y669" s="308"/>
      <c r="Z669" s="309"/>
      <c r="AA669" s="309"/>
      <c r="AB669" s="308"/>
      <c r="AC669" s="308"/>
    </row>
    <row r="670" hidden="1">
      <c r="A670" s="308"/>
      <c r="B670" s="308"/>
      <c r="C670" s="308"/>
      <c r="D670" s="332"/>
      <c r="E670" s="308"/>
      <c r="F670" s="319"/>
      <c r="G670" s="319"/>
      <c r="H670" s="319"/>
      <c r="I670" s="308"/>
      <c r="J670" s="308"/>
      <c r="K670" s="308"/>
      <c r="L670" s="308"/>
      <c r="M670" s="308"/>
      <c r="N670" s="308"/>
      <c r="O670" s="308"/>
      <c r="P670" s="308"/>
      <c r="Q670" s="308"/>
      <c r="R670" s="308"/>
      <c r="S670" s="308"/>
      <c r="T670" s="308"/>
      <c r="U670" s="308"/>
      <c r="V670" s="308"/>
      <c r="W670" s="308"/>
      <c r="X670" s="308"/>
      <c r="Y670" s="308"/>
      <c r="Z670" s="309"/>
      <c r="AA670" s="309"/>
      <c r="AB670" s="308"/>
      <c r="AC670" s="308"/>
    </row>
    <row r="671" hidden="1">
      <c r="A671" s="308"/>
      <c r="B671" s="308"/>
      <c r="C671" s="308"/>
      <c r="D671" s="332"/>
      <c r="E671" s="308"/>
      <c r="F671" s="319"/>
      <c r="G671" s="319"/>
      <c r="H671" s="319"/>
      <c r="I671" s="308"/>
      <c r="J671" s="308"/>
      <c r="K671" s="308"/>
      <c r="L671" s="308"/>
      <c r="M671" s="308"/>
      <c r="N671" s="308"/>
      <c r="O671" s="308"/>
      <c r="P671" s="308"/>
      <c r="Q671" s="308"/>
      <c r="R671" s="308"/>
      <c r="S671" s="308"/>
      <c r="T671" s="308"/>
      <c r="U671" s="308"/>
      <c r="V671" s="308"/>
      <c r="W671" s="308"/>
      <c r="X671" s="308"/>
      <c r="Y671" s="308"/>
      <c r="Z671" s="309"/>
      <c r="AA671" s="309"/>
      <c r="AB671" s="308"/>
      <c r="AC671" s="308"/>
    </row>
    <row r="672" hidden="1">
      <c r="A672" s="308"/>
      <c r="B672" s="308"/>
      <c r="C672" s="308"/>
      <c r="D672" s="332"/>
      <c r="E672" s="308"/>
      <c r="F672" s="319"/>
      <c r="G672" s="319"/>
      <c r="H672" s="319"/>
      <c r="I672" s="308"/>
      <c r="J672" s="308"/>
      <c r="K672" s="308"/>
      <c r="L672" s="308"/>
      <c r="M672" s="308"/>
      <c r="N672" s="308"/>
      <c r="O672" s="308"/>
      <c r="P672" s="308"/>
      <c r="Q672" s="308"/>
      <c r="R672" s="308"/>
      <c r="S672" s="308"/>
      <c r="T672" s="308"/>
      <c r="U672" s="308"/>
      <c r="V672" s="308"/>
      <c r="W672" s="308"/>
      <c r="X672" s="308"/>
      <c r="Y672" s="308"/>
      <c r="Z672" s="309"/>
      <c r="AA672" s="309"/>
      <c r="AB672" s="308"/>
      <c r="AC672" s="308"/>
    </row>
    <row r="673" hidden="1">
      <c r="A673" s="308"/>
      <c r="B673" s="308"/>
      <c r="C673" s="308"/>
      <c r="D673" s="332"/>
      <c r="E673" s="308"/>
      <c r="F673" s="319"/>
      <c r="G673" s="319"/>
      <c r="H673" s="319"/>
      <c r="I673" s="308"/>
      <c r="J673" s="308"/>
      <c r="K673" s="308"/>
      <c r="L673" s="308"/>
      <c r="M673" s="308"/>
      <c r="N673" s="308"/>
      <c r="O673" s="308"/>
      <c r="P673" s="308"/>
      <c r="Q673" s="308"/>
      <c r="R673" s="308"/>
      <c r="S673" s="308"/>
      <c r="T673" s="308"/>
      <c r="U673" s="308"/>
      <c r="V673" s="308"/>
      <c r="W673" s="308"/>
      <c r="X673" s="308"/>
      <c r="Y673" s="308"/>
      <c r="Z673" s="309"/>
      <c r="AA673" s="309"/>
      <c r="AB673" s="308"/>
      <c r="AC673" s="308"/>
    </row>
    <row r="674" hidden="1">
      <c r="A674" s="308"/>
      <c r="B674" s="308"/>
      <c r="C674" s="308"/>
      <c r="D674" s="332"/>
      <c r="E674" s="308"/>
      <c r="F674" s="319"/>
      <c r="G674" s="319"/>
      <c r="H674" s="319"/>
      <c r="I674" s="308"/>
      <c r="J674" s="308"/>
      <c r="K674" s="308"/>
      <c r="L674" s="308"/>
      <c r="M674" s="308"/>
      <c r="N674" s="308"/>
      <c r="O674" s="308"/>
      <c r="P674" s="308"/>
      <c r="Q674" s="308"/>
      <c r="R674" s="308"/>
      <c r="S674" s="308"/>
      <c r="T674" s="308"/>
      <c r="U674" s="308"/>
      <c r="V674" s="308"/>
      <c r="W674" s="308"/>
      <c r="X674" s="308"/>
      <c r="Y674" s="308"/>
      <c r="Z674" s="309"/>
      <c r="AA674" s="309"/>
      <c r="AB674" s="308"/>
      <c r="AC674" s="308"/>
    </row>
    <row r="675" hidden="1">
      <c r="A675" s="308"/>
      <c r="B675" s="308"/>
      <c r="C675" s="308"/>
      <c r="D675" s="332"/>
      <c r="E675" s="308"/>
      <c r="F675" s="319"/>
      <c r="G675" s="319"/>
      <c r="H675" s="319"/>
      <c r="I675" s="308"/>
      <c r="J675" s="308"/>
      <c r="K675" s="308"/>
      <c r="L675" s="308"/>
      <c r="M675" s="308"/>
      <c r="N675" s="308"/>
      <c r="O675" s="308"/>
      <c r="P675" s="308"/>
      <c r="Q675" s="308"/>
      <c r="R675" s="308"/>
      <c r="S675" s="308"/>
      <c r="T675" s="308"/>
      <c r="U675" s="308"/>
      <c r="V675" s="308"/>
      <c r="W675" s="308"/>
      <c r="X675" s="308"/>
      <c r="Y675" s="308"/>
      <c r="Z675" s="309"/>
      <c r="AA675" s="309"/>
      <c r="AB675" s="308"/>
      <c r="AC675" s="308"/>
    </row>
    <row r="676" hidden="1">
      <c r="A676" s="308"/>
      <c r="B676" s="308"/>
      <c r="C676" s="308"/>
      <c r="D676" s="332"/>
      <c r="E676" s="308"/>
      <c r="F676" s="319"/>
      <c r="G676" s="319"/>
      <c r="H676" s="319"/>
      <c r="I676" s="308"/>
      <c r="J676" s="308"/>
      <c r="K676" s="308"/>
      <c r="L676" s="308"/>
      <c r="M676" s="308"/>
      <c r="N676" s="308"/>
      <c r="O676" s="308"/>
      <c r="P676" s="308"/>
      <c r="Q676" s="308"/>
      <c r="R676" s="308"/>
      <c r="S676" s="308"/>
      <c r="T676" s="308"/>
      <c r="U676" s="308"/>
      <c r="V676" s="308"/>
      <c r="W676" s="308"/>
      <c r="X676" s="308"/>
      <c r="Y676" s="308"/>
      <c r="Z676" s="309"/>
      <c r="AA676" s="309"/>
      <c r="AB676" s="308"/>
      <c r="AC676" s="308"/>
    </row>
    <row r="677" hidden="1">
      <c r="A677" s="308"/>
      <c r="B677" s="308"/>
      <c r="C677" s="308"/>
      <c r="D677" s="332"/>
      <c r="E677" s="308"/>
      <c r="F677" s="319"/>
      <c r="G677" s="319"/>
      <c r="H677" s="319"/>
      <c r="I677" s="308"/>
      <c r="J677" s="308"/>
      <c r="K677" s="308"/>
      <c r="L677" s="308"/>
      <c r="M677" s="308"/>
      <c r="N677" s="308"/>
      <c r="O677" s="308"/>
      <c r="P677" s="308"/>
      <c r="Q677" s="308"/>
      <c r="R677" s="308"/>
      <c r="S677" s="308"/>
      <c r="T677" s="308"/>
      <c r="U677" s="308"/>
      <c r="V677" s="308"/>
      <c r="W677" s="308"/>
      <c r="X677" s="308"/>
      <c r="Y677" s="308"/>
      <c r="Z677" s="309"/>
      <c r="AA677" s="309"/>
      <c r="AB677" s="308"/>
      <c r="AC677" s="308"/>
    </row>
    <row r="678" hidden="1">
      <c r="A678" s="308"/>
      <c r="B678" s="308"/>
      <c r="C678" s="308"/>
      <c r="D678" s="332"/>
      <c r="E678" s="308"/>
      <c r="F678" s="319"/>
      <c r="G678" s="319"/>
      <c r="H678" s="319"/>
      <c r="I678" s="308"/>
      <c r="J678" s="308"/>
      <c r="K678" s="308"/>
      <c r="L678" s="308"/>
      <c r="M678" s="308"/>
      <c r="N678" s="308"/>
      <c r="O678" s="308"/>
      <c r="P678" s="308"/>
      <c r="Q678" s="308"/>
      <c r="R678" s="308"/>
      <c r="S678" s="308"/>
      <c r="T678" s="308"/>
      <c r="U678" s="308"/>
      <c r="V678" s="308"/>
      <c r="W678" s="308"/>
      <c r="X678" s="308"/>
      <c r="Y678" s="308"/>
      <c r="Z678" s="309"/>
      <c r="AA678" s="309"/>
      <c r="AB678" s="308"/>
      <c r="AC678" s="308"/>
    </row>
    <row r="679" hidden="1">
      <c r="A679" s="308"/>
      <c r="B679" s="308"/>
      <c r="C679" s="308"/>
      <c r="D679" s="332"/>
      <c r="E679" s="308"/>
      <c r="F679" s="319"/>
      <c r="G679" s="319"/>
      <c r="H679" s="319"/>
      <c r="I679" s="308"/>
      <c r="J679" s="308"/>
      <c r="K679" s="308"/>
      <c r="L679" s="308"/>
      <c r="M679" s="308"/>
      <c r="N679" s="308"/>
      <c r="O679" s="308"/>
      <c r="P679" s="308"/>
      <c r="Q679" s="308"/>
      <c r="R679" s="308"/>
      <c r="S679" s="308"/>
      <c r="T679" s="308"/>
      <c r="U679" s="308"/>
      <c r="V679" s="308"/>
      <c r="W679" s="308"/>
      <c r="X679" s="308"/>
      <c r="Y679" s="308"/>
      <c r="Z679" s="309"/>
      <c r="AA679" s="309"/>
      <c r="AB679" s="308"/>
      <c r="AC679" s="308"/>
    </row>
    <row r="680" hidden="1">
      <c r="A680" s="308"/>
      <c r="B680" s="308"/>
      <c r="C680" s="308"/>
      <c r="D680" s="332"/>
      <c r="E680" s="308"/>
      <c r="F680" s="319"/>
      <c r="G680" s="319"/>
      <c r="H680" s="319"/>
      <c r="I680" s="308"/>
      <c r="J680" s="308"/>
      <c r="K680" s="308"/>
      <c r="L680" s="308"/>
      <c r="M680" s="308"/>
      <c r="N680" s="308"/>
      <c r="O680" s="308"/>
      <c r="P680" s="308"/>
      <c r="Q680" s="308"/>
      <c r="R680" s="308"/>
      <c r="S680" s="308"/>
      <c r="T680" s="308"/>
      <c r="U680" s="308"/>
      <c r="V680" s="308"/>
      <c r="W680" s="308"/>
      <c r="X680" s="308"/>
      <c r="Y680" s="308"/>
      <c r="Z680" s="309"/>
      <c r="AA680" s="309"/>
      <c r="AB680" s="308"/>
      <c r="AC680" s="308"/>
    </row>
    <row r="681" hidden="1">
      <c r="A681" s="308"/>
      <c r="B681" s="308"/>
      <c r="C681" s="308"/>
      <c r="D681" s="332"/>
      <c r="E681" s="308"/>
      <c r="F681" s="319"/>
      <c r="G681" s="319"/>
      <c r="H681" s="319"/>
      <c r="I681" s="308"/>
      <c r="J681" s="308"/>
      <c r="K681" s="308"/>
      <c r="L681" s="308"/>
      <c r="M681" s="308"/>
      <c r="N681" s="308"/>
      <c r="O681" s="308"/>
      <c r="P681" s="308"/>
      <c r="Q681" s="308"/>
      <c r="R681" s="308"/>
      <c r="S681" s="308"/>
      <c r="T681" s="308"/>
      <c r="U681" s="308"/>
      <c r="V681" s="308"/>
      <c r="W681" s="308"/>
      <c r="X681" s="308"/>
      <c r="Y681" s="308"/>
      <c r="Z681" s="309"/>
      <c r="AA681" s="309"/>
      <c r="AB681" s="308"/>
      <c r="AC681" s="308"/>
    </row>
    <row r="682" hidden="1">
      <c r="A682" s="308"/>
      <c r="B682" s="308"/>
      <c r="C682" s="308"/>
      <c r="D682" s="332"/>
      <c r="E682" s="308"/>
      <c r="F682" s="319"/>
      <c r="G682" s="319"/>
      <c r="H682" s="319"/>
      <c r="I682" s="308"/>
      <c r="J682" s="308"/>
      <c r="K682" s="308"/>
      <c r="L682" s="308"/>
      <c r="M682" s="308"/>
      <c r="N682" s="308"/>
      <c r="O682" s="308"/>
      <c r="P682" s="308"/>
      <c r="Q682" s="308"/>
      <c r="R682" s="308"/>
      <c r="S682" s="308"/>
      <c r="T682" s="308"/>
      <c r="U682" s="308"/>
      <c r="V682" s="308"/>
      <c r="W682" s="308"/>
      <c r="X682" s="308"/>
      <c r="Y682" s="308"/>
      <c r="Z682" s="309"/>
      <c r="AA682" s="309"/>
      <c r="AB682" s="308"/>
      <c r="AC682" s="308"/>
    </row>
    <row r="683" hidden="1">
      <c r="A683" s="308"/>
      <c r="B683" s="308"/>
      <c r="C683" s="308"/>
      <c r="D683" s="332"/>
      <c r="E683" s="308"/>
      <c r="F683" s="319"/>
      <c r="G683" s="319"/>
      <c r="H683" s="319"/>
      <c r="I683" s="308"/>
      <c r="J683" s="308"/>
      <c r="K683" s="308"/>
      <c r="L683" s="308"/>
      <c r="M683" s="308"/>
      <c r="N683" s="308"/>
      <c r="O683" s="308"/>
      <c r="P683" s="308"/>
      <c r="Q683" s="308"/>
      <c r="R683" s="308"/>
      <c r="S683" s="308"/>
      <c r="T683" s="308"/>
      <c r="U683" s="308"/>
      <c r="V683" s="308"/>
      <c r="W683" s="308"/>
      <c r="X683" s="308"/>
      <c r="Y683" s="308"/>
      <c r="Z683" s="309"/>
      <c r="AA683" s="309"/>
      <c r="AB683" s="308"/>
      <c r="AC683" s="308"/>
    </row>
    <row r="684" hidden="1">
      <c r="A684" s="308"/>
      <c r="B684" s="308"/>
      <c r="C684" s="308"/>
      <c r="D684" s="332"/>
      <c r="E684" s="308"/>
      <c r="F684" s="319"/>
      <c r="G684" s="319"/>
      <c r="H684" s="319"/>
      <c r="I684" s="308"/>
      <c r="J684" s="308"/>
      <c r="K684" s="308"/>
      <c r="L684" s="308"/>
      <c r="M684" s="308"/>
      <c r="N684" s="308"/>
      <c r="O684" s="308"/>
      <c r="P684" s="308"/>
      <c r="Q684" s="308"/>
      <c r="R684" s="308"/>
      <c r="S684" s="308"/>
      <c r="T684" s="308"/>
      <c r="U684" s="308"/>
      <c r="V684" s="308"/>
      <c r="W684" s="308"/>
      <c r="X684" s="308"/>
      <c r="Y684" s="308"/>
      <c r="Z684" s="309"/>
      <c r="AA684" s="309"/>
      <c r="AB684" s="308"/>
      <c r="AC684" s="308"/>
    </row>
    <row r="685" hidden="1">
      <c r="A685" s="308"/>
      <c r="B685" s="308"/>
      <c r="C685" s="308"/>
      <c r="D685" s="332"/>
      <c r="E685" s="308"/>
      <c r="F685" s="319"/>
      <c r="G685" s="319"/>
      <c r="H685" s="319"/>
      <c r="I685" s="308"/>
      <c r="J685" s="308"/>
      <c r="K685" s="308"/>
      <c r="L685" s="308"/>
      <c r="M685" s="308"/>
      <c r="N685" s="308"/>
      <c r="O685" s="308"/>
      <c r="P685" s="308"/>
      <c r="Q685" s="308"/>
      <c r="R685" s="308"/>
      <c r="S685" s="308"/>
      <c r="T685" s="308"/>
      <c r="U685" s="308"/>
      <c r="V685" s="308"/>
      <c r="W685" s="308"/>
      <c r="X685" s="308"/>
      <c r="Y685" s="308"/>
      <c r="Z685" s="309"/>
      <c r="AA685" s="309"/>
      <c r="AB685" s="308"/>
      <c r="AC685" s="308"/>
    </row>
    <row r="686" hidden="1">
      <c r="A686" s="308"/>
      <c r="B686" s="308"/>
      <c r="C686" s="308"/>
      <c r="D686" s="332"/>
      <c r="E686" s="308"/>
      <c r="F686" s="319"/>
      <c r="G686" s="319"/>
      <c r="H686" s="319"/>
      <c r="I686" s="308"/>
      <c r="J686" s="308"/>
      <c r="K686" s="308"/>
      <c r="L686" s="308"/>
      <c r="M686" s="308"/>
      <c r="N686" s="308"/>
      <c r="O686" s="308"/>
      <c r="P686" s="308"/>
      <c r="Q686" s="308"/>
      <c r="R686" s="308"/>
      <c r="S686" s="308"/>
      <c r="T686" s="308"/>
      <c r="U686" s="308"/>
      <c r="V686" s="308"/>
      <c r="W686" s="308"/>
      <c r="X686" s="308"/>
      <c r="Y686" s="308"/>
      <c r="Z686" s="309"/>
      <c r="AA686" s="309"/>
      <c r="AB686" s="308"/>
      <c r="AC686" s="308"/>
    </row>
    <row r="687" hidden="1">
      <c r="A687" s="308"/>
      <c r="B687" s="308"/>
      <c r="C687" s="308"/>
      <c r="D687" s="332"/>
      <c r="E687" s="308"/>
      <c r="F687" s="319"/>
      <c r="G687" s="319"/>
      <c r="H687" s="319"/>
      <c r="I687" s="308"/>
      <c r="J687" s="308"/>
      <c r="K687" s="308"/>
      <c r="L687" s="308"/>
      <c r="M687" s="308"/>
      <c r="N687" s="308"/>
      <c r="O687" s="308"/>
      <c r="P687" s="308"/>
      <c r="Q687" s="308"/>
      <c r="R687" s="308"/>
      <c r="S687" s="308"/>
      <c r="T687" s="308"/>
      <c r="U687" s="308"/>
      <c r="V687" s="308"/>
      <c r="W687" s="308"/>
      <c r="X687" s="308"/>
      <c r="Y687" s="308"/>
      <c r="Z687" s="309"/>
      <c r="AA687" s="309"/>
      <c r="AB687" s="308"/>
      <c r="AC687" s="308"/>
    </row>
    <row r="688" hidden="1">
      <c r="A688" s="308"/>
      <c r="B688" s="308"/>
      <c r="C688" s="308"/>
      <c r="D688" s="332"/>
      <c r="E688" s="308"/>
      <c r="F688" s="319"/>
      <c r="G688" s="319"/>
      <c r="H688" s="319"/>
      <c r="I688" s="308"/>
      <c r="J688" s="308"/>
      <c r="K688" s="308"/>
      <c r="L688" s="308"/>
      <c r="M688" s="308"/>
      <c r="N688" s="308"/>
      <c r="O688" s="308"/>
      <c r="P688" s="308"/>
      <c r="Q688" s="308"/>
      <c r="R688" s="308"/>
      <c r="S688" s="308"/>
      <c r="T688" s="308"/>
      <c r="U688" s="308"/>
      <c r="V688" s="308"/>
      <c r="W688" s="308"/>
      <c r="X688" s="308"/>
      <c r="Y688" s="308"/>
      <c r="Z688" s="309"/>
      <c r="AA688" s="309"/>
      <c r="AB688" s="308"/>
      <c r="AC688" s="308"/>
    </row>
    <row r="689" hidden="1">
      <c r="A689" s="308"/>
      <c r="B689" s="308"/>
      <c r="C689" s="308"/>
      <c r="D689" s="332"/>
      <c r="E689" s="308"/>
      <c r="F689" s="319"/>
      <c r="G689" s="319"/>
      <c r="H689" s="319"/>
      <c r="I689" s="308"/>
      <c r="J689" s="308"/>
      <c r="K689" s="308"/>
      <c r="L689" s="308"/>
      <c r="M689" s="308"/>
      <c r="N689" s="308"/>
      <c r="O689" s="308"/>
      <c r="P689" s="308"/>
      <c r="Q689" s="308"/>
      <c r="R689" s="308"/>
      <c r="S689" s="308"/>
      <c r="T689" s="308"/>
      <c r="U689" s="308"/>
      <c r="V689" s="308"/>
      <c r="W689" s="308"/>
      <c r="X689" s="308"/>
      <c r="Y689" s="308"/>
      <c r="Z689" s="309"/>
      <c r="AA689" s="309"/>
      <c r="AB689" s="308"/>
      <c r="AC689" s="308"/>
    </row>
    <row r="690" hidden="1">
      <c r="A690" s="308"/>
      <c r="B690" s="308"/>
      <c r="C690" s="308"/>
      <c r="D690" s="332"/>
      <c r="E690" s="308"/>
      <c r="F690" s="319"/>
      <c r="G690" s="319"/>
      <c r="H690" s="319"/>
      <c r="I690" s="308"/>
      <c r="J690" s="308"/>
      <c r="K690" s="308"/>
      <c r="L690" s="308"/>
      <c r="M690" s="308"/>
      <c r="N690" s="308"/>
      <c r="O690" s="308"/>
      <c r="P690" s="308"/>
      <c r="Q690" s="308"/>
      <c r="R690" s="308"/>
      <c r="S690" s="308"/>
      <c r="T690" s="308"/>
      <c r="U690" s="308"/>
      <c r="V690" s="308"/>
      <c r="W690" s="308"/>
      <c r="X690" s="308"/>
      <c r="Y690" s="308"/>
      <c r="Z690" s="309"/>
      <c r="AA690" s="309"/>
      <c r="AB690" s="308"/>
      <c r="AC690" s="308"/>
    </row>
    <row r="691" hidden="1">
      <c r="A691" s="308"/>
      <c r="B691" s="308"/>
      <c r="C691" s="308"/>
      <c r="D691" s="332"/>
      <c r="E691" s="308"/>
      <c r="F691" s="319"/>
      <c r="G691" s="319"/>
      <c r="H691" s="319"/>
      <c r="I691" s="308"/>
      <c r="J691" s="308"/>
      <c r="K691" s="308"/>
      <c r="L691" s="308"/>
      <c r="M691" s="308"/>
      <c r="N691" s="308"/>
      <c r="O691" s="308"/>
      <c r="P691" s="308"/>
      <c r="Q691" s="308"/>
      <c r="R691" s="308"/>
      <c r="S691" s="308"/>
      <c r="T691" s="308"/>
      <c r="U691" s="308"/>
      <c r="V691" s="308"/>
      <c r="W691" s="308"/>
      <c r="X691" s="308"/>
      <c r="Y691" s="308"/>
      <c r="Z691" s="309"/>
      <c r="AA691" s="309"/>
      <c r="AB691" s="308"/>
      <c r="AC691" s="308"/>
    </row>
    <row r="692" hidden="1">
      <c r="A692" s="308"/>
      <c r="B692" s="308"/>
      <c r="C692" s="308"/>
      <c r="D692" s="332"/>
      <c r="E692" s="308"/>
      <c r="F692" s="319"/>
      <c r="G692" s="319"/>
      <c r="H692" s="319"/>
      <c r="I692" s="308"/>
      <c r="J692" s="308"/>
      <c r="K692" s="308"/>
      <c r="L692" s="308"/>
      <c r="M692" s="308"/>
      <c r="N692" s="308"/>
      <c r="O692" s="308"/>
      <c r="P692" s="308"/>
      <c r="Q692" s="308"/>
      <c r="R692" s="308"/>
      <c r="S692" s="308"/>
      <c r="T692" s="308"/>
      <c r="U692" s="308"/>
      <c r="V692" s="308"/>
      <c r="W692" s="308"/>
      <c r="X692" s="308"/>
      <c r="Y692" s="308"/>
      <c r="Z692" s="309"/>
      <c r="AA692" s="309"/>
      <c r="AB692" s="308"/>
      <c r="AC692" s="308"/>
    </row>
    <row r="693" hidden="1">
      <c r="A693" s="308"/>
      <c r="B693" s="308"/>
      <c r="C693" s="308"/>
      <c r="D693" s="332"/>
      <c r="E693" s="308"/>
      <c r="F693" s="319"/>
      <c r="G693" s="319"/>
      <c r="H693" s="319"/>
      <c r="I693" s="308"/>
      <c r="J693" s="308"/>
      <c r="K693" s="308"/>
      <c r="L693" s="308"/>
      <c r="M693" s="308"/>
      <c r="N693" s="308"/>
      <c r="O693" s="308"/>
      <c r="P693" s="308"/>
      <c r="Q693" s="308"/>
      <c r="R693" s="308"/>
      <c r="S693" s="308"/>
      <c r="T693" s="308"/>
      <c r="U693" s="308"/>
      <c r="V693" s="308"/>
      <c r="W693" s="308"/>
      <c r="X693" s="308"/>
      <c r="Y693" s="308"/>
      <c r="Z693" s="309"/>
      <c r="AA693" s="309"/>
      <c r="AB693" s="308"/>
      <c r="AC693" s="308"/>
    </row>
    <row r="694" hidden="1">
      <c r="A694" s="308"/>
      <c r="B694" s="308"/>
      <c r="C694" s="308"/>
      <c r="D694" s="332"/>
      <c r="E694" s="308"/>
      <c r="F694" s="319"/>
      <c r="G694" s="319"/>
      <c r="H694" s="319"/>
      <c r="I694" s="308"/>
      <c r="J694" s="308"/>
      <c r="K694" s="308"/>
      <c r="L694" s="308"/>
      <c r="M694" s="308"/>
      <c r="N694" s="308"/>
      <c r="O694" s="308"/>
      <c r="P694" s="308"/>
      <c r="Q694" s="308"/>
      <c r="R694" s="308"/>
      <c r="S694" s="308"/>
      <c r="T694" s="308"/>
      <c r="U694" s="308"/>
      <c r="V694" s="308"/>
      <c r="W694" s="308"/>
      <c r="X694" s="308"/>
      <c r="Y694" s="308"/>
      <c r="Z694" s="309"/>
      <c r="AA694" s="309"/>
      <c r="AB694" s="308"/>
      <c r="AC694" s="308"/>
    </row>
    <row r="695" hidden="1">
      <c r="A695" s="308"/>
      <c r="B695" s="308"/>
      <c r="C695" s="308"/>
      <c r="D695" s="332"/>
      <c r="E695" s="308"/>
      <c r="F695" s="319"/>
      <c r="G695" s="319"/>
      <c r="H695" s="319"/>
      <c r="I695" s="308"/>
      <c r="J695" s="308"/>
      <c r="K695" s="308"/>
      <c r="L695" s="308"/>
      <c r="M695" s="308"/>
      <c r="N695" s="308"/>
      <c r="O695" s="308"/>
      <c r="P695" s="308"/>
      <c r="Q695" s="308"/>
      <c r="R695" s="308"/>
      <c r="S695" s="308"/>
      <c r="T695" s="308"/>
      <c r="U695" s="308"/>
      <c r="V695" s="308"/>
      <c r="W695" s="308"/>
      <c r="X695" s="308"/>
      <c r="Y695" s="308"/>
      <c r="Z695" s="309"/>
      <c r="AA695" s="309"/>
      <c r="AB695" s="308"/>
      <c r="AC695" s="308"/>
    </row>
    <row r="696" hidden="1">
      <c r="A696" s="308"/>
      <c r="B696" s="308"/>
      <c r="C696" s="308"/>
      <c r="D696" s="332"/>
      <c r="E696" s="308"/>
      <c r="F696" s="319"/>
      <c r="G696" s="319"/>
      <c r="H696" s="319"/>
      <c r="I696" s="308"/>
      <c r="J696" s="308"/>
      <c r="K696" s="308"/>
      <c r="L696" s="308"/>
      <c r="M696" s="308"/>
      <c r="N696" s="308"/>
      <c r="O696" s="308"/>
      <c r="P696" s="308"/>
      <c r="Q696" s="308"/>
      <c r="R696" s="308"/>
      <c r="S696" s="308"/>
      <c r="T696" s="308"/>
      <c r="U696" s="308"/>
      <c r="V696" s="308"/>
      <c r="W696" s="308"/>
      <c r="X696" s="308"/>
      <c r="Y696" s="308"/>
      <c r="Z696" s="309"/>
      <c r="AA696" s="309"/>
      <c r="AB696" s="308"/>
      <c r="AC696" s="308"/>
    </row>
    <row r="697" hidden="1">
      <c r="A697" s="308"/>
      <c r="B697" s="308"/>
      <c r="C697" s="308"/>
      <c r="D697" s="332"/>
      <c r="E697" s="308"/>
      <c r="F697" s="319"/>
      <c r="G697" s="319"/>
      <c r="H697" s="319"/>
      <c r="I697" s="308"/>
      <c r="J697" s="308"/>
      <c r="K697" s="308"/>
      <c r="L697" s="308"/>
      <c r="M697" s="308"/>
      <c r="N697" s="308"/>
      <c r="O697" s="308"/>
      <c r="P697" s="308"/>
      <c r="Q697" s="308"/>
      <c r="R697" s="308"/>
      <c r="S697" s="308"/>
      <c r="T697" s="308"/>
      <c r="U697" s="308"/>
      <c r="V697" s="308"/>
      <c r="W697" s="308"/>
      <c r="X697" s="308"/>
      <c r="Y697" s="308"/>
      <c r="Z697" s="309"/>
      <c r="AA697" s="309"/>
      <c r="AB697" s="308"/>
      <c r="AC697" s="308"/>
    </row>
    <row r="698" hidden="1">
      <c r="A698" s="308"/>
      <c r="B698" s="308"/>
      <c r="C698" s="308"/>
      <c r="D698" s="332"/>
      <c r="E698" s="308"/>
      <c r="F698" s="319"/>
      <c r="G698" s="319"/>
      <c r="H698" s="319"/>
      <c r="I698" s="308"/>
      <c r="J698" s="308"/>
      <c r="K698" s="308"/>
      <c r="L698" s="308"/>
      <c r="M698" s="308"/>
      <c r="N698" s="308"/>
      <c r="O698" s="308"/>
      <c r="P698" s="308"/>
      <c r="Q698" s="308"/>
      <c r="R698" s="308"/>
      <c r="S698" s="308"/>
      <c r="T698" s="308"/>
      <c r="U698" s="308"/>
      <c r="V698" s="308"/>
      <c r="W698" s="308"/>
      <c r="X698" s="308"/>
      <c r="Y698" s="308"/>
      <c r="Z698" s="309"/>
      <c r="AA698" s="309"/>
      <c r="AB698" s="308"/>
      <c r="AC698" s="308"/>
    </row>
    <row r="699" hidden="1">
      <c r="A699" s="308"/>
      <c r="B699" s="308"/>
      <c r="C699" s="308"/>
      <c r="D699" s="332"/>
      <c r="E699" s="308"/>
      <c r="F699" s="319"/>
      <c r="G699" s="319"/>
      <c r="H699" s="319"/>
      <c r="I699" s="308"/>
      <c r="J699" s="308"/>
      <c r="K699" s="308"/>
      <c r="L699" s="308"/>
      <c r="M699" s="308"/>
      <c r="N699" s="308"/>
      <c r="O699" s="308"/>
      <c r="P699" s="308"/>
      <c r="Q699" s="308"/>
      <c r="R699" s="308"/>
      <c r="S699" s="308"/>
      <c r="T699" s="308"/>
      <c r="U699" s="308"/>
      <c r="V699" s="308"/>
      <c r="W699" s="308"/>
      <c r="X699" s="308"/>
      <c r="Y699" s="308"/>
      <c r="Z699" s="309"/>
      <c r="AA699" s="309"/>
      <c r="AB699" s="308"/>
      <c r="AC699" s="308"/>
    </row>
    <row r="700" hidden="1">
      <c r="A700" s="308"/>
      <c r="B700" s="308"/>
      <c r="C700" s="308"/>
      <c r="D700" s="332"/>
      <c r="E700" s="308"/>
      <c r="F700" s="319"/>
      <c r="G700" s="319"/>
      <c r="H700" s="319"/>
      <c r="I700" s="308"/>
      <c r="J700" s="308"/>
      <c r="K700" s="308"/>
      <c r="L700" s="308"/>
      <c r="M700" s="308"/>
      <c r="N700" s="308"/>
      <c r="O700" s="308"/>
      <c r="P700" s="308"/>
      <c r="Q700" s="308"/>
      <c r="R700" s="308"/>
      <c r="S700" s="308"/>
      <c r="T700" s="308"/>
      <c r="U700" s="308"/>
      <c r="V700" s="308"/>
      <c r="W700" s="308"/>
      <c r="X700" s="308"/>
      <c r="Y700" s="308"/>
      <c r="Z700" s="309"/>
      <c r="AA700" s="309"/>
      <c r="AB700" s="308"/>
      <c r="AC700" s="308"/>
    </row>
    <row r="701" hidden="1">
      <c r="A701" s="308"/>
      <c r="B701" s="308"/>
      <c r="C701" s="308"/>
      <c r="D701" s="332"/>
      <c r="E701" s="308"/>
      <c r="F701" s="319"/>
      <c r="G701" s="319"/>
      <c r="H701" s="319"/>
      <c r="I701" s="308"/>
      <c r="J701" s="308"/>
      <c r="K701" s="308"/>
      <c r="L701" s="308"/>
      <c r="M701" s="308"/>
      <c r="N701" s="308"/>
      <c r="O701" s="308"/>
      <c r="P701" s="308"/>
      <c r="Q701" s="308"/>
      <c r="R701" s="308"/>
      <c r="S701" s="308"/>
      <c r="T701" s="308"/>
      <c r="U701" s="308"/>
      <c r="V701" s="308"/>
      <c r="W701" s="308"/>
      <c r="X701" s="308"/>
      <c r="Y701" s="308"/>
      <c r="Z701" s="309"/>
      <c r="AA701" s="309"/>
      <c r="AB701" s="308"/>
      <c r="AC701" s="308"/>
    </row>
    <row r="702" hidden="1">
      <c r="A702" s="308"/>
      <c r="B702" s="308"/>
      <c r="C702" s="308"/>
      <c r="D702" s="332"/>
      <c r="E702" s="308"/>
      <c r="F702" s="319"/>
      <c r="G702" s="319"/>
      <c r="H702" s="319"/>
      <c r="I702" s="308"/>
      <c r="J702" s="308"/>
      <c r="K702" s="308"/>
      <c r="L702" s="308"/>
      <c r="M702" s="308"/>
      <c r="N702" s="308"/>
      <c r="O702" s="308"/>
      <c r="P702" s="308"/>
      <c r="Q702" s="308"/>
      <c r="R702" s="308"/>
      <c r="S702" s="308"/>
      <c r="T702" s="308"/>
      <c r="U702" s="308"/>
      <c r="V702" s="308"/>
      <c r="W702" s="308"/>
      <c r="X702" s="308"/>
      <c r="Y702" s="308"/>
      <c r="Z702" s="309"/>
      <c r="AA702" s="309"/>
      <c r="AB702" s="308"/>
      <c r="AC702" s="308"/>
    </row>
    <row r="703" hidden="1">
      <c r="A703" s="308"/>
      <c r="B703" s="308"/>
      <c r="C703" s="308"/>
      <c r="D703" s="332"/>
      <c r="E703" s="308"/>
      <c r="F703" s="319"/>
      <c r="G703" s="319"/>
      <c r="H703" s="319"/>
      <c r="I703" s="308"/>
      <c r="J703" s="308"/>
      <c r="K703" s="308"/>
      <c r="L703" s="308"/>
      <c r="M703" s="308"/>
      <c r="N703" s="308"/>
      <c r="O703" s="308"/>
      <c r="P703" s="308"/>
      <c r="Q703" s="308"/>
      <c r="R703" s="308"/>
      <c r="S703" s="308"/>
      <c r="T703" s="308"/>
      <c r="U703" s="308"/>
      <c r="V703" s="308"/>
      <c r="W703" s="308"/>
      <c r="X703" s="308"/>
      <c r="Y703" s="308"/>
      <c r="Z703" s="309"/>
      <c r="AA703" s="309"/>
      <c r="AB703" s="308"/>
      <c r="AC703" s="308"/>
    </row>
    <row r="704" hidden="1">
      <c r="A704" s="308"/>
      <c r="B704" s="308"/>
      <c r="C704" s="308"/>
      <c r="D704" s="332"/>
      <c r="E704" s="308"/>
      <c r="F704" s="319"/>
      <c r="G704" s="319"/>
      <c r="H704" s="319"/>
      <c r="I704" s="308"/>
      <c r="J704" s="308"/>
      <c r="K704" s="308"/>
      <c r="L704" s="308"/>
      <c r="M704" s="308"/>
      <c r="N704" s="308"/>
      <c r="O704" s="308"/>
      <c r="P704" s="308"/>
      <c r="Q704" s="308"/>
      <c r="R704" s="308"/>
      <c r="S704" s="308"/>
      <c r="T704" s="308"/>
      <c r="U704" s="308"/>
      <c r="V704" s="308"/>
      <c r="W704" s="308"/>
      <c r="X704" s="308"/>
      <c r="Y704" s="308"/>
      <c r="Z704" s="309"/>
      <c r="AA704" s="309"/>
      <c r="AB704" s="308"/>
      <c r="AC704" s="308"/>
    </row>
    <row r="705" hidden="1">
      <c r="A705" s="308"/>
      <c r="B705" s="308"/>
      <c r="C705" s="308"/>
      <c r="D705" s="332"/>
      <c r="E705" s="308"/>
      <c r="F705" s="319"/>
      <c r="G705" s="319"/>
      <c r="H705" s="319"/>
      <c r="I705" s="308"/>
      <c r="J705" s="308"/>
      <c r="K705" s="308"/>
      <c r="L705" s="308"/>
      <c r="M705" s="308"/>
      <c r="N705" s="308"/>
      <c r="O705" s="308"/>
      <c r="P705" s="308"/>
      <c r="Q705" s="308"/>
      <c r="R705" s="308"/>
      <c r="S705" s="308"/>
      <c r="T705" s="308"/>
      <c r="U705" s="308"/>
      <c r="V705" s="308"/>
      <c r="W705" s="308"/>
      <c r="X705" s="308"/>
      <c r="Y705" s="308"/>
      <c r="Z705" s="309"/>
      <c r="AA705" s="309"/>
      <c r="AB705" s="308"/>
      <c r="AC705" s="308"/>
    </row>
    <row r="706" hidden="1">
      <c r="A706" s="308"/>
      <c r="B706" s="308"/>
      <c r="C706" s="308"/>
      <c r="D706" s="332"/>
      <c r="E706" s="308"/>
      <c r="F706" s="319"/>
      <c r="G706" s="319"/>
      <c r="H706" s="319"/>
      <c r="I706" s="308"/>
      <c r="J706" s="308"/>
      <c r="K706" s="308"/>
      <c r="L706" s="308"/>
      <c r="M706" s="308"/>
      <c r="N706" s="308"/>
      <c r="O706" s="308"/>
      <c r="P706" s="308"/>
      <c r="Q706" s="308"/>
      <c r="R706" s="308"/>
      <c r="S706" s="308"/>
      <c r="T706" s="308"/>
      <c r="U706" s="308"/>
      <c r="V706" s="308"/>
      <c r="W706" s="308"/>
      <c r="X706" s="308"/>
      <c r="Y706" s="308"/>
      <c r="Z706" s="309"/>
      <c r="AA706" s="309"/>
      <c r="AB706" s="308"/>
      <c r="AC706" s="308"/>
    </row>
    <row r="707" hidden="1">
      <c r="A707" s="308"/>
      <c r="B707" s="308"/>
      <c r="C707" s="308"/>
      <c r="D707" s="332"/>
      <c r="E707" s="308"/>
      <c r="F707" s="319"/>
      <c r="G707" s="319"/>
      <c r="H707" s="319"/>
      <c r="I707" s="308"/>
      <c r="J707" s="308"/>
      <c r="K707" s="308"/>
      <c r="L707" s="308"/>
      <c r="M707" s="308"/>
      <c r="N707" s="308"/>
      <c r="O707" s="308"/>
      <c r="P707" s="308"/>
      <c r="Q707" s="308"/>
      <c r="R707" s="308"/>
      <c r="S707" s="308"/>
      <c r="T707" s="308"/>
      <c r="U707" s="308"/>
      <c r="V707" s="308"/>
      <c r="W707" s="308"/>
      <c r="X707" s="308"/>
      <c r="Y707" s="308"/>
      <c r="Z707" s="309"/>
      <c r="AA707" s="309"/>
      <c r="AB707" s="308"/>
      <c r="AC707" s="308"/>
    </row>
    <row r="708" hidden="1">
      <c r="A708" s="308"/>
      <c r="B708" s="308"/>
      <c r="C708" s="308"/>
      <c r="D708" s="332"/>
      <c r="E708" s="308"/>
      <c r="F708" s="319"/>
      <c r="G708" s="319"/>
      <c r="H708" s="319"/>
      <c r="I708" s="308"/>
      <c r="J708" s="308"/>
      <c r="K708" s="308"/>
      <c r="L708" s="308"/>
      <c r="M708" s="308"/>
      <c r="N708" s="308"/>
      <c r="O708" s="308"/>
      <c r="P708" s="308"/>
      <c r="Q708" s="308"/>
      <c r="R708" s="308"/>
      <c r="S708" s="308"/>
      <c r="T708" s="308"/>
      <c r="U708" s="308"/>
      <c r="V708" s="308"/>
      <c r="W708" s="308"/>
      <c r="X708" s="308"/>
      <c r="Y708" s="308"/>
      <c r="Z708" s="309"/>
      <c r="AA708" s="309"/>
      <c r="AB708" s="308"/>
      <c r="AC708" s="308"/>
    </row>
    <row r="709" hidden="1">
      <c r="A709" s="308"/>
      <c r="B709" s="308"/>
      <c r="C709" s="308"/>
      <c r="D709" s="332"/>
      <c r="E709" s="308"/>
      <c r="F709" s="319"/>
      <c r="G709" s="319"/>
      <c r="H709" s="319"/>
      <c r="I709" s="308"/>
      <c r="J709" s="308"/>
      <c r="K709" s="308"/>
      <c r="L709" s="308"/>
      <c r="M709" s="308"/>
      <c r="N709" s="308"/>
      <c r="O709" s="308"/>
      <c r="P709" s="308"/>
      <c r="Q709" s="308"/>
      <c r="R709" s="308"/>
      <c r="S709" s="308"/>
      <c r="T709" s="308"/>
      <c r="U709" s="308"/>
      <c r="V709" s="308"/>
      <c r="W709" s="308"/>
      <c r="X709" s="308"/>
      <c r="Y709" s="308"/>
      <c r="Z709" s="309"/>
      <c r="AA709" s="309"/>
      <c r="AB709" s="308"/>
      <c r="AC709" s="308"/>
    </row>
    <row r="710" hidden="1">
      <c r="A710" s="308"/>
      <c r="B710" s="308"/>
      <c r="C710" s="308"/>
      <c r="D710" s="332"/>
      <c r="E710" s="308"/>
      <c r="F710" s="319"/>
      <c r="G710" s="319"/>
      <c r="H710" s="319"/>
      <c r="I710" s="308"/>
      <c r="J710" s="308"/>
      <c r="K710" s="308"/>
      <c r="L710" s="308"/>
      <c r="M710" s="308"/>
      <c r="N710" s="308"/>
      <c r="O710" s="308"/>
      <c r="P710" s="308"/>
      <c r="Q710" s="308"/>
      <c r="R710" s="308"/>
      <c r="S710" s="308"/>
      <c r="T710" s="308"/>
      <c r="U710" s="308"/>
      <c r="V710" s="308"/>
      <c r="W710" s="308"/>
      <c r="X710" s="308"/>
      <c r="Y710" s="308"/>
      <c r="Z710" s="309"/>
      <c r="AA710" s="309"/>
      <c r="AB710" s="308"/>
      <c r="AC710" s="308"/>
    </row>
    <row r="711" hidden="1">
      <c r="A711" s="308"/>
      <c r="B711" s="308"/>
      <c r="C711" s="308"/>
      <c r="D711" s="332"/>
      <c r="E711" s="308"/>
      <c r="F711" s="319"/>
      <c r="G711" s="319"/>
      <c r="H711" s="319"/>
      <c r="I711" s="308"/>
      <c r="J711" s="308"/>
      <c r="K711" s="308"/>
      <c r="L711" s="308"/>
      <c r="M711" s="308"/>
      <c r="N711" s="308"/>
      <c r="O711" s="308"/>
      <c r="P711" s="308"/>
      <c r="Q711" s="308"/>
      <c r="R711" s="308"/>
      <c r="S711" s="308"/>
      <c r="T711" s="308"/>
      <c r="U711" s="308"/>
      <c r="V711" s="308"/>
      <c r="W711" s="308"/>
      <c r="X711" s="308"/>
      <c r="Y711" s="308"/>
      <c r="Z711" s="309"/>
      <c r="AA711" s="309"/>
      <c r="AB711" s="308"/>
      <c r="AC711" s="308"/>
    </row>
    <row r="712" hidden="1">
      <c r="A712" s="308"/>
      <c r="B712" s="308"/>
      <c r="C712" s="308"/>
      <c r="D712" s="332"/>
      <c r="E712" s="308"/>
      <c r="F712" s="319"/>
      <c r="G712" s="319"/>
      <c r="H712" s="319"/>
      <c r="I712" s="308"/>
      <c r="J712" s="308"/>
      <c r="K712" s="308"/>
      <c r="L712" s="308"/>
      <c r="M712" s="308"/>
      <c r="N712" s="308"/>
      <c r="O712" s="308"/>
      <c r="P712" s="308"/>
      <c r="Q712" s="308"/>
      <c r="R712" s="308"/>
      <c r="S712" s="308"/>
      <c r="T712" s="308"/>
      <c r="U712" s="308"/>
      <c r="V712" s="308"/>
      <c r="W712" s="308"/>
      <c r="X712" s="308"/>
      <c r="Y712" s="308"/>
      <c r="Z712" s="309"/>
      <c r="AA712" s="309"/>
      <c r="AB712" s="308"/>
      <c r="AC712" s="308"/>
    </row>
    <row r="713" hidden="1">
      <c r="A713" s="308"/>
      <c r="B713" s="308"/>
      <c r="C713" s="308"/>
      <c r="D713" s="332"/>
      <c r="E713" s="308"/>
      <c r="F713" s="319"/>
      <c r="G713" s="319"/>
      <c r="H713" s="319"/>
      <c r="I713" s="308"/>
      <c r="J713" s="308"/>
      <c r="K713" s="308"/>
      <c r="L713" s="308"/>
      <c r="M713" s="308"/>
      <c r="N713" s="308"/>
      <c r="O713" s="308"/>
      <c r="P713" s="308"/>
      <c r="Q713" s="308"/>
      <c r="R713" s="308"/>
      <c r="S713" s="308"/>
      <c r="T713" s="308"/>
      <c r="U713" s="308"/>
      <c r="V713" s="308"/>
      <c r="W713" s="308"/>
      <c r="X713" s="308"/>
      <c r="Y713" s="308"/>
      <c r="Z713" s="309"/>
      <c r="AA713" s="309"/>
      <c r="AB713" s="308"/>
      <c r="AC713" s="308"/>
    </row>
    <row r="714" hidden="1">
      <c r="A714" s="308"/>
      <c r="B714" s="308"/>
      <c r="C714" s="308"/>
      <c r="D714" s="332"/>
      <c r="E714" s="308"/>
      <c r="F714" s="319"/>
      <c r="G714" s="319"/>
      <c r="H714" s="319"/>
      <c r="I714" s="308"/>
      <c r="J714" s="308"/>
      <c r="K714" s="308"/>
      <c r="L714" s="308"/>
      <c r="M714" s="308"/>
      <c r="N714" s="308"/>
      <c r="O714" s="308"/>
      <c r="P714" s="308"/>
      <c r="Q714" s="308"/>
      <c r="R714" s="308"/>
      <c r="S714" s="308"/>
      <c r="T714" s="308"/>
      <c r="U714" s="308"/>
      <c r="V714" s="308"/>
      <c r="W714" s="308"/>
      <c r="X714" s="308"/>
      <c r="Y714" s="308"/>
      <c r="Z714" s="309"/>
      <c r="AA714" s="309"/>
      <c r="AB714" s="308"/>
      <c r="AC714" s="308"/>
    </row>
    <row r="715" hidden="1">
      <c r="A715" s="308"/>
      <c r="B715" s="308"/>
      <c r="C715" s="308"/>
      <c r="D715" s="332"/>
      <c r="E715" s="308"/>
      <c r="F715" s="319"/>
      <c r="G715" s="319"/>
      <c r="H715" s="319"/>
      <c r="I715" s="308"/>
      <c r="J715" s="308"/>
      <c r="K715" s="308"/>
      <c r="L715" s="308"/>
      <c r="M715" s="308"/>
      <c r="N715" s="308"/>
      <c r="O715" s="308"/>
      <c r="P715" s="308"/>
      <c r="Q715" s="308"/>
      <c r="R715" s="308"/>
      <c r="S715" s="308"/>
      <c r="T715" s="308"/>
      <c r="U715" s="308"/>
      <c r="V715" s="308"/>
      <c r="W715" s="308"/>
      <c r="X715" s="308"/>
      <c r="Y715" s="308"/>
      <c r="Z715" s="309"/>
      <c r="AA715" s="309"/>
      <c r="AB715" s="308"/>
      <c r="AC715" s="308"/>
    </row>
    <row r="716" hidden="1">
      <c r="A716" s="308"/>
      <c r="B716" s="308"/>
      <c r="C716" s="308"/>
      <c r="D716" s="332"/>
      <c r="E716" s="308"/>
      <c r="F716" s="319"/>
      <c r="G716" s="319"/>
      <c r="H716" s="319"/>
      <c r="I716" s="308"/>
      <c r="J716" s="308"/>
      <c r="K716" s="308"/>
      <c r="L716" s="308"/>
      <c r="M716" s="308"/>
      <c r="N716" s="308"/>
      <c r="O716" s="308"/>
      <c r="P716" s="308"/>
      <c r="Q716" s="308"/>
      <c r="R716" s="308"/>
      <c r="S716" s="308"/>
      <c r="T716" s="308"/>
      <c r="U716" s="308"/>
      <c r="V716" s="308"/>
      <c r="W716" s="308"/>
      <c r="X716" s="308"/>
      <c r="Y716" s="308"/>
      <c r="Z716" s="309"/>
      <c r="AA716" s="309"/>
      <c r="AB716" s="308"/>
      <c r="AC716" s="308"/>
    </row>
    <row r="717" hidden="1">
      <c r="A717" s="308"/>
      <c r="B717" s="308"/>
      <c r="C717" s="308"/>
      <c r="D717" s="332"/>
      <c r="E717" s="308"/>
      <c r="F717" s="319"/>
      <c r="G717" s="319"/>
      <c r="H717" s="319"/>
      <c r="I717" s="308"/>
      <c r="J717" s="308"/>
      <c r="K717" s="308"/>
      <c r="L717" s="308"/>
      <c r="M717" s="308"/>
      <c r="N717" s="308"/>
      <c r="O717" s="308"/>
      <c r="P717" s="308"/>
      <c r="Q717" s="308"/>
      <c r="R717" s="308"/>
      <c r="S717" s="308"/>
      <c r="T717" s="308"/>
      <c r="U717" s="308"/>
      <c r="V717" s="308"/>
      <c r="W717" s="308"/>
      <c r="X717" s="308"/>
      <c r="Y717" s="308"/>
      <c r="Z717" s="309"/>
      <c r="AA717" s="309"/>
      <c r="AB717" s="308"/>
      <c r="AC717" s="308"/>
    </row>
    <row r="718" hidden="1">
      <c r="A718" s="308"/>
      <c r="B718" s="308"/>
      <c r="C718" s="308"/>
      <c r="D718" s="332"/>
      <c r="E718" s="308"/>
      <c r="F718" s="319"/>
      <c r="G718" s="319"/>
      <c r="H718" s="319"/>
      <c r="I718" s="308"/>
      <c r="J718" s="308"/>
      <c r="K718" s="308"/>
      <c r="L718" s="308"/>
      <c r="M718" s="308"/>
      <c r="N718" s="308"/>
      <c r="O718" s="308"/>
      <c r="P718" s="308"/>
      <c r="Q718" s="308"/>
      <c r="R718" s="308"/>
      <c r="S718" s="308"/>
      <c r="T718" s="308"/>
      <c r="U718" s="308"/>
      <c r="V718" s="308"/>
      <c r="W718" s="308"/>
      <c r="X718" s="308"/>
      <c r="Y718" s="308"/>
      <c r="Z718" s="309"/>
      <c r="AA718" s="309"/>
      <c r="AB718" s="308"/>
      <c r="AC718" s="308"/>
    </row>
    <row r="719" hidden="1">
      <c r="A719" s="308"/>
      <c r="B719" s="308"/>
      <c r="C719" s="308"/>
      <c r="D719" s="332"/>
      <c r="E719" s="308"/>
      <c r="F719" s="319"/>
      <c r="G719" s="319"/>
      <c r="H719" s="319"/>
      <c r="I719" s="308"/>
      <c r="J719" s="308"/>
      <c r="K719" s="308"/>
      <c r="L719" s="308"/>
      <c r="M719" s="308"/>
      <c r="N719" s="308"/>
      <c r="O719" s="308"/>
      <c r="P719" s="308"/>
      <c r="Q719" s="308"/>
      <c r="R719" s="308"/>
      <c r="S719" s="308"/>
      <c r="T719" s="308"/>
      <c r="U719" s="308"/>
      <c r="V719" s="308"/>
      <c r="W719" s="308"/>
      <c r="X719" s="308"/>
      <c r="Y719" s="308"/>
      <c r="Z719" s="309"/>
      <c r="AA719" s="309"/>
      <c r="AB719" s="308"/>
      <c r="AC719" s="308"/>
    </row>
    <row r="720" hidden="1">
      <c r="A720" s="308"/>
      <c r="B720" s="308"/>
      <c r="C720" s="308"/>
      <c r="D720" s="332"/>
      <c r="E720" s="308"/>
      <c r="F720" s="319"/>
      <c r="G720" s="319"/>
      <c r="H720" s="319"/>
      <c r="I720" s="308"/>
      <c r="J720" s="308"/>
      <c r="K720" s="308"/>
      <c r="L720" s="308"/>
      <c r="M720" s="308"/>
      <c r="N720" s="308"/>
      <c r="O720" s="308"/>
      <c r="P720" s="308"/>
      <c r="Q720" s="308"/>
      <c r="R720" s="308"/>
      <c r="S720" s="308"/>
      <c r="T720" s="308"/>
      <c r="U720" s="308"/>
      <c r="V720" s="308"/>
      <c r="W720" s="308"/>
      <c r="X720" s="308"/>
      <c r="Y720" s="308"/>
      <c r="Z720" s="309"/>
      <c r="AA720" s="309"/>
      <c r="AB720" s="308"/>
      <c r="AC720" s="308"/>
    </row>
    <row r="721" hidden="1">
      <c r="A721" s="308"/>
      <c r="B721" s="308"/>
      <c r="C721" s="308"/>
      <c r="D721" s="332"/>
      <c r="E721" s="308"/>
      <c r="F721" s="319"/>
      <c r="G721" s="319"/>
      <c r="H721" s="319"/>
      <c r="I721" s="308"/>
      <c r="J721" s="308"/>
      <c r="K721" s="308"/>
      <c r="L721" s="308"/>
      <c r="M721" s="308"/>
      <c r="N721" s="308"/>
      <c r="O721" s="308"/>
      <c r="P721" s="308"/>
      <c r="Q721" s="308"/>
      <c r="R721" s="308"/>
      <c r="S721" s="308"/>
      <c r="T721" s="308"/>
      <c r="U721" s="308"/>
      <c r="V721" s="308"/>
      <c r="W721" s="308"/>
      <c r="X721" s="308"/>
      <c r="Y721" s="308"/>
      <c r="Z721" s="309"/>
      <c r="AA721" s="309"/>
      <c r="AB721" s="308"/>
      <c r="AC721" s="308"/>
    </row>
    <row r="722" hidden="1">
      <c r="A722" s="308"/>
      <c r="B722" s="308"/>
      <c r="C722" s="308"/>
      <c r="D722" s="332"/>
      <c r="E722" s="308"/>
      <c r="F722" s="319"/>
      <c r="G722" s="319"/>
      <c r="H722" s="319"/>
      <c r="I722" s="308"/>
      <c r="J722" s="308"/>
      <c r="K722" s="308"/>
      <c r="L722" s="308"/>
      <c r="M722" s="308"/>
      <c r="N722" s="308"/>
      <c r="O722" s="308"/>
      <c r="P722" s="308"/>
      <c r="Q722" s="308"/>
      <c r="R722" s="308"/>
      <c r="S722" s="308"/>
      <c r="T722" s="308"/>
      <c r="U722" s="308"/>
      <c r="V722" s="308"/>
      <c r="W722" s="308"/>
      <c r="X722" s="308"/>
      <c r="Y722" s="308"/>
      <c r="Z722" s="309"/>
      <c r="AA722" s="309"/>
      <c r="AB722" s="308"/>
      <c r="AC722" s="308"/>
    </row>
    <row r="723" hidden="1">
      <c r="A723" s="308"/>
      <c r="B723" s="308"/>
      <c r="C723" s="308"/>
      <c r="D723" s="332"/>
      <c r="E723" s="308"/>
      <c r="F723" s="319"/>
      <c r="G723" s="319"/>
      <c r="H723" s="319"/>
      <c r="I723" s="308"/>
      <c r="J723" s="308"/>
      <c r="K723" s="308"/>
      <c r="L723" s="308"/>
      <c r="M723" s="308"/>
      <c r="N723" s="308"/>
      <c r="O723" s="308"/>
      <c r="P723" s="308"/>
      <c r="Q723" s="308"/>
      <c r="R723" s="308"/>
      <c r="S723" s="308"/>
      <c r="T723" s="308"/>
      <c r="U723" s="308"/>
      <c r="V723" s="308"/>
      <c r="W723" s="308"/>
      <c r="X723" s="308"/>
      <c r="Y723" s="308"/>
      <c r="Z723" s="309"/>
      <c r="AA723" s="309"/>
      <c r="AB723" s="308"/>
      <c r="AC723" s="308"/>
    </row>
    <row r="724" hidden="1">
      <c r="A724" s="308"/>
      <c r="B724" s="308"/>
      <c r="C724" s="308"/>
      <c r="D724" s="332"/>
      <c r="E724" s="308"/>
      <c r="F724" s="319"/>
      <c r="G724" s="319"/>
      <c r="H724" s="319"/>
      <c r="I724" s="308"/>
      <c r="J724" s="308"/>
      <c r="K724" s="308"/>
      <c r="L724" s="308"/>
      <c r="M724" s="308"/>
      <c r="N724" s="308"/>
      <c r="O724" s="308"/>
      <c r="P724" s="308"/>
      <c r="Q724" s="308"/>
      <c r="R724" s="308"/>
      <c r="S724" s="308"/>
      <c r="T724" s="308"/>
      <c r="U724" s="308"/>
      <c r="V724" s="308"/>
      <c r="W724" s="308"/>
      <c r="X724" s="308"/>
      <c r="Y724" s="308"/>
      <c r="Z724" s="309"/>
      <c r="AA724" s="309"/>
      <c r="AB724" s="308"/>
      <c r="AC724" s="308"/>
    </row>
    <row r="725" hidden="1">
      <c r="A725" s="308"/>
      <c r="B725" s="308"/>
      <c r="C725" s="308"/>
      <c r="D725" s="332"/>
      <c r="E725" s="308"/>
      <c r="F725" s="319"/>
      <c r="G725" s="319"/>
      <c r="H725" s="319"/>
      <c r="I725" s="308"/>
      <c r="J725" s="308"/>
      <c r="K725" s="308"/>
      <c r="L725" s="308"/>
      <c r="M725" s="308"/>
      <c r="N725" s="308"/>
      <c r="O725" s="308"/>
      <c r="P725" s="308"/>
      <c r="Q725" s="308"/>
      <c r="R725" s="308"/>
      <c r="S725" s="308"/>
      <c r="T725" s="308"/>
      <c r="U725" s="308"/>
      <c r="V725" s="308"/>
      <c r="W725" s="308"/>
      <c r="X725" s="308"/>
      <c r="Y725" s="308"/>
      <c r="Z725" s="309"/>
      <c r="AA725" s="309"/>
      <c r="AB725" s="308"/>
      <c r="AC725" s="308"/>
    </row>
    <row r="726" hidden="1">
      <c r="A726" s="308"/>
      <c r="B726" s="308"/>
      <c r="C726" s="308"/>
      <c r="D726" s="332"/>
      <c r="E726" s="308"/>
      <c r="F726" s="319"/>
      <c r="G726" s="319"/>
      <c r="H726" s="319"/>
      <c r="I726" s="308"/>
      <c r="J726" s="308"/>
      <c r="K726" s="308"/>
      <c r="L726" s="308"/>
      <c r="M726" s="308"/>
      <c r="N726" s="308"/>
      <c r="O726" s="308"/>
      <c r="P726" s="308"/>
      <c r="Q726" s="308"/>
      <c r="R726" s="308"/>
      <c r="S726" s="308"/>
      <c r="T726" s="308"/>
      <c r="U726" s="308"/>
      <c r="V726" s="308"/>
      <c r="W726" s="308"/>
      <c r="X726" s="308"/>
      <c r="Y726" s="308"/>
      <c r="Z726" s="309"/>
      <c r="AA726" s="309"/>
      <c r="AB726" s="308"/>
      <c r="AC726" s="308"/>
    </row>
    <row r="727" hidden="1">
      <c r="A727" s="308"/>
      <c r="B727" s="308"/>
      <c r="C727" s="308"/>
      <c r="D727" s="332"/>
      <c r="E727" s="308"/>
      <c r="F727" s="319"/>
      <c r="G727" s="319"/>
      <c r="H727" s="319"/>
      <c r="I727" s="308"/>
      <c r="J727" s="308"/>
      <c r="K727" s="308"/>
      <c r="L727" s="308"/>
      <c r="M727" s="308"/>
      <c r="N727" s="308"/>
      <c r="O727" s="308"/>
      <c r="P727" s="308"/>
      <c r="Q727" s="308"/>
      <c r="R727" s="308"/>
      <c r="S727" s="308"/>
      <c r="T727" s="308"/>
      <c r="U727" s="308"/>
      <c r="V727" s="308"/>
      <c r="W727" s="308"/>
      <c r="X727" s="308"/>
      <c r="Y727" s="308"/>
      <c r="Z727" s="309"/>
      <c r="AA727" s="309"/>
      <c r="AB727" s="308"/>
      <c r="AC727" s="308"/>
    </row>
    <row r="728" hidden="1">
      <c r="A728" s="308"/>
      <c r="B728" s="308"/>
      <c r="C728" s="308"/>
      <c r="D728" s="332"/>
      <c r="E728" s="308"/>
      <c r="F728" s="319"/>
      <c r="G728" s="319"/>
      <c r="H728" s="319"/>
      <c r="I728" s="308"/>
      <c r="J728" s="308"/>
      <c r="K728" s="308"/>
      <c r="L728" s="308"/>
      <c r="M728" s="308"/>
      <c r="N728" s="308"/>
      <c r="O728" s="308"/>
      <c r="P728" s="308"/>
      <c r="Q728" s="308"/>
      <c r="R728" s="308"/>
      <c r="S728" s="308"/>
      <c r="T728" s="308"/>
      <c r="U728" s="308"/>
      <c r="V728" s="308"/>
      <c r="W728" s="308"/>
      <c r="X728" s="308"/>
      <c r="Y728" s="308"/>
      <c r="Z728" s="309"/>
      <c r="AA728" s="309"/>
      <c r="AB728" s="308"/>
      <c r="AC728" s="308"/>
    </row>
    <row r="729" hidden="1">
      <c r="A729" s="308"/>
      <c r="B729" s="308"/>
      <c r="C729" s="308"/>
      <c r="D729" s="332"/>
      <c r="E729" s="308"/>
      <c r="F729" s="319"/>
      <c r="G729" s="319"/>
      <c r="H729" s="319"/>
      <c r="I729" s="308"/>
      <c r="J729" s="308"/>
      <c r="K729" s="308"/>
      <c r="L729" s="308"/>
      <c r="M729" s="308"/>
      <c r="N729" s="308"/>
      <c r="O729" s="308"/>
      <c r="P729" s="308"/>
      <c r="Q729" s="308"/>
      <c r="R729" s="308"/>
      <c r="S729" s="308"/>
      <c r="T729" s="308"/>
      <c r="U729" s="308"/>
      <c r="V729" s="308"/>
      <c r="W729" s="308"/>
      <c r="X729" s="308"/>
      <c r="Y729" s="308"/>
      <c r="Z729" s="309"/>
      <c r="AA729" s="309"/>
      <c r="AB729" s="308"/>
      <c r="AC729" s="308"/>
    </row>
    <row r="730" hidden="1">
      <c r="A730" s="308"/>
      <c r="B730" s="308"/>
      <c r="C730" s="308"/>
      <c r="D730" s="332"/>
      <c r="E730" s="308"/>
      <c r="F730" s="319"/>
      <c r="G730" s="319"/>
      <c r="H730" s="319"/>
      <c r="I730" s="308"/>
      <c r="J730" s="308"/>
      <c r="K730" s="308"/>
      <c r="L730" s="308"/>
      <c r="M730" s="308"/>
      <c r="N730" s="308"/>
      <c r="O730" s="308"/>
      <c r="P730" s="308"/>
      <c r="Q730" s="308"/>
      <c r="R730" s="308"/>
      <c r="S730" s="308"/>
      <c r="T730" s="308"/>
      <c r="U730" s="308"/>
      <c r="V730" s="308"/>
      <c r="W730" s="308"/>
      <c r="X730" s="308"/>
      <c r="Y730" s="308"/>
      <c r="Z730" s="309"/>
      <c r="AA730" s="309"/>
      <c r="AB730" s="308"/>
      <c r="AC730" s="308"/>
    </row>
    <row r="731" hidden="1">
      <c r="A731" s="308"/>
      <c r="B731" s="308"/>
      <c r="C731" s="308"/>
      <c r="D731" s="332"/>
      <c r="E731" s="308"/>
      <c r="F731" s="319"/>
      <c r="G731" s="319"/>
      <c r="H731" s="319"/>
      <c r="I731" s="308"/>
      <c r="J731" s="308"/>
      <c r="K731" s="308"/>
      <c r="L731" s="308"/>
      <c r="M731" s="308"/>
      <c r="N731" s="308"/>
      <c r="O731" s="308"/>
      <c r="P731" s="308"/>
      <c r="Q731" s="308"/>
      <c r="R731" s="308"/>
      <c r="S731" s="308"/>
      <c r="T731" s="308"/>
      <c r="U731" s="308"/>
      <c r="V731" s="308"/>
      <c r="W731" s="308"/>
      <c r="X731" s="308"/>
      <c r="Y731" s="308"/>
      <c r="Z731" s="309"/>
      <c r="AA731" s="309"/>
      <c r="AB731" s="308"/>
      <c r="AC731" s="308"/>
    </row>
    <row r="732" hidden="1">
      <c r="A732" s="308"/>
      <c r="B732" s="308"/>
      <c r="C732" s="308"/>
      <c r="D732" s="332"/>
      <c r="E732" s="308"/>
      <c r="F732" s="319"/>
      <c r="G732" s="319"/>
      <c r="H732" s="319"/>
      <c r="I732" s="308"/>
      <c r="J732" s="308"/>
      <c r="K732" s="308"/>
      <c r="L732" s="308"/>
      <c r="M732" s="308"/>
      <c r="N732" s="308"/>
      <c r="O732" s="308"/>
      <c r="P732" s="308"/>
      <c r="Q732" s="308"/>
      <c r="R732" s="308"/>
      <c r="S732" s="308"/>
      <c r="T732" s="308"/>
      <c r="U732" s="308"/>
      <c r="V732" s="308"/>
      <c r="W732" s="308"/>
      <c r="X732" s="308"/>
      <c r="Y732" s="308"/>
      <c r="Z732" s="309"/>
      <c r="AA732" s="309"/>
      <c r="AB732" s="308"/>
      <c r="AC732" s="308"/>
    </row>
    <row r="733" hidden="1">
      <c r="A733" s="308"/>
      <c r="B733" s="308"/>
      <c r="C733" s="308"/>
      <c r="D733" s="332"/>
      <c r="E733" s="308"/>
      <c r="F733" s="319"/>
      <c r="G733" s="319"/>
      <c r="H733" s="319"/>
      <c r="I733" s="308"/>
      <c r="J733" s="308"/>
      <c r="K733" s="308"/>
      <c r="L733" s="308"/>
      <c r="M733" s="308"/>
      <c r="N733" s="308"/>
      <c r="O733" s="308"/>
      <c r="P733" s="308"/>
      <c r="Q733" s="308"/>
      <c r="R733" s="308"/>
      <c r="S733" s="308"/>
      <c r="T733" s="308"/>
      <c r="U733" s="308"/>
      <c r="V733" s="308"/>
      <c r="W733" s="308"/>
      <c r="X733" s="308"/>
      <c r="Y733" s="308"/>
      <c r="Z733" s="309"/>
      <c r="AA733" s="309"/>
      <c r="AB733" s="308"/>
      <c r="AC733" s="308"/>
    </row>
    <row r="734" hidden="1">
      <c r="A734" s="308"/>
      <c r="B734" s="308"/>
      <c r="C734" s="308"/>
      <c r="D734" s="332"/>
      <c r="E734" s="308"/>
      <c r="F734" s="319"/>
      <c r="G734" s="319"/>
      <c r="H734" s="319"/>
      <c r="I734" s="308"/>
      <c r="J734" s="308"/>
      <c r="K734" s="308"/>
      <c r="L734" s="308"/>
      <c r="M734" s="308"/>
      <c r="N734" s="308"/>
      <c r="O734" s="308"/>
      <c r="P734" s="308"/>
      <c r="Q734" s="308"/>
      <c r="R734" s="308"/>
      <c r="S734" s="308"/>
      <c r="T734" s="308"/>
      <c r="U734" s="308"/>
      <c r="V734" s="308"/>
      <c r="W734" s="308"/>
      <c r="X734" s="308"/>
      <c r="Y734" s="308"/>
      <c r="Z734" s="309"/>
      <c r="AA734" s="309"/>
      <c r="AB734" s="308"/>
      <c r="AC734" s="308"/>
    </row>
    <row r="735" hidden="1">
      <c r="A735" s="308"/>
      <c r="B735" s="308"/>
      <c r="C735" s="308"/>
      <c r="D735" s="332"/>
      <c r="E735" s="308"/>
      <c r="F735" s="319"/>
      <c r="G735" s="319"/>
      <c r="H735" s="319"/>
      <c r="I735" s="308"/>
      <c r="J735" s="308"/>
      <c r="K735" s="308"/>
      <c r="L735" s="308"/>
      <c r="M735" s="308"/>
      <c r="N735" s="308"/>
      <c r="O735" s="308"/>
      <c r="P735" s="308"/>
      <c r="Q735" s="308"/>
      <c r="R735" s="308"/>
      <c r="S735" s="308"/>
      <c r="T735" s="308"/>
      <c r="U735" s="308"/>
      <c r="V735" s="308"/>
      <c r="W735" s="308"/>
      <c r="X735" s="308"/>
      <c r="Y735" s="308"/>
      <c r="Z735" s="309"/>
      <c r="AA735" s="309"/>
      <c r="AB735" s="308"/>
      <c r="AC735" s="308"/>
    </row>
    <row r="736" hidden="1">
      <c r="A736" s="308"/>
      <c r="B736" s="308"/>
      <c r="C736" s="308"/>
      <c r="D736" s="332"/>
      <c r="E736" s="308"/>
      <c r="F736" s="319"/>
      <c r="G736" s="319"/>
      <c r="H736" s="319"/>
      <c r="I736" s="308"/>
      <c r="J736" s="308"/>
      <c r="K736" s="308"/>
      <c r="L736" s="308"/>
      <c r="M736" s="308"/>
      <c r="N736" s="308"/>
      <c r="O736" s="308"/>
      <c r="P736" s="308"/>
      <c r="Q736" s="308"/>
      <c r="R736" s="308"/>
      <c r="S736" s="308"/>
      <c r="T736" s="308"/>
      <c r="U736" s="308"/>
      <c r="V736" s="308"/>
      <c r="W736" s="308"/>
      <c r="X736" s="308"/>
      <c r="Y736" s="308"/>
      <c r="Z736" s="309"/>
      <c r="AA736" s="309"/>
      <c r="AB736" s="308"/>
      <c r="AC736" s="308"/>
    </row>
    <row r="737" hidden="1">
      <c r="A737" s="308"/>
      <c r="B737" s="308"/>
      <c r="C737" s="308"/>
      <c r="D737" s="332"/>
      <c r="E737" s="308"/>
      <c r="F737" s="319"/>
      <c r="G737" s="319"/>
      <c r="H737" s="319"/>
      <c r="I737" s="308"/>
      <c r="J737" s="308"/>
      <c r="K737" s="308"/>
      <c r="L737" s="308"/>
      <c r="M737" s="308"/>
      <c r="N737" s="308"/>
      <c r="O737" s="308"/>
      <c r="P737" s="308"/>
      <c r="Q737" s="308"/>
      <c r="R737" s="308"/>
      <c r="S737" s="308"/>
      <c r="T737" s="308"/>
      <c r="U737" s="308"/>
      <c r="V737" s="308"/>
      <c r="W737" s="308"/>
      <c r="X737" s="308"/>
      <c r="Y737" s="308"/>
      <c r="Z737" s="309"/>
      <c r="AA737" s="309"/>
      <c r="AB737" s="308"/>
      <c r="AC737" s="308"/>
    </row>
    <row r="738" hidden="1">
      <c r="A738" s="308"/>
      <c r="B738" s="308"/>
      <c r="C738" s="308"/>
      <c r="D738" s="332"/>
      <c r="E738" s="308"/>
      <c r="F738" s="319"/>
      <c r="G738" s="319"/>
      <c r="H738" s="319"/>
      <c r="I738" s="308"/>
      <c r="J738" s="308"/>
      <c r="K738" s="308"/>
      <c r="L738" s="308"/>
      <c r="M738" s="308"/>
      <c r="N738" s="308"/>
      <c r="O738" s="308"/>
      <c r="P738" s="308"/>
      <c r="Q738" s="308"/>
      <c r="R738" s="308"/>
      <c r="S738" s="308"/>
      <c r="T738" s="308"/>
      <c r="U738" s="308"/>
      <c r="V738" s="308"/>
      <c r="W738" s="308"/>
      <c r="X738" s="308"/>
      <c r="Y738" s="308"/>
      <c r="Z738" s="309"/>
      <c r="AA738" s="309"/>
      <c r="AB738" s="308"/>
      <c r="AC738" s="308"/>
    </row>
    <row r="739" hidden="1">
      <c r="A739" s="308"/>
      <c r="B739" s="308"/>
      <c r="C739" s="308"/>
      <c r="D739" s="332"/>
      <c r="E739" s="308"/>
      <c r="F739" s="319"/>
      <c r="G739" s="319"/>
      <c r="H739" s="319"/>
      <c r="I739" s="308"/>
      <c r="J739" s="308"/>
      <c r="K739" s="308"/>
      <c r="L739" s="308"/>
      <c r="M739" s="308"/>
      <c r="N739" s="308"/>
      <c r="O739" s="308"/>
      <c r="P739" s="308"/>
      <c r="Q739" s="308"/>
      <c r="R739" s="308"/>
      <c r="S739" s="308"/>
      <c r="T739" s="308"/>
      <c r="U739" s="308"/>
      <c r="V739" s="308"/>
      <c r="W739" s="308"/>
      <c r="X739" s="308"/>
      <c r="Y739" s="308"/>
      <c r="Z739" s="309"/>
      <c r="AA739" s="309"/>
      <c r="AB739" s="308"/>
      <c r="AC739" s="308"/>
    </row>
    <row r="740" hidden="1">
      <c r="A740" s="308"/>
      <c r="B740" s="308"/>
      <c r="C740" s="308"/>
      <c r="D740" s="332"/>
      <c r="E740" s="308"/>
      <c r="F740" s="319"/>
      <c r="G740" s="319"/>
      <c r="H740" s="319"/>
      <c r="I740" s="308"/>
      <c r="J740" s="308"/>
      <c r="K740" s="308"/>
      <c r="L740" s="308"/>
      <c r="M740" s="308"/>
      <c r="N740" s="308"/>
      <c r="O740" s="308"/>
      <c r="P740" s="308"/>
      <c r="Q740" s="308"/>
      <c r="R740" s="308"/>
      <c r="S740" s="308"/>
      <c r="T740" s="308"/>
      <c r="U740" s="308"/>
      <c r="V740" s="308"/>
      <c r="W740" s="308"/>
      <c r="X740" s="308"/>
      <c r="Y740" s="308"/>
      <c r="Z740" s="309"/>
      <c r="AA740" s="309"/>
      <c r="AB740" s="308"/>
      <c r="AC740" s="308"/>
    </row>
    <row r="741" hidden="1">
      <c r="A741" s="308"/>
      <c r="B741" s="308"/>
      <c r="C741" s="308"/>
      <c r="D741" s="332"/>
      <c r="E741" s="308"/>
      <c r="F741" s="319"/>
      <c r="G741" s="319"/>
      <c r="H741" s="319"/>
      <c r="I741" s="308"/>
      <c r="J741" s="308"/>
      <c r="K741" s="308"/>
      <c r="L741" s="308"/>
      <c r="M741" s="308"/>
      <c r="N741" s="308"/>
      <c r="O741" s="308"/>
      <c r="P741" s="308"/>
      <c r="Q741" s="308"/>
      <c r="R741" s="308"/>
      <c r="S741" s="308"/>
      <c r="T741" s="308"/>
      <c r="U741" s="308"/>
      <c r="V741" s="308"/>
      <c r="W741" s="308"/>
      <c r="X741" s="308"/>
      <c r="Y741" s="308"/>
      <c r="Z741" s="309"/>
      <c r="AA741" s="309"/>
      <c r="AB741" s="308"/>
      <c r="AC741" s="308"/>
    </row>
    <row r="742" hidden="1">
      <c r="A742" s="308"/>
      <c r="B742" s="308"/>
      <c r="C742" s="308"/>
      <c r="D742" s="332"/>
      <c r="E742" s="308"/>
      <c r="F742" s="319"/>
      <c r="G742" s="319"/>
      <c r="H742" s="319"/>
      <c r="I742" s="308"/>
      <c r="J742" s="308"/>
      <c r="K742" s="308"/>
      <c r="L742" s="308"/>
      <c r="M742" s="308"/>
      <c r="N742" s="308"/>
      <c r="O742" s="308"/>
      <c r="P742" s="308"/>
      <c r="Q742" s="308"/>
      <c r="R742" s="308"/>
      <c r="S742" s="308"/>
      <c r="T742" s="308"/>
      <c r="U742" s="308"/>
      <c r="V742" s="308"/>
      <c r="W742" s="308"/>
      <c r="X742" s="308"/>
      <c r="Y742" s="308"/>
      <c r="Z742" s="309"/>
      <c r="AA742" s="309"/>
      <c r="AB742" s="308"/>
      <c r="AC742" s="308"/>
    </row>
    <row r="743" hidden="1">
      <c r="A743" s="308"/>
      <c r="B743" s="308"/>
      <c r="C743" s="308"/>
      <c r="D743" s="332"/>
      <c r="E743" s="308"/>
      <c r="F743" s="319"/>
      <c r="G743" s="319"/>
      <c r="H743" s="319"/>
      <c r="I743" s="308"/>
      <c r="J743" s="308"/>
      <c r="K743" s="308"/>
      <c r="L743" s="308"/>
      <c r="M743" s="308"/>
      <c r="N743" s="308"/>
      <c r="O743" s="308"/>
      <c r="P743" s="308"/>
      <c r="Q743" s="308"/>
      <c r="R743" s="308"/>
      <c r="S743" s="308"/>
      <c r="T743" s="308"/>
      <c r="U743" s="308"/>
      <c r="V743" s="308"/>
      <c r="W743" s="308"/>
      <c r="X743" s="308"/>
      <c r="Y743" s="308"/>
      <c r="Z743" s="309"/>
      <c r="AA743" s="309"/>
      <c r="AB743" s="308"/>
      <c r="AC743" s="308"/>
    </row>
    <row r="744" hidden="1">
      <c r="A744" s="308"/>
      <c r="B744" s="308"/>
      <c r="C744" s="308"/>
      <c r="D744" s="332"/>
      <c r="E744" s="308"/>
      <c r="F744" s="319"/>
      <c r="G744" s="319"/>
      <c r="H744" s="319"/>
      <c r="I744" s="308"/>
      <c r="J744" s="308"/>
      <c r="K744" s="308"/>
      <c r="L744" s="308"/>
      <c r="M744" s="308"/>
      <c r="N744" s="308"/>
      <c r="O744" s="308"/>
      <c r="P744" s="308"/>
      <c r="Q744" s="308"/>
      <c r="R744" s="308"/>
      <c r="S744" s="308"/>
      <c r="T744" s="308"/>
      <c r="U744" s="308"/>
      <c r="V744" s="308"/>
      <c r="W744" s="308"/>
      <c r="X744" s="308"/>
      <c r="Y744" s="308"/>
      <c r="Z744" s="309"/>
      <c r="AA744" s="309"/>
      <c r="AB744" s="308"/>
      <c r="AC744" s="308"/>
    </row>
    <row r="745" hidden="1">
      <c r="A745" s="308"/>
      <c r="B745" s="308"/>
      <c r="C745" s="308"/>
      <c r="D745" s="332"/>
      <c r="E745" s="308"/>
      <c r="F745" s="319"/>
      <c r="G745" s="319"/>
      <c r="H745" s="319"/>
      <c r="I745" s="308"/>
      <c r="J745" s="308"/>
      <c r="K745" s="308"/>
      <c r="L745" s="308"/>
      <c r="M745" s="308"/>
      <c r="N745" s="308"/>
      <c r="O745" s="308"/>
      <c r="P745" s="308"/>
      <c r="Q745" s="308"/>
      <c r="R745" s="308"/>
      <c r="S745" s="308"/>
      <c r="T745" s="308"/>
      <c r="U745" s="308"/>
      <c r="V745" s="308"/>
      <c r="W745" s="308"/>
      <c r="X745" s="308"/>
      <c r="Y745" s="308"/>
      <c r="Z745" s="309"/>
      <c r="AA745" s="309"/>
      <c r="AB745" s="308"/>
      <c r="AC745" s="308"/>
    </row>
    <row r="746" hidden="1">
      <c r="A746" s="308"/>
      <c r="B746" s="308"/>
      <c r="C746" s="308"/>
      <c r="D746" s="332"/>
      <c r="E746" s="308"/>
      <c r="F746" s="319"/>
      <c r="G746" s="319"/>
      <c r="H746" s="319"/>
      <c r="I746" s="308"/>
      <c r="J746" s="308"/>
      <c r="K746" s="308"/>
      <c r="L746" s="308"/>
      <c r="M746" s="308"/>
      <c r="N746" s="308"/>
      <c r="O746" s="308"/>
      <c r="P746" s="308"/>
      <c r="Q746" s="308"/>
      <c r="R746" s="308"/>
      <c r="S746" s="308"/>
      <c r="T746" s="308"/>
      <c r="U746" s="308"/>
      <c r="V746" s="308"/>
      <c r="W746" s="308"/>
      <c r="X746" s="308"/>
      <c r="Y746" s="308"/>
      <c r="Z746" s="309"/>
      <c r="AA746" s="309"/>
      <c r="AB746" s="308"/>
      <c r="AC746" s="308"/>
    </row>
    <row r="747" hidden="1">
      <c r="A747" s="308"/>
      <c r="B747" s="308"/>
      <c r="C747" s="308"/>
      <c r="D747" s="332"/>
      <c r="E747" s="308"/>
      <c r="F747" s="319"/>
      <c r="G747" s="319"/>
      <c r="H747" s="319"/>
      <c r="I747" s="308"/>
      <c r="J747" s="308"/>
      <c r="K747" s="308"/>
      <c r="L747" s="308"/>
      <c r="M747" s="308"/>
      <c r="N747" s="308"/>
      <c r="O747" s="308"/>
      <c r="P747" s="308"/>
      <c r="Q747" s="308"/>
      <c r="R747" s="308"/>
      <c r="S747" s="308"/>
      <c r="T747" s="308"/>
      <c r="U747" s="308"/>
      <c r="V747" s="308"/>
      <c r="W747" s="308"/>
      <c r="X747" s="308"/>
      <c r="Y747" s="308"/>
      <c r="Z747" s="309"/>
      <c r="AA747" s="309"/>
      <c r="AB747" s="308"/>
      <c r="AC747" s="308"/>
    </row>
    <row r="748" hidden="1">
      <c r="A748" s="308"/>
      <c r="B748" s="308"/>
      <c r="C748" s="308"/>
      <c r="D748" s="332"/>
      <c r="E748" s="308"/>
      <c r="F748" s="319"/>
      <c r="G748" s="319"/>
      <c r="H748" s="319"/>
      <c r="I748" s="308"/>
      <c r="J748" s="308"/>
      <c r="K748" s="308"/>
      <c r="L748" s="308"/>
      <c r="M748" s="308"/>
      <c r="N748" s="308"/>
      <c r="O748" s="308"/>
      <c r="P748" s="308"/>
      <c r="Q748" s="308"/>
      <c r="R748" s="308"/>
      <c r="S748" s="308"/>
      <c r="T748" s="308"/>
      <c r="U748" s="308"/>
      <c r="V748" s="308"/>
      <c r="W748" s="308"/>
      <c r="X748" s="308"/>
      <c r="Y748" s="308"/>
      <c r="Z748" s="309"/>
      <c r="AA748" s="309"/>
      <c r="AB748" s="308"/>
      <c r="AC748" s="308"/>
    </row>
    <row r="749" hidden="1">
      <c r="A749" s="308"/>
      <c r="B749" s="308"/>
      <c r="C749" s="308"/>
      <c r="D749" s="332"/>
      <c r="E749" s="308"/>
      <c r="F749" s="319"/>
      <c r="G749" s="319"/>
      <c r="H749" s="319"/>
      <c r="I749" s="308"/>
      <c r="J749" s="308"/>
      <c r="K749" s="308"/>
      <c r="L749" s="308"/>
      <c r="M749" s="308"/>
      <c r="N749" s="308"/>
      <c r="O749" s="308"/>
      <c r="P749" s="308"/>
      <c r="Q749" s="308"/>
      <c r="R749" s="308"/>
      <c r="S749" s="308"/>
      <c r="T749" s="308"/>
      <c r="U749" s="308"/>
      <c r="V749" s="308"/>
      <c r="W749" s="308"/>
      <c r="X749" s="308"/>
      <c r="Y749" s="308"/>
      <c r="Z749" s="309"/>
      <c r="AA749" s="309"/>
      <c r="AB749" s="308"/>
      <c r="AC749" s="308"/>
    </row>
    <row r="750" hidden="1">
      <c r="A750" s="308"/>
      <c r="B750" s="308"/>
      <c r="C750" s="308"/>
      <c r="D750" s="332"/>
      <c r="E750" s="308"/>
      <c r="F750" s="319"/>
      <c r="G750" s="319"/>
      <c r="H750" s="319"/>
      <c r="I750" s="308"/>
      <c r="J750" s="308"/>
      <c r="K750" s="308"/>
      <c r="L750" s="308"/>
      <c r="M750" s="308"/>
      <c r="N750" s="308"/>
      <c r="O750" s="308"/>
      <c r="P750" s="308"/>
      <c r="Q750" s="308"/>
      <c r="R750" s="308"/>
      <c r="S750" s="308"/>
      <c r="T750" s="308"/>
      <c r="U750" s="308"/>
      <c r="V750" s="308"/>
      <c r="W750" s="308"/>
      <c r="X750" s="308"/>
      <c r="Y750" s="308"/>
      <c r="Z750" s="309"/>
      <c r="AA750" s="309"/>
      <c r="AB750" s="308"/>
      <c r="AC750" s="308"/>
    </row>
    <row r="751" hidden="1">
      <c r="A751" s="308"/>
      <c r="B751" s="308"/>
      <c r="C751" s="308"/>
      <c r="D751" s="332"/>
      <c r="E751" s="308"/>
      <c r="F751" s="319"/>
      <c r="G751" s="319"/>
      <c r="H751" s="319"/>
      <c r="I751" s="308"/>
      <c r="J751" s="308"/>
      <c r="K751" s="308"/>
      <c r="L751" s="308"/>
      <c r="M751" s="308"/>
      <c r="N751" s="308"/>
      <c r="O751" s="308"/>
      <c r="P751" s="308"/>
      <c r="Q751" s="308"/>
      <c r="R751" s="308"/>
      <c r="S751" s="308"/>
      <c r="T751" s="308"/>
      <c r="U751" s="308"/>
      <c r="V751" s="308"/>
      <c r="W751" s="308"/>
      <c r="X751" s="308"/>
      <c r="Y751" s="308"/>
      <c r="Z751" s="309"/>
      <c r="AA751" s="309"/>
      <c r="AB751" s="308"/>
      <c r="AC751" s="308"/>
    </row>
    <row r="752" hidden="1">
      <c r="A752" s="308"/>
      <c r="B752" s="308"/>
      <c r="C752" s="308"/>
      <c r="D752" s="332"/>
      <c r="E752" s="308"/>
      <c r="F752" s="319"/>
      <c r="G752" s="319"/>
      <c r="H752" s="319"/>
      <c r="I752" s="308"/>
      <c r="J752" s="308"/>
      <c r="K752" s="308"/>
      <c r="L752" s="308"/>
      <c r="M752" s="308"/>
      <c r="N752" s="308"/>
      <c r="O752" s="308"/>
      <c r="P752" s="308"/>
      <c r="Q752" s="308"/>
      <c r="R752" s="308"/>
      <c r="S752" s="308"/>
      <c r="T752" s="308"/>
      <c r="U752" s="308"/>
      <c r="V752" s="308"/>
      <c r="W752" s="308"/>
      <c r="X752" s="308"/>
      <c r="Y752" s="308"/>
      <c r="Z752" s="309"/>
      <c r="AA752" s="309"/>
      <c r="AB752" s="308"/>
      <c r="AC752" s="308"/>
    </row>
    <row r="753" hidden="1">
      <c r="A753" s="308"/>
      <c r="B753" s="308"/>
      <c r="C753" s="308"/>
      <c r="D753" s="332"/>
      <c r="E753" s="308"/>
      <c r="F753" s="319"/>
      <c r="G753" s="319"/>
      <c r="H753" s="319"/>
      <c r="I753" s="308"/>
      <c r="J753" s="308"/>
      <c r="K753" s="308"/>
      <c r="L753" s="308"/>
      <c r="M753" s="308"/>
      <c r="N753" s="308"/>
      <c r="O753" s="308"/>
      <c r="P753" s="308"/>
      <c r="Q753" s="308"/>
      <c r="R753" s="308"/>
      <c r="S753" s="308"/>
      <c r="T753" s="308"/>
      <c r="U753" s="308"/>
      <c r="V753" s="308"/>
      <c r="W753" s="308"/>
      <c r="X753" s="308"/>
      <c r="Y753" s="308"/>
      <c r="Z753" s="309"/>
      <c r="AA753" s="309"/>
      <c r="AB753" s="308"/>
      <c r="AC753" s="308"/>
    </row>
    <row r="754" hidden="1">
      <c r="A754" s="308"/>
      <c r="B754" s="308"/>
      <c r="C754" s="308"/>
      <c r="D754" s="332"/>
      <c r="E754" s="308"/>
      <c r="F754" s="319"/>
      <c r="G754" s="319"/>
      <c r="H754" s="319"/>
      <c r="I754" s="308"/>
      <c r="J754" s="308"/>
      <c r="K754" s="308"/>
      <c r="L754" s="308"/>
      <c r="M754" s="308"/>
      <c r="N754" s="308"/>
      <c r="O754" s="308"/>
      <c r="P754" s="308"/>
      <c r="Q754" s="308"/>
      <c r="R754" s="308"/>
      <c r="S754" s="308"/>
      <c r="T754" s="308"/>
      <c r="U754" s="308"/>
      <c r="V754" s="308"/>
      <c r="W754" s="308"/>
      <c r="X754" s="308"/>
      <c r="Y754" s="308"/>
      <c r="Z754" s="309"/>
      <c r="AA754" s="309"/>
      <c r="AB754" s="308"/>
      <c r="AC754" s="308"/>
    </row>
    <row r="755" hidden="1">
      <c r="A755" s="308"/>
      <c r="B755" s="308"/>
      <c r="C755" s="308"/>
      <c r="D755" s="332"/>
      <c r="E755" s="308"/>
      <c r="F755" s="319"/>
      <c r="G755" s="319"/>
      <c r="H755" s="319"/>
      <c r="I755" s="308"/>
      <c r="J755" s="308"/>
      <c r="K755" s="308"/>
      <c r="L755" s="308"/>
      <c r="M755" s="308"/>
      <c r="N755" s="308"/>
      <c r="O755" s="308"/>
      <c r="P755" s="308"/>
      <c r="Q755" s="308"/>
      <c r="R755" s="308"/>
      <c r="S755" s="308"/>
      <c r="T755" s="308"/>
      <c r="U755" s="308"/>
      <c r="V755" s="308"/>
      <c r="W755" s="308"/>
      <c r="X755" s="308"/>
      <c r="Y755" s="308"/>
      <c r="Z755" s="309"/>
      <c r="AA755" s="309"/>
      <c r="AB755" s="308"/>
      <c r="AC755" s="308"/>
    </row>
    <row r="756" hidden="1">
      <c r="A756" s="308"/>
      <c r="B756" s="308"/>
      <c r="C756" s="308"/>
      <c r="D756" s="332"/>
      <c r="E756" s="308"/>
      <c r="F756" s="319"/>
      <c r="G756" s="319"/>
      <c r="H756" s="319"/>
      <c r="I756" s="308"/>
      <c r="J756" s="308"/>
      <c r="K756" s="308"/>
      <c r="L756" s="308"/>
      <c r="M756" s="308"/>
      <c r="N756" s="308"/>
      <c r="O756" s="308"/>
      <c r="P756" s="308"/>
      <c r="Q756" s="308"/>
      <c r="R756" s="308"/>
      <c r="S756" s="308"/>
      <c r="T756" s="308"/>
      <c r="U756" s="308"/>
      <c r="V756" s="308"/>
      <c r="W756" s="308"/>
      <c r="X756" s="308"/>
      <c r="Y756" s="308"/>
      <c r="Z756" s="309"/>
      <c r="AA756" s="309"/>
      <c r="AB756" s="308"/>
      <c r="AC756" s="308"/>
    </row>
    <row r="757" hidden="1">
      <c r="A757" s="308"/>
      <c r="B757" s="308"/>
      <c r="C757" s="308"/>
      <c r="D757" s="332"/>
      <c r="E757" s="308"/>
      <c r="F757" s="319"/>
      <c r="G757" s="319"/>
      <c r="H757" s="319"/>
      <c r="I757" s="308"/>
      <c r="J757" s="308"/>
      <c r="K757" s="308"/>
      <c r="L757" s="308"/>
      <c r="M757" s="308"/>
      <c r="N757" s="308"/>
      <c r="O757" s="308"/>
      <c r="P757" s="308"/>
      <c r="Q757" s="308"/>
      <c r="R757" s="308"/>
      <c r="S757" s="308"/>
      <c r="T757" s="308"/>
      <c r="U757" s="308"/>
      <c r="V757" s="308"/>
      <c r="W757" s="308"/>
      <c r="X757" s="308"/>
      <c r="Y757" s="308"/>
      <c r="Z757" s="309"/>
      <c r="AA757" s="309"/>
      <c r="AB757" s="308"/>
      <c r="AC757" s="308"/>
    </row>
    <row r="758" hidden="1">
      <c r="A758" s="308"/>
      <c r="B758" s="308"/>
      <c r="C758" s="308"/>
      <c r="D758" s="332"/>
      <c r="E758" s="308"/>
      <c r="F758" s="319"/>
      <c r="G758" s="319"/>
      <c r="H758" s="319"/>
      <c r="I758" s="308"/>
      <c r="J758" s="308"/>
      <c r="K758" s="308"/>
      <c r="L758" s="308"/>
      <c r="M758" s="308"/>
      <c r="N758" s="308"/>
      <c r="O758" s="308"/>
      <c r="P758" s="308"/>
      <c r="Q758" s="308"/>
      <c r="R758" s="308"/>
      <c r="S758" s="308"/>
      <c r="T758" s="308"/>
      <c r="U758" s="308"/>
      <c r="V758" s="308"/>
      <c r="W758" s="308"/>
      <c r="X758" s="308"/>
      <c r="Y758" s="308"/>
      <c r="Z758" s="309"/>
      <c r="AA758" s="309"/>
      <c r="AB758" s="308"/>
      <c r="AC758" s="308"/>
    </row>
    <row r="759" hidden="1">
      <c r="A759" s="308"/>
      <c r="B759" s="308"/>
      <c r="C759" s="308"/>
      <c r="D759" s="332"/>
      <c r="E759" s="308"/>
      <c r="F759" s="319"/>
      <c r="G759" s="319"/>
      <c r="H759" s="319"/>
      <c r="I759" s="308"/>
      <c r="J759" s="308"/>
      <c r="K759" s="308"/>
      <c r="L759" s="308"/>
      <c r="M759" s="308"/>
      <c r="N759" s="308"/>
      <c r="O759" s="308"/>
      <c r="P759" s="308"/>
      <c r="Q759" s="308"/>
      <c r="R759" s="308"/>
      <c r="S759" s="308"/>
      <c r="T759" s="308"/>
      <c r="U759" s="308"/>
      <c r="V759" s="308"/>
      <c r="W759" s="308"/>
      <c r="X759" s="308"/>
      <c r="Y759" s="308"/>
      <c r="Z759" s="309"/>
      <c r="AA759" s="309"/>
      <c r="AB759" s="308"/>
      <c r="AC759" s="308"/>
    </row>
    <row r="760" hidden="1">
      <c r="A760" s="308"/>
      <c r="B760" s="308"/>
      <c r="C760" s="308"/>
      <c r="D760" s="332"/>
      <c r="E760" s="308"/>
      <c r="F760" s="319"/>
      <c r="G760" s="319"/>
      <c r="H760" s="319"/>
      <c r="I760" s="308"/>
      <c r="J760" s="308"/>
      <c r="K760" s="308"/>
      <c r="L760" s="308"/>
      <c r="M760" s="308"/>
      <c r="N760" s="308"/>
      <c r="O760" s="308"/>
      <c r="P760" s="308"/>
      <c r="Q760" s="308"/>
      <c r="R760" s="308"/>
      <c r="S760" s="308"/>
      <c r="T760" s="308"/>
      <c r="U760" s="308"/>
      <c r="V760" s="308"/>
      <c r="W760" s="308"/>
      <c r="X760" s="308"/>
      <c r="Y760" s="308"/>
      <c r="Z760" s="309"/>
      <c r="AA760" s="309"/>
      <c r="AB760" s="308"/>
      <c r="AC760" s="308"/>
    </row>
    <row r="761" hidden="1">
      <c r="A761" s="308"/>
      <c r="B761" s="308"/>
      <c r="C761" s="308"/>
      <c r="D761" s="332"/>
      <c r="E761" s="308"/>
      <c r="F761" s="319"/>
      <c r="G761" s="319"/>
      <c r="H761" s="319"/>
      <c r="I761" s="308"/>
      <c r="J761" s="308"/>
      <c r="K761" s="308"/>
      <c r="L761" s="308"/>
      <c r="M761" s="308"/>
      <c r="N761" s="308"/>
      <c r="O761" s="308"/>
      <c r="P761" s="308"/>
      <c r="Q761" s="308"/>
      <c r="R761" s="308"/>
      <c r="S761" s="308"/>
      <c r="T761" s="308"/>
      <c r="U761" s="308"/>
      <c r="V761" s="308"/>
      <c r="W761" s="308"/>
      <c r="X761" s="308"/>
      <c r="Y761" s="308"/>
      <c r="Z761" s="309"/>
      <c r="AA761" s="309"/>
      <c r="AB761" s="308"/>
      <c r="AC761" s="308"/>
    </row>
    <row r="762" hidden="1">
      <c r="A762" s="308"/>
      <c r="B762" s="308"/>
      <c r="C762" s="308"/>
      <c r="D762" s="332"/>
      <c r="E762" s="308"/>
      <c r="F762" s="319"/>
      <c r="G762" s="319"/>
      <c r="H762" s="319"/>
      <c r="I762" s="308"/>
      <c r="J762" s="308"/>
      <c r="K762" s="308"/>
      <c r="L762" s="308"/>
      <c r="M762" s="308"/>
      <c r="N762" s="308"/>
      <c r="O762" s="308"/>
      <c r="P762" s="308"/>
      <c r="Q762" s="308"/>
      <c r="R762" s="308"/>
      <c r="S762" s="308"/>
      <c r="T762" s="308"/>
      <c r="U762" s="308"/>
      <c r="V762" s="308"/>
      <c r="W762" s="308"/>
      <c r="X762" s="308"/>
      <c r="Y762" s="308"/>
      <c r="Z762" s="309"/>
      <c r="AA762" s="309"/>
      <c r="AB762" s="308"/>
      <c r="AC762" s="308"/>
    </row>
    <row r="763" hidden="1">
      <c r="A763" s="308"/>
      <c r="B763" s="308"/>
      <c r="C763" s="308"/>
      <c r="D763" s="332"/>
      <c r="E763" s="308"/>
      <c r="F763" s="319"/>
      <c r="G763" s="319"/>
      <c r="H763" s="319"/>
      <c r="I763" s="308"/>
      <c r="J763" s="308"/>
      <c r="K763" s="308"/>
      <c r="L763" s="308"/>
      <c r="M763" s="308"/>
      <c r="N763" s="308"/>
      <c r="O763" s="308"/>
      <c r="P763" s="308"/>
      <c r="Q763" s="308"/>
      <c r="R763" s="308"/>
      <c r="S763" s="308"/>
      <c r="T763" s="308"/>
      <c r="U763" s="308"/>
      <c r="V763" s="308"/>
      <c r="W763" s="308"/>
      <c r="X763" s="308"/>
      <c r="Y763" s="308"/>
      <c r="Z763" s="309"/>
      <c r="AA763" s="309"/>
      <c r="AB763" s="308"/>
      <c r="AC763" s="308"/>
    </row>
    <row r="764" hidden="1">
      <c r="A764" s="308"/>
      <c r="B764" s="308"/>
      <c r="C764" s="308"/>
      <c r="D764" s="332"/>
      <c r="E764" s="308"/>
      <c r="F764" s="319"/>
      <c r="G764" s="319"/>
      <c r="H764" s="319"/>
      <c r="I764" s="308"/>
      <c r="J764" s="308"/>
      <c r="K764" s="308"/>
      <c r="L764" s="308"/>
      <c r="M764" s="308"/>
      <c r="N764" s="308"/>
      <c r="O764" s="308"/>
      <c r="P764" s="308"/>
      <c r="Q764" s="308"/>
      <c r="R764" s="308"/>
      <c r="S764" s="308"/>
      <c r="T764" s="308"/>
      <c r="U764" s="308"/>
      <c r="V764" s="308"/>
      <c r="W764" s="308"/>
      <c r="X764" s="308"/>
      <c r="Y764" s="308"/>
      <c r="Z764" s="309"/>
      <c r="AA764" s="309"/>
      <c r="AB764" s="308"/>
      <c r="AC764" s="308"/>
    </row>
    <row r="765" hidden="1">
      <c r="A765" s="308"/>
      <c r="B765" s="308"/>
      <c r="C765" s="308"/>
      <c r="D765" s="332"/>
      <c r="E765" s="308"/>
      <c r="F765" s="319"/>
      <c r="G765" s="319"/>
      <c r="H765" s="319"/>
      <c r="I765" s="308"/>
      <c r="J765" s="308"/>
      <c r="K765" s="308"/>
      <c r="L765" s="308"/>
      <c r="M765" s="308"/>
      <c r="N765" s="308"/>
      <c r="O765" s="308"/>
      <c r="P765" s="308"/>
      <c r="Q765" s="308"/>
      <c r="R765" s="308"/>
      <c r="S765" s="308"/>
      <c r="T765" s="308"/>
      <c r="U765" s="308"/>
      <c r="V765" s="308"/>
      <c r="W765" s="308"/>
      <c r="X765" s="308"/>
      <c r="Y765" s="308"/>
      <c r="Z765" s="309"/>
      <c r="AA765" s="309"/>
      <c r="AB765" s="308"/>
      <c r="AC765" s="308"/>
    </row>
    <row r="766" hidden="1">
      <c r="A766" s="308"/>
      <c r="B766" s="308"/>
      <c r="C766" s="308"/>
      <c r="D766" s="332"/>
      <c r="E766" s="308"/>
      <c r="F766" s="319"/>
      <c r="G766" s="319"/>
      <c r="H766" s="319"/>
      <c r="I766" s="308"/>
      <c r="J766" s="308"/>
      <c r="K766" s="308"/>
      <c r="L766" s="308"/>
      <c r="M766" s="308"/>
      <c r="N766" s="308"/>
      <c r="O766" s="308"/>
      <c r="P766" s="308"/>
      <c r="Q766" s="308"/>
      <c r="R766" s="308"/>
      <c r="S766" s="308"/>
      <c r="T766" s="308"/>
      <c r="U766" s="308"/>
      <c r="V766" s="308"/>
      <c r="W766" s="308"/>
      <c r="X766" s="308"/>
      <c r="Y766" s="308"/>
      <c r="Z766" s="309"/>
      <c r="AA766" s="309"/>
      <c r="AB766" s="308"/>
      <c r="AC766" s="308"/>
    </row>
    <row r="767" hidden="1">
      <c r="A767" s="308"/>
      <c r="B767" s="308"/>
      <c r="C767" s="308"/>
      <c r="D767" s="332"/>
      <c r="E767" s="308"/>
      <c r="F767" s="319"/>
      <c r="G767" s="319"/>
      <c r="H767" s="319"/>
      <c r="I767" s="308"/>
      <c r="J767" s="308"/>
      <c r="K767" s="308"/>
      <c r="L767" s="308"/>
      <c r="M767" s="308"/>
      <c r="N767" s="308"/>
      <c r="O767" s="308"/>
      <c r="P767" s="308"/>
      <c r="Q767" s="308"/>
      <c r="R767" s="308"/>
      <c r="S767" s="308"/>
      <c r="T767" s="308"/>
      <c r="U767" s="308"/>
      <c r="V767" s="308"/>
      <c r="W767" s="308"/>
      <c r="X767" s="308"/>
      <c r="Y767" s="308"/>
      <c r="Z767" s="309"/>
      <c r="AA767" s="309"/>
      <c r="AB767" s="308"/>
      <c r="AC767" s="308"/>
    </row>
    <row r="768" hidden="1">
      <c r="A768" s="308"/>
      <c r="B768" s="308"/>
      <c r="C768" s="308"/>
      <c r="D768" s="332"/>
      <c r="E768" s="308"/>
      <c r="F768" s="319"/>
      <c r="G768" s="319"/>
      <c r="H768" s="319"/>
      <c r="I768" s="308"/>
      <c r="J768" s="308"/>
      <c r="K768" s="308"/>
      <c r="L768" s="308"/>
      <c r="M768" s="308"/>
      <c r="N768" s="308"/>
      <c r="O768" s="308"/>
      <c r="P768" s="308"/>
      <c r="Q768" s="308"/>
      <c r="R768" s="308"/>
      <c r="S768" s="308"/>
      <c r="T768" s="308"/>
      <c r="U768" s="308"/>
      <c r="V768" s="308"/>
      <c r="W768" s="308"/>
      <c r="X768" s="308"/>
      <c r="Y768" s="308"/>
      <c r="Z768" s="309"/>
      <c r="AA768" s="309"/>
      <c r="AB768" s="308"/>
      <c r="AC768" s="308"/>
    </row>
    <row r="769" hidden="1">
      <c r="A769" s="308"/>
      <c r="B769" s="308"/>
      <c r="C769" s="308"/>
      <c r="D769" s="332"/>
      <c r="E769" s="308"/>
      <c r="F769" s="319"/>
      <c r="G769" s="319"/>
      <c r="H769" s="319"/>
      <c r="I769" s="308"/>
      <c r="J769" s="308"/>
      <c r="K769" s="308"/>
      <c r="L769" s="308"/>
      <c r="M769" s="308"/>
      <c r="N769" s="308"/>
      <c r="O769" s="308"/>
      <c r="P769" s="308"/>
      <c r="Q769" s="308"/>
      <c r="R769" s="308"/>
      <c r="S769" s="308"/>
      <c r="T769" s="308"/>
      <c r="U769" s="308"/>
      <c r="V769" s="308"/>
      <c r="W769" s="308"/>
      <c r="X769" s="308"/>
      <c r="Y769" s="308"/>
      <c r="Z769" s="309"/>
      <c r="AA769" s="309"/>
      <c r="AB769" s="308"/>
      <c r="AC769" s="308"/>
    </row>
    <row r="770" hidden="1">
      <c r="A770" s="308"/>
      <c r="B770" s="308"/>
      <c r="C770" s="308"/>
      <c r="D770" s="332"/>
      <c r="E770" s="308"/>
      <c r="F770" s="319"/>
      <c r="G770" s="319"/>
      <c r="H770" s="319"/>
      <c r="I770" s="308"/>
      <c r="J770" s="308"/>
      <c r="K770" s="308"/>
      <c r="L770" s="308"/>
      <c r="M770" s="308"/>
      <c r="N770" s="308"/>
      <c r="O770" s="308"/>
      <c r="P770" s="308"/>
      <c r="Q770" s="308"/>
      <c r="R770" s="308"/>
      <c r="S770" s="308"/>
      <c r="T770" s="308"/>
      <c r="U770" s="308"/>
      <c r="V770" s="308"/>
      <c r="W770" s="308"/>
      <c r="X770" s="308"/>
      <c r="Y770" s="308"/>
      <c r="Z770" s="309"/>
      <c r="AA770" s="309"/>
      <c r="AB770" s="308"/>
      <c r="AC770" s="308"/>
    </row>
    <row r="771" hidden="1">
      <c r="A771" s="308"/>
      <c r="B771" s="308"/>
      <c r="C771" s="308"/>
      <c r="D771" s="332"/>
      <c r="E771" s="308"/>
      <c r="F771" s="319"/>
      <c r="G771" s="319"/>
      <c r="H771" s="319"/>
      <c r="I771" s="308"/>
      <c r="J771" s="308"/>
      <c r="K771" s="308"/>
      <c r="L771" s="308"/>
      <c r="M771" s="308"/>
      <c r="N771" s="308"/>
      <c r="O771" s="308"/>
      <c r="P771" s="308"/>
      <c r="Q771" s="308"/>
      <c r="R771" s="308"/>
      <c r="S771" s="308"/>
      <c r="T771" s="308"/>
      <c r="U771" s="308"/>
      <c r="V771" s="308"/>
      <c r="W771" s="308"/>
      <c r="X771" s="308"/>
      <c r="Y771" s="308"/>
      <c r="Z771" s="309"/>
      <c r="AA771" s="309"/>
      <c r="AB771" s="308"/>
      <c r="AC771" s="308"/>
    </row>
    <row r="772" hidden="1">
      <c r="A772" s="308"/>
      <c r="B772" s="308"/>
      <c r="C772" s="308"/>
      <c r="D772" s="332"/>
      <c r="E772" s="308"/>
      <c r="F772" s="319"/>
      <c r="G772" s="319"/>
      <c r="H772" s="319"/>
      <c r="I772" s="308"/>
      <c r="J772" s="308"/>
      <c r="K772" s="308"/>
      <c r="L772" s="308"/>
      <c r="M772" s="308"/>
      <c r="N772" s="308"/>
      <c r="O772" s="308"/>
      <c r="P772" s="308"/>
      <c r="Q772" s="308"/>
      <c r="R772" s="308"/>
      <c r="S772" s="308"/>
      <c r="T772" s="308"/>
      <c r="U772" s="308"/>
      <c r="V772" s="308"/>
      <c r="W772" s="308"/>
      <c r="X772" s="308"/>
      <c r="Y772" s="308"/>
      <c r="Z772" s="309"/>
      <c r="AA772" s="309"/>
      <c r="AB772" s="308"/>
      <c r="AC772" s="308"/>
    </row>
    <row r="773" hidden="1">
      <c r="A773" s="308"/>
      <c r="B773" s="308"/>
      <c r="C773" s="308"/>
      <c r="D773" s="332"/>
      <c r="E773" s="308"/>
      <c r="F773" s="319"/>
      <c r="G773" s="319"/>
      <c r="H773" s="319"/>
      <c r="I773" s="308"/>
      <c r="J773" s="308"/>
      <c r="K773" s="308"/>
      <c r="L773" s="308"/>
      <c r="M773" s="308"/>
      <c r="N773" s="308"/>
      <c r="O773" s="308"/>
      <c r="P773" s="308"/>
      <c r="Q773" s="308"/>
      <c r="R773" s="308"/>
      <c r="S773" s="308"/>
      <c r="T773" s="308"/>
      <c r="U773" s="308"/>
      <c r="V773" s="308"/>
      <c r="W773" s="308"/>
      <c r="X773" s="308"/>
      <c r="Y773" s="308"/>
      <c r="Z773" s="309"/>
      <c r="AA773" s="309"/>
      <c r="AB773" s="308"/>
      <c r="AC773" s="308"/>
    </row>
    <row r="774" hidden="1">
      <c r="A774" s="308"/>
      <c r="B774" s="308"/>
      <c r="C774" s="308"/>
      <c r="D774" s="332"/>
      <c r="E774" s="308"/>
      <c r="F774" s="319"/>
      <c r="G774" s="319"/>
      <c r="H774" s="319"/>
      <c r="I774" s="308"/>
      <c r="J774" s="308"/>
      <c r="K774" s="308"/>
      <c r="L774" s="308"/>
      <c r="M774" s="308"/>
      <c r="N774" s="308"/>
      <c r="O774" s="308"/>
      <c r="P774" s="308"/>
      <c r="Q774" s="308"/>
      <c r="R774" s="308"/>
      <c r="S774" s="308"/>
      <c r="T774" s="308"/>
      <c r="U774" s="308"/>
      <c r="V774" s="308"/>
      <c r="W774" s="308"/>
      <c r="X774" s="308"/>
      <c r="Y774" s="308"/>
      <c r="Z774" s="309"/>
      <c r="AA774" s="309"/>
      <c r="AB774" s="308"/>
      <c r="AC774" s="308"/>
    </row>
    <row r="775" hidden="1">
      <c r="A775" s="308"/>
      <c r="B775" s="308"/>
      <c r="C775" s="308"/>
      <c r="D775" s="332"/>
      <c r="E775" s="308"/>
      <c r="F775" s="319"/>
      <c r="G775" s="319"/>
      <c r="H775" s="319"/>
      <c r="I775" s="308"/>
      <c r="J775" s="308"/>
      <c r="K775" s="308"/>
      <c r="L775" s="308"/>
      <c r="M775" s="308"/>
      <c r="N775" s="308"/>
      <c r="O775" s="308"/>
      <c r="P775" s="308"/>
      <c r="Q775" s="308"/>
      <c r="R775" s="308"/>
      <c r="S775" s="308"/>
      <c r="T775" s="308"/>
      <c r="U775" s="308"/>
      <c r="V775" s="308"/>
      <c r="W775" s="308"/>
      <c r="X775" s="308"/>
      <c r="Y775" s="308"/>
      <c r="Z775" s="309"/>
      <c r="AA775" s="309"/>
      <c r="AB775" s="308"/>
      <c r="AC775" s="308"/>
    </row>
    <row r="776" hidden="1">
      <c r="A776" s="308"/>
      <c r="B776" s="308"/>
      <c r="C776" s="308"/>
      <c r="D776" s="332"/>
      <c r="E776" s="308"/>
      <c r="F776" s="319"/>
      <c r="G776" s="319"/>
      <c r="H776" s="319"/>
      <c r="I776" s="308"/>
      <c r="J776" s="308"/>
      <c r="K776" s="308"/>
      <c r="L776" s="308"/>
      <c r="M776" s="308"/>
      <c r="N776" s="308"/>
      <c r="O776" s="308"/>
      <c r="P776" s="308"/>
      <c r="Q776" s="308"/>
      <c r="R776" s="308"/>
      <c r="S776" s="308"/>
      <c r="T776" s="308"/>
      <c r="U776" s="308"/>
      <c r="V776" s="308"/>
      <c r="W776" s="308"/>
      <c r="X776" s="308"/>
      <c r="Y776" s="308"/>
      <c r="Z776" s="309"/>
      <c r="AA776" s="309"/>
      <c r="AB776" s="308"/>
      <c r="AC776" s="308"/>
    </row>
    <row r="777" hidden="1">
      <c r="A777" s="308"/>
      <c r="B777" s="308"/>
      <c r="C777" s="308"/>
      <c r="D777" s="332"/>
      <c r="E777" s="308"/>
      <c r="F777" s="319"/>
      <c r="G777" s="319"/>
      <c r="H777" s="319"/>
      <c r="I777" s="308"/>
      <c r="J777" s="308"/>
      <c r="K777" s="308"/>
      <c r="L777" s="308"/>
      <c r="M777" s="308"/>
      <c r="N777" s="308"/>
      <c r="O777" s="308"/>
      <c r="P777" s="308"/>
      <c r="Q777" s="308"/>
      <c r="R777" s="308"/>
      <c r="S777" s="308"/>
      <c r="T777" s="308"/>
      <c r="U777" s="308"/>
      <c r="V777" s="308"/>
      <c r="W777" s="308"/>
      <c r="X777" s="308"/>
      <c r="Y777" s="308"/>
      <c r="Z777" s="309"/>
      <c r="AA777" s="309"/>
      <c r="AB777" s="308"/>
      <c r="AC777" s="308"/>
    </row>
    <row r="778" hidden="1">
      <c r="A778" s="308"/>
      <c r="B778" s="308"/>
      <c r="C778" s="308"/>
      <c r="D778" s="332"/>
      <c r="E778" s="308"/>
      <c r="F778" s="319"/>
      <c r="G778" s="319"/>
      <c r="H778" s="319"/>
      <c r="I778" s="308"/>
      <c r="J778" s="308"/>
      <c r="K778" s="308"/>
      <c r="L778" s="308"/>
      <c r="M778" s="308"/>
      <c r="N778" s="308"/>
      <c r="O778" s="308"/>
      <c r="P778" s="308"/>
      <c r="Q778" s="308"/>
      <c r="R778" s="308"/>
      <c r="S778" s="308"/>
      <c r="T778" s="308"/>
      <c r="U778" s="308"/>
      <c r="V778" s="308"/>
      <c r="W778" s="308"/>
      <c r="X778" s="308"/>
      <c r="Y778" s="308"/>
      <c r="Z778" s="309"/>
      <c r="AA778" s="309"/>
      <c r="AB778" s="308"/>
      <c r="AC778" s="308"/>
    </row>
    <row r="779" hidden="1">
      <c r="A779" s="308"/>
      <c r="B779" s="308"/>
      <c r="C779" s="308"/>
      <c r="D779" s="332"/>
      <c r="E779" s="308"/>
      <c r="F779" s="319"/>
      <c r="G779" s="319"/>
      <c r="H779" s="319"/>
      <c r="I779" s="308"/>
      <c r="J779" s="308"/>
      <c r="K779" s="308"/>
      <c r="L779" s="308"/>
      <c r="M779" s="308"/>
      <c r="N779" s="308"/>
      <c r="O779" s="308"/>
      <c r="P779" s="308"/>
      <c r="Q779" s="308"/>
      <c r="R779" s="308"/>
      <c r="S779" s="308"/>
      <c r="T779" s="308"/>
      <c r="U779" s="308"/>
      <c r="V779" s="308"/>
      <c r="W779" s="308"/>
      <c r="X779" s="308"/>
      <c r="Y779" s="308"/>
      <c r="Z779" s="309"/>
      <c r="AA779" s="309"/>
      <c r="AB779" s="308"/>
      <c r="AC779" s="308"/>
    </row>
    <row r="780" hidden="1">
      <c r="A780" s="308"/>
      <c r="B780" s="308"/>
      <c r="C780" s="308"/>
      <c r="D780" s="332"/>
      <c r="E780" s="308"/>
      <c r="F780" s="319"/>
      <c r="G780" s="319"/>
      <c r="H780" s="319"/>
      <c r="I780" s="308"/>
      <c r="J780" s="308"/>
      <c r="K780" s="308"/>
      <c r="L780" s="308"/>
      <c r="M780" s="308"/>
      <c r="N780" s="308"/>
      <c r="O780" s="308"/>
      <c r="P780" s="308"/>
      <c r="Q780" s="308"/>
      <c r="R780" s="308"/>
      <c r="S780" s="308"/>
      <c r="T780" s="308"/>
      <c r="U780" s="308"/>
      <c r="V780" s="308"/>
      <c r="W780" s="308"/>
      <c r="X780" s="308"/>
      <c r="Y780" s="308"/>
      <c r="Z780" s="309"/>
      <c r="AA780" s="309"/>
      <c r="AB780" s="308"/>
      <c r="AC780" s="308"/>
    </row>
    <row r="781" hidden="1">
      <c r="A781" s="308"/>
      <c r="B781" s="308"/>
      <c r="C781" s="308"/>
      <c r="D781" s="332"/>
      <c r="E781" s="308"/>
      <c r="F781" s="319"/>
      <c r="G781" s="319"/>
      <c r="H781" s="319"/>
      <c r="I781" s="308"/>
      <c r="J781" s="308"/>
      <c r="K781" s="308"/>
      <c r="L781" s="308"/>
      <c r="M781" s="308"/>
      <c r="N781" s="308"/>
      <c r="O781" s="308"/>
      <c r="P781" s="308"/>
      <c r="Q781" s="308"/>
      <c r="R781" s="308"/>
      <c r="S781" s="308"/>
      <c r="T781" s="308"/>
      <c r="U781" s="308"/>
      <c r="V781" s="308"/>
      <c r="W781" s="308"/>
      <c r="X781" s="308"/>
      <c r="Y781" s="308"/>
      <c r="Z781" s="309"/>
      <c r="AA781" s="309"/>
      <c r="AB781" s="308"/>
      <c r="AC781" s="308"/>
    </row>
    <row r="782" hidden="1">
      <c r="A782" s="308"/>
      <c r="B782" s="308"/>
      <c r="C782" s="308"/>
      <c r="D782" s="332"/>
      <c r="E782" s="308"/>
      <c r="F782" s="319"/>
      <c r="G782" s="319"/>
      <c r="H782" s="319"/>
      <c r="I782" s="308"/>
      <c r="J782" s="308"/>
      <c r="K782" s="308"/>
      <c r="L782" s="308"/>
      <c r="M782" s="308"/>
      <c r="N782" s="308"/>
      <c r="O782" s="308"/>
      <c r="P782" s="308"/>
      <c r="Q782" s="308"/>
      <c r="R782" s="308"/>
      <c r="S782" s="308"/>
      <c r="T782" s="308"/>
      <c r="U782" s="308"/>
      <c r="V782" s="308"/>
      <c r="W782" s="308"/>
      <c r="X782" s="308"/>
      <c r="Y782" s="308"/>
      <c r="Z782" s="309"/>
      <c r="AA782" s="309"/>
      <c r="AB782" s="308"/>
      <c r="AC782" s="308"/>
    </row>
    <row r="783" hidden="1">
      <c r="A783" s="308"/>
      <c r="B783" s="308"/>
      <c r="C783" s="308"/>
      <c r="D783" s="332"/>
      <c r="E783" s="308"/>
      <c r="F783" s="319"/>
      <c r="G783" s="319"/>
      <c r="H783" s="319"/>
      <c r="I783" s="308"/>
      <c r="J783" s="308"/>
      <c r="K783" s="308"/>
      <c r="L783" s="308"/>
      <c r="M783" s="308"/>
      <c r="N783" s="308"/>
      <c r="O783" s="308"/>
      <c r="P783" s="308"/>
      <c r="Q783" s="308"/>
      <c r="R783" s="308"/>
      <c r="S783" s="308"/>
      <c r="T783" s="308"/>
      <c r="U783" s="308"/>
      <c r="V783" s="308"/>
      <c r="W783" s="308"/>
      <c r="X783" s="308"/>
      <c r="Y783" s="308"/>
      <c r="Z783" s="309"/>
      <c r="AA783" s="309"/>
      <c r="AB783" s="308"/>
      <c r="AC783" s="308"/>
    </row>
    <row r="784" hidden="1">
      <c r="A784" s="308"/>
      <c r="B784" s="308"/>
      <c r="C784" s="308"/>
      <c r="D784" s="332"/>
      <c r="E784" s="308"/>
      <c r="F784" s="319"/>
      <c r="G784" s="319"/>
      <c r="H784" s="319"/>
      <c r="I784" s="308"/>
      <c r="J784" s="308"/>
      <c r="K784" s="308"/>
      <c r="L784" s="308"/>
      <c r="M784" s="308"/>
      <c r="N784" s="308"/>
      <c r="O784" s="308"/>
      <c r="P784" s="308"/>
      <c r="Q784" s="308"/>
      <c r="R784" s="308"/>
      <c r="S784" s="308"/>
      <c r="T784" s="308"/>
      <c r="U784" s="308"/>
      <c r="V784" s="308"/>
      <c r="W784" s="308"/>
      <c r="X784" s="308"/>
      <c r="Y784" s="308"/>
      <c r="Z784" s="309"/>
      <c r="AA784" s="309"/>
      <c r="AB784" s="308"/>
      <c r="AC784" s="308"/>
    </row>
    <row r="785" hidden="1">
      <c r="A785" s="308"/>
      <c r="B785" s="308"/>
      <c r="C785" s="308"/>
      <c r="D785" s="332"/>
      <c r="E785" s="308"/>
      <c r="F785" s="319"/>
      <c r="G785" s="319"/>
      <c r="H785" s="319"/>
      <c r="I785" s="308"/>
      <c r="J785" s="308"/>
      <c r="K785" s="308"/>
      <c r="L785" s="308"/>
      <c r="M785" s="308"/>
      <c r="N785" s="308"/>
      <c r="O785" s="308"/>
      <c r="P785" s="308"/>
      <c r="Q785" s="308"/>
      <c r="R785" s="308"/>
      <c r="S785" s="308"/>
      <c r="T785" s="308"/>
      <c r="U785" s="308"/>
      <c r="V785" s="308"/>
      <c r="W785" s="308"/>
      <c r="X785" s="308"/>
      <c r="Y785" s="308"/>
      <c r="Z785" s="309"/>
      <c r="AA785" s="309"/>
      <c r="AB785" s="308"/>
      <c r="AC785" s="308"/>
    </row>
    <row r="786" hidden="1">
      <c r="A786" s="308"/>
      <c r="B786" s="308"/>
      <c r="C786" s="308"/>
      <c r="D786" s="332"/>
      <c r="E786" s="308"/>
      <c r="F786" s="319"/>
      <c r="G786" s="319"/>
      <c r="H786" s="319"/>
      <c r="I786" s="308"/>
      <c r="J786" s="308"/>
      <c r="K786" s="308"/>
      <c r="L786" s="308"/>
      <c r="M786" s="308"/>
      <c r="N786" s="308"/>
      <c r="O786" s="308"/>
      <c r="P786" s="308"/>
      <c r="Q786" s="308"/>
      <c r="R786" s="308"/>
      <c r="S786" s="308"/>
      <c r="T786" s="308"/>
      <c r="U786" s="308"/>
      <c r="V786" s="308"/>
      <c r="W786" s="308"/>
      <c r="X786" s="308"/>
      <c r="Y786" s="308"/>
      <c r="Z786" s="309"/>
      <c r="AA786" s="309"/>
      <c r="AB786" s="308"/>
      <c r="AC786" s="308"/>
    </row>
    <row r="787" hidden="1">
      <c r="A787" s="308"/>
      <c r="B787" s="308"/>
      <c r="C787" s="308"/>
      <c r="D787" s="332"/>
      <c r="E787" s="308"/>
      <c r="F787" s="319"/>
      <c r="G787" s="319"/>
      <c r="H787" s="319"/>
      <c r="I787" s="308"/>
      <c r="J787" s="308"/>
      <c r="K787" s="308"/>
      <c r="L787" s="308"/>
      <c r="M787" s="308"/>
      <c r="N787" s="308"/>
      <c r="O787" s="308"/>
      <c r="P787" s="308"/>
      <c r="Q787" s="308"/>
      <c r="R787" s="308"/>
      <c r="S787" s="308"/>
      <c r="T787" s="308"/>
      <c r="U787" s="308"/>
      <c r="V787" s="308"/>
      <c r="W787" s="308"/>
      <c r="X787" s="308"/>
      <c r="Y787" s="308"/>
      <c r="Z787" s="309"/>
      <c r="AA787" s="309"/>
      <c r="AB787" s="308"/>
      <c r="AC787" s="308"/>
    </row>
    <row r="788" hidden="1">
      <c r="A788" s="308"/>
      <c r="B788" s="308"/>
      <c r="C788" s="308"/>
      <c r="D788" s="332"/>
      <c r="E788" s="308"/>
      <c r="F788" s="319"/>
      <c r="G788" s="319"/>
      <c r="H788" s="319"/>
      <c r="I788" s="308"/>
      <c r="J788" s="308"/>
      <c r="K788" s="308"/>
      <c r="L788" s="308"/>
      <c r="M788" s="308"/>
      <c r="N788" s="308"/>
      <c r="O788" s="308"/>
      <c r="P788" s="308"/>
      <c r="Q788" s="308"/>
      <c r="R788" s="308"/>
      <c r="S788" s="308"/>
      <c r="T788" s="308"/>
      <c r="U788" s="308"/>
      <c r="V788" s="308"/>
      <c r="W788" s="308"/>
      <c r="X788" s="308"/>
      <c r="Y788" s="308"/>
      <c r="Z788" s="309"/>
      <c r="AA788" s="309"/>
      <c r="AB788" s="308"/>
      <c r="AC788" s="308"/>
    </row>
    <row r="789" hidden="1">
      <c r="A789" s="308"/>
      <c r="B789" s="308"/>
      <c r="C789" s="308"/>
      <c r="D789" s="332"/>
      <c r="E789" s="308"/>
      <c r="F789" s="319"/>
      <c r="G789" s="319"/>
      <c r="H789" s="319"/>
      <c r="I789" s="308"/>
      <c r="J789" s="308"/>
      <c r="K789" s="308"/>
      <c r="L789" s="308"/>
      <c r="M789" s="308"/>
      <c r="N789" s="308"/>
      <c r="O789" s="308"/>
      <c r="P789" s="308"/>
      <c r="Q789" s="308"/>
      <c r="R789" s="308"/>
      <c r="S789" s="308"/>
      <c r="T789" s="308"/>
      <c r="U789" s="308"/>
      <c r="V789" s="308"/>
      <c r="W789" s="308"/>
      <c r="X789" s="308"/>
      <c r="Y789" s="308"/>
      <c r="Z789" s="309"/>
      <c r="AA789" s="309"/>
      <c r="AB789" s="308"/>
      <c r="AC789" s="308"/>
    </row>
    <row r="790" hidden="1">
      <c r="A790" s="308"/>
      <c r="B790" s="308"/>
      <c r="C790" s="308"/>
      <c r="D790" s="332"/>
      <c r="E790" s="308"/>
      <c r="F790" s="319"/>
      <c r="G790" s="319"/>
      <c r="H790" s="319"/>
      <c r="I790" s="308"/>
      <c r="J790" s="308"/>
      <c r="K790" s="308"/>
      <c r="L790" s="308"/>
      <c r="M790" s="308"/>
      <c r="N790" s="308"/>
      <c r="O790" s="308"/>
      <c r="P790" s="308"/>
      <c r="Q790" s="308"/>
      <c r="R790" s="308"/>
      <c r="S790" s="308"/>
      <c r="T790" s="308"/>
      <c r="U790" s="308"/>
      <c r="V790" s="308"/>
      <c r="W790" s="308"/>
      <c r="X790" s="308"/>
      <c r="Y790" s="308"/>
      <c r="Z790" s="309"/>
      <c r="AA790" s="309"/>
      <c r="AB790" s="308"/>
      <c r="AC790" s="308"/>
    </row>
    <row r="791" hidden="1">
      <c r="A791" s="308"/>
      <c r="B791" s="308"/>
      <c r="C791" s="308"/>
      <c r="D791" s="332"/>
      <c r="E791" s="308"/>
      <c r="F791" s="319"/>
      <c r="G791" s="319"/>
      <c r="H791" s="319"/>
      <c r="I791" s="308"/>
      <c r="J791" s="308"/>
      <c r="K791" s="308"/>
      <c r="L791" s="308"/>
      <c r="M791" s="308"/>
      <c r="N791" s="308"/>
      <c r="O791" s="308"/>
      <c r="P791" s="308"/>
      <c r="Q791" s="308"/>
      <c r="R791" s="308"/>
      <c r="S791" s="308"/>
      <c r="T791" s="308"/>
      <c r="U791" s="308"/>
      <c r="V791" s="308"/>
      <c r="W791" s="308"/>
      <c r="X791" s="308"/>
      <c r="Y791" s="308"/>
      <c r="Z791" s="309"/>
      <c r="AA791" s="309"/>
      <c r="AB791" s="308"/>
      <c r="AC791" s="308"/>
    </row>
    <row r="792" hidden="1">
      <c r="A792" s="308"/>
      <c r="B792" s="308"/>
      <c r="C792" s="308"/>
      <c r="D792" s="332"/>
      <c r="E792" s="308"/>
      <c r="F792" s="319"/>
      <c r="G792" s="319"/>
      <c r="H792" s="319"/>
      <c r="I792" s="308"/>
      <c r="J792" s="308"/>
      <c r="K792" s="308"/>
      <c r="L792" s="308"/>
      <c r="M792" s="308"/>
      <c r="N792" s="308"/>
      <c r="O792" s="308"/>
      <c r="P792" s="308"/>
      <c r="Q792" s="308"/>
      <c r="R792" s="308"/>
      <c r="S792" s="308"/>
      <c r="T792" s="308"/>
      <c r="U792" s="308"/>
      <c r="V792" s="308"/>
      <c r="W792" s="308"/>
      <c r="X792" s="308"/>
      <c r="Y792" s="308"/>
      <c r="Z792" s="309"/>
      <c r="AA792" s="309"/>
      <c r="AB792" s="308"/>
      <c r="AC792" s="308"/>
    </row>
    <row r="793" hidden="1">
      <c r="A793" s="308"/>
      <c r="B793" s="308"/>
      <c r="C793" s="308"/>
      <c r="D793" s="332"/>
      <c r="E793" s="308"/>
      <c r="F793" s="319"/>
      <c r="G793" s="319"/>
      <c r="H793" s="319"/>
      <c r="I793" s="308"/>
      <c r="J793" s="308"/>
      <c r="K793" s="308"/>
      <c r="L793" s="308"/>
      <c r="M793" s="308"/>
      <c r="N793" s="308"/>
      <c r="O793" s="308"/>
      <c r="P793" s="308"/>
      <c r="Q793" s="308"/>
      <c r="R793" s="308"/>
      <c r="S793" s="308"/>
      <c r="T793" s="308"/>
      <c r="U793" s="308"/>
      <c r="V793" s="308"/>
      <c r="W793" s="308"/>
      <c r="X793" s="308"/>
      <c r="Y793" s="308"/>
      <c r="Z793" s="309"/>
      <c r="AA793" s="309"/>
      <c r="AB793" s="308"/>
      <c r="AC793" s="308"/>
    </row>
    <row r="794" hidden="1">
      <c r="A794" s="308"/>
      <c r="B794" s="308"/>
      <c r="C794" s="308"/>
      <c r="D794" s="332"/>
      <c r="E794" s="308"/>
      <c r="F794" s="319"/>
      <c r="G794" s="319"/>
      <c r="H794" s="319"/>
      <c r="I794" s="308"/>
      <c r="J794" s="308"/>
      <c r="K794" s="308"/>
      <c r="L794" s="308"/>
      <c r="M794" s="308"/>
      <c r="N794" s="308"/>
      <c r="O794" s="308"/>
      <c r="P794" s="308"/>
      <c r="Q794" s="308"/>
      <c r="R794" s="308"/>
      <c r="S794" s="308"/>
      <c r="T794" s="308"/>
      <c r="U794" s="308"/>
      <c r="V794" s="308"/>
      <c r="W794" s="308"/>
      <c r="X794" s="308"/>
      <c r="Y794" s="308"/>
      <c r="Z794" s="309"/>
      <c r="AA794" s="309"/>
      <c r="AB794" s="308"/>
      <c r="AC794" s="308"/>
    </row>
    <row r="795" hidden="1">
      <c r="A795" s="308"/>
      <c r="B795" s="308"/>
      <c r="C795" s="308"/>
      <c r="D795" s="308"/>
      <c r="E795" s="308"/>
      <c r="F795" s="319"/>
      <c r="G795" s="319"/>
      <c r="H795" s="319"/>
      <c r="I795" s="308"/>
      <c r="J795" s="308"/>
      <c r="K795" s="308"/>
      <c r="L795" s="308"/>
      <c r="M795" s="308"/>
      <c r="N795" s="308"/>
      <c r="O795" s="308"/>
      <c r="P795" s="308"/>
      <c r="Q795" s="308"/>
      <c r="R795" s="308"/>
      <c r="S795" s="308"/>
      <c r="T795" s="308"/>
      <c r="U795" s="308"/>
      <c r="V795" s="308"/>
      <c r="W795" s="308"/>
      <c r="X795" s="308"/>
      <c r="Y795" s="308"/>
      <c r="Z795" s="309"/>
      <c r="AA795" s="309"/>
      <c r="AB795" s="308"/>
      <c r="AC795" s="308"/>
    </row>
    <row r="796" hidden="1">
      <c r="A796" s="308"/>
      <c r="B796" s="308"/>
      <c r="C796" s="308"/>
      <c r="D796" s="308"/>
      <c r="E796" s="308"/>
      <c r="F796" s="319"/>
      <c r="G796" s="319"/>
      <c r="H796" s="319"/>
      <c r="I796" s="308"/>
      <c r="J796" s="308"/>
      <c r="K796" s="308"/>
      <c r="L796" s="308"/>
      <c r="M796" s="308"/>
      <c r="N796" s="308"/>
      <c r="O796" s="308"/>
      <c r="P796" s="308"/>
      <c r="Q796" s="308"/>
      <c r="R796" s="308"/>
      <c r="S796" s="308"/>
      <c r="T796" s="308"/>
      <c r="U796" s="308"/>
      <c r="V796" s="308"/>
      <c r="W796" s="308"/>
      <c r="X796" s="308"/>
      <c r="Y796" s="308"/>
      <c r="Z796" s="309"/>
      <c r="AA796" s="309"/>
      <c r="AB796" s="308"/>
      <c r="AC796" s="308"/>
    </row>
    <row r="797" hidden="1">
      <c r="A797" s="308"/>
      <c r="B797" s="308"/>
      <c r="C797" s="308"/>
      <c r="D797" s="308"/>
      <c r="E797" s="308"/>
      <c r="F797" s="319"/>
      <c r="G797" s="319"/>
      <c r="H797" s="319"/>
      <c r="I797" s="308"/>
      <c r="J797" s="308"/>
      <c r="K797" s="308"/>
      <c r="L797" s="308"/>
      <c r="M797" s="308"/>
      <c r="N797" s="308"/>
      <c r="O797" s="308"/>
      <c r="P797" s="308"/>
      <c r="Q797" s="308"/>
      <c r="R797" s="308"/>
      <c r="S797" s="308"/>
      <c r="T797" s="308"/>
      <c r="U797" s="308"/>
      <c r="V797" s="308"/>
      <c r="W797" s="308"/>
      <c r="X797" s="308"/>
      <c r="Y797" s="308"/>
      <c r="Z797" s="309"/>
      <c r="AA797" s="309"/>
      <c r="AB797" s="308"/>
      <c r="AC797" s="308"/>
    </row>
    <row r="798" hidden="1">
      <c r="A798" s="308"/>
      <c r="B798" s="308"/>
      <c r="C798" s="308"/>
      <c r="D798" s="308"/>
      <c r="E798" s="308"/>
      <c r="F798" s="319"/>
      <c r="G798" s="319"/>
      <c r="H798" s="319"/>
      <c r="I798" s="308"/>
      <c r="J798" s="308"/>
      <c r="K798" s="308"/>
      <c r="L798" s="308"/>
      <c r="M798" s="308"/>
      <c r="N798" s="308"/>
      <c r="O798" s="308"/>
      <c r="P798" s="308"/>
      <c r="Q798" s="308"/>
      <c r="R798" s="308"/>
      <c r="S798" s="308"/>
      <c r="T798" s="308"/>
      <c r="U798" s="308"/>
      <c r="V798" s="308"/>
      <c r="W798" s="308"/>
      <c r="X798" s="308"/>
      <c r="Y798" s="308"/>
      <c r="Z798" s="309"/>
      <c r="AA798" s="309"/>
      <c r="AB798" s="308"/>
      <c r="AC798" s="308"/>
    </row>
    <row r="799" hidden="1">
      <c r="A799" s="308"/>
      <c r="B799" s="308"/>
      <c r="C799" s="308"/>
      <c r="D799" s="308"/>
      <c r="E799" s="308"/>
      <c r="F799" s="319"/>
      <c r="G799" s="319"/>
      <c r="H799" s="319"/>
      <c r="I799" s="308"/>
      <c r="J799" s="308"/>
      <c r="K799" s="308"/>
      <c r="L799" s="308"/>
      <c r="M799" s="308"/>
      <c r="N799" s="308"/>
      <c r="O799" s="308"/>
      <c r="P799" s="308"/>
      <c r="Q799" s="308"/>
      <c r="R799" s="308"/>
      <c r="S799" s="308"/>
      <c r="T799" s="308"/>
      <c r="U799" s="308"/>
      <c r="V799" s="308"/>
      <c r="W799" s="308"/>
      <c r="X799" s="308"/>
      <c r="Y799" s="308"/>
      <c r="Z799" s="309"/>
      <c r="AA799" s="309"/>
      <c r="AB799" s="308"/>
      <c r="AC799" s="308"/>
    </row>
    <row r="800" hidden="1">
      <c r="A800" s="308"/>
      <c r="B800" s="308"/>
      <c r="C800" s="308"/>
      <c r="D800" s="308"/>
      <c r="E800" s="308"/>
      <c r="F800" s="319"/>
      <c r="G800" s="319"/>
      <c r="H800" s="319"/>
      <c r="I800" s="308"/>
      <c r="J800" s="308"/>
      <c r="K800" s="308"/>
      <c r="L800" s="308"/>
      <c r="M800" s="308"/>
      <c r="N800" s="308"/>
      <c r="O800" s="308"/>
      <c r="P800" s="308"/>
      <c r="Q800" s="308"/>
      <c r="R800" s="308"/>
      <c r="S800" s="308"/>
      <c r="T800" s="308"/>
      <c r="U800" s="308"/>
      <c r="V800" s="308"/>
      <c r="W800" s="308"/>
      <c r="X800" s="308"/>
      <c r="Y800" s="308"/>
      <c r="Z800" s="309"/>
      <c r="AA800" s="309"/>
      <c r="AB800" s="308"/>
      <c r="AC800" s="308"/>
    </row>
    <row r="801" hidden="1">
      <c r="A801" s="308"/>
      <c r="B801" s="308"/>
      <c r="C801" s="308"/>
      <c r="D801" s="308"/>
      <c r="E801" s="308"/>
      <c r="F801" s="319"/>
      <c r="G801" s="319"/>
      <c r="H801" s="319"/>
      <c r="I801" s="308"/>
      <c r="J801" s="308"/>
      <c r="K801" s="308"/>
      <c r="L801" s="308"/>
      <c r="M801" s="308"/>
      <c r="N801" s="308"/>
      <c r="O801" s="308"/>
      <c r="P801" s="308"/>
      <c r="Q801" s="308"/>
      <c r="R801" s="308"/>
      <c r="S801" s="308"/>
      <c r="T801" s="308"/>
      <c r="U801" s="308"/>
      <c r="V801" s="308"/>
      <c r="W801" s="308"/>
      <c r="X801" s="308"/>
      <c r="Y801" s="308"/>
      <c r="Z801" s="309"/>
      <c r="AA801" s="309"/>
      <c r="AB801" s="308"/>
      <c r="AC801" s="308"/>
    </row>
    <row r="802" hidden="1">
      <c r="A802" s="308"/>
      <c r="B802" s="308"/>
      <c r="C802" s="308"/>
      <c r="D802" s="308"/>
      <c r="E802" s="308"/>
      <c r="F802" s="319"/>
      <c r="G802" s="319"/>
      <c r="H802" s="319"/>
      <c r="I802" s="308"/>
      <c r="J802" s="308"/>
      <c r="K802" s="308"/>
      <c r="L802" s="308"/>
      <c r="M802" s="308"/>
      <c r="N802" s="308"/>
      <c r="O802" s="308"/>
      <c r="P802" s="308"/>
      <c r="Q802" s="308"/>
      <c r="R802" s="308"/>
      <c r="S802" s="308"/>
      <c r="T802" s="308"/>
      <c r="U802" s="308"/>
      <c r="V802" s="308"/>
      <c r="W802" s="308"/>
      <c r="X802" s="308"/>
      <c r="Y802" s="308"/>
      <c r="Z802" s="309"/>
      <c r="AA802" s="309"/>
      <c r="AB802" s="308"/>
      <c r="AC802" s="308"/>
    </row>
    <row r="803" hidden="1">
      <c r="A803" s="308"/>
      <c r="B803" s="308"/>
      <c r="C803" s="308"/>
      <c r="D803" s="308"/>
      <c r="E803" s="308"/>
      <c r="F803" s="319"/>
      <c r="G803" s="319"/>
      <c r="H803" s="319"/>
      <c r="I803" s="308"/>
      <c r="J803" s="308"/>
      <c r="K803" s="308"/>
      <c r="L803" s="308"/>
      <c r="M803" s="308"/>
      <c r="N803" s="308"/>
      <c r="O803" s="308"/>
      <c r="P803" s="308"/>
      <c r="Q803" s="308"/>
      <c r="R803" s="308"/>
      <c r="S803" s="308"/>
      <c r="T803" s="308"/>
      <c r="U803" s="308"/>
      <c r="V803" s="308"/>
      <c r="W803" s="308"/>
      <c r="X803" s="308"/>
      <c r="Y803" s="308"/>
      <c r="Z803" s="309"/>
      <c r="AA803" s="309"/>
      <c r="AB803" s="308"/>
      <c r="AC803" s="308"/>
    </row>
    <row r="804" hidden="1">
      <c r="A804" s="308"/>
      <c r="B804" s="308"/>
      <c r="C804" s="308"/>
      <c r="D804" s="308"/>
      <c r="E804" s="308"/>
      <c r="F804" s="319"/>
      <c r="G804" s="319"/>
      <c r="H804" s="319"/>
      <c r="I804" s="308"/>
      <c r="J804" s="308"/>
      <c r="K804" s="308"/>
      <c r="L804" s="308"/>
      <c r="M804" s="308"/>
      <c r="N804" s="308"/>
      <c r="O804" s="308"/>
      <c r="P804" s="308"/>
      <c r="Q804" s="308"/>
      <c r="R804" s="308"/>
      <c r="S804" s="308"/>
      <c r="T804" s="308"/>
      <c r="U804" s="308"/>
      <c r="V804" s="308"/>
      <c r="W804" s="308"/>
      <c r="X804" s="308"/>
      <c r="Y804" s="308"/>
      <c r="Z804" s="309"/>
      <c r="AA804" s="309"/>
      <c r="AB804" s="308"/>
      <c r="AC804" s="308"/>
    </row>
    <row r="805" hidden="1">
      <c r="A805" s="308"/>
      <c r="B805" s="308"/>
      <c r="C805" s="308"/>
      <c r="D805" s="308"/>
      <c r="E805" s="308"/>
      <c r="F805" s="319"/>
      <c r="G805" s="319"/>
      <c r="H805" s="319"/>
      <c r="I805" s="308"/>
      <c r="J805" s="308"/>
      <c r="K805" s="308"/>
      <c r="L805" s="308"/>
      <c r="M805" s="308"/>
      <c r="N805" s="308"/>
      <c r="O805" s="308"/>
      <c r="P805" s="308"/>
      <c r="Q805" s="308"/>
      <c r="R805" s="308"/>
      <c r="S805" s="308"/>
      <c r="T805" s="308"/>
      <c r="U805" s="308"/>
      <c r="V805" s="308"/>
      <c r="W805" s="308"/>
      <c r="X805" s="308"/>
      <c r="Y805" s="308"/>
      <c r="Z805" s="309"/>
      <c r="AA805" s="309"/>
      <c r="AB805" s="308"/>
      <c r="AC805" s="308"/>
    </row>
    <row r="806" hidden="1">
      <c r="A806" s="308"/>
      <c r="B806" s="308"/>
      <c r="C806" s="308"/>
      <c r="D806" s="308"/>
      <c r="E806" s="308"/>
      <c r="F806" s="319"/>
      <c r="G806" s="319"/>
      <c r="H806" s="319"/>
      <c r="I806" s="308"/>
      <c r="J806" s="308"/>
      <c r="K806" s="308"/>
      <c r="L806" s="308"/>
      <c r="M806" s="308"/>
      <c r="N806" s="308"/>
      <c r="O806" s="308"/>
      <c r="P806" s="308"/>
      <c r="Q806" s="308"/>
      <c r="R806" s="308"/>
      <c r="S806" s="308"/>
      <c r="T806" s="308"/>
      <c r="U806" s="308"/>
      <c r="V806" s="308"/>
      <c r="W806" s="308"/>
      <c r="X806" s="308"/>
      <c r="Y806" s="308"/>
      <c r="Z806" s="309"/>
      <c r="AA806" s="309"/>
      <c r="AB806" s="308"/>
      <c r="AC806" s="308"/>
    </row>
    <row r="807" hidden="1">
      <c r="A807" s="308"/>
      <c r="B807" s="308"/>
      <c r="C807" s="308"/>
      <c r="D807" s="308"/>
      <c r="E807" s="308"/>
      <c r="F807" s="319"/>
      <c r="G807" s="319"/>
      <c r="H807" s="319"/>
      <c r="I807" s="308"/>
      <c r="J807" s="308"/>
      <c r="K807" s="308"/>
      <c r="L807" s="308"/>
      <c r="M807" s="308"/>
      <c r="N807" s="308"/>
      <c r="O807" s="308"/>
      <c r="P807" s="308"/>
      <c r="Q807" s="308"/>
      <c r="R807" s="308"/>
      <c r="S807" s="308"/>
      <c r="T807" s="308"/>
      <c r="U807" s="308"/>
      <c r="V807" s="308"/>
      <c r="W807" s="308"/>
      <c r="X807" s="308"/>
      <c r="Y807" s="308"/>
      <c r="Z807" s="309"/>
      <c r="AA807" s="309"/>
      <c r="AB807" s="308"/>
      <c r="AC807" s="308"/>
    </row>
    <row r="808" hidden="1">
      <c r="A808" s="308"/>
      <c r="B808" s="308"/>
      <c r="C808" s="308"/>
      <c r="D808" s="308"/>
      <c r="E808" s="308"/>
      <c r="F808" s="319"/>
      <c r="G808" s="319"/>
      <c r="H808" s="319"/>
      <c r="I808" s="308"/>
      <c r="J808" s="308"/>
      <c r="K808" s="308"/>
      <c r="L808" s="308"/>
      <c r="M808" s="308"/>
      <c r="N808" s="308"/>
      <c r="O808" s="308"/>
      <c r="P808" s="308"/>
      <c r="Q808" s="308"/>
      <c r="R808" s="308"/>
      <c r="S808" s="308"/>
      <c r="T808" s="308"/>
      <c r="U808" s="308"/>
      <c r="V808" s="308"/>
      <c r="W808" s="308"/>
      <c r="X808" s="308"/>
      <c r="Y808" s="308"/>
      <c r="Z808" s="309"/>
      <c r="AA808" s="309"/>
      <c r="AB808" s="308"/>
      <c r="AC808" s="308"/>
    </row>
    <row r="809" hidden="1">
      <c r="A809" s="308"/>
      <c r="B809" s="308"/>
      <c r="C809" s="308"/>
      <c r="D809" s="308"/>
      <c r="E809" s="308"/>
      <c r="F809" s="319"/>
      <c r="G809" s="319"/>
      <c r="H809" s="319"/>
      <c r="I809" s="308"/>
      <c r="J809" s="308"/>
      <c r="K809" s="308"/>
      <c r="L809" s="308"/>
      <c r="M809" s="308"/>
      <c r="N809" s="308"/>
      <c r="O809" s="308"/>
      <c r="P809" s="308"/>
      <c r="Q809" s="308"/>
      <c r="R809" s="308"/>
      <c r="S809" s="308"/>
      <c r="T809" s="308"/>
      <c r="U809" s="308"/>
      <c r="V809" s="308"/>
      <c r="W809" s="308"/>
      <c r="X809" s="308"/>
      <c r="Y809" s="308"/>
      <c r="Z809" s="309"/>
      <c r="AA809" s="309"/>
      <c r="AB809" s="308"/>
      <c r="AC809" s="308"/>
    </row>
    <row r="810" hidden="1">
      <c r="A810" s="308"/>
      <c r="B810" s="308"/>
      <c r="C810" s="308"/>
      <c r="D810" s="308"/>
      <c r="E810" s="308"/>
      <c r="F810" s="319"/>
      <c r="G810" s="319"/>
      <c r="H810" s="319"/>
      <c r="I810" s="308"/>
      <c r="J810" s="308"/>
      <c r="K810" s="308"/>
      <c r="L810" s="308"/>
      <c r="M810" s="308"/>
      <c r="N810" s="308"/>
      <c r="O810" s="308"/>
      <c r="P810" s="308"/>
      <c r="Q810" s="308"/>
      <c r="R810" s="308"/>
      <c r="S810" s="308"/>
      <c r="T810" s="308"/>
      <c r="U810" s="308"/>
      <c r="V810" s="308"/>
      <c r="W810" s="308"/>
      <c r="X810" s="308"/>
      <c r="Y810" s="308"/>
      <c r="Z810" s="309"/>
      <c r="AA810" s="309"/>
      <c r="AB810" s="308"/>
      <c r="AC810" s="308"/>
    </row>
    <row r="811" hidden="1">
      <c r="A811" s="308"/>
      <c r="B811" s="308"/>
      <c r="C811" s="308"/>
      <c r="D811" s="308"/>
      <c r="E811" s="308"/>
      <c r="F811" s="319"/>
      <c r="G811" s="319"/>
      <c r="H811" s="319"/>
      <c r="I811" s="308"/>
      <c r="J811" s="308"/>
      <c r="K811" s="308"/>
      <c r="L811" s="308"/>
      <c r="M811" s="308"/>
      <c r="N811" s="308"/>
      <c r="O811" s="308"/>
      <c r="P811" s="308"/>
      <c r="Q811" s="308"/>
      <c r="R811" s="308"/>
      <c r="S811" s="308"/>
      <c r="T811" s="308"/>
      <c r="U811" s="308"/>
      <c r="V811" s="308"/>
      <c r="W811" s="308"/>
      <c r="X811" s="308"/>
      <c r="Y811" s="308"/>
      <c r="Z811" s="309"/>
      <c r="AA811" s="309"/>
      <c r="AB811" s="308"/>
      <c r="AC811" s="308"/>
    </row>
    <row r="812" hidden="1">
      <c r="A812" s="308"/>
      <c r="B812" s="308"/>
      <c r="C812" s="308"/>
      <c r="D812" s="308"/>
      <c r="E812" s="308"/>
      <c r="F812" s="319"/>
      <c r="G812" s="319"/>
      <c r="H812" s="319"/>
      <c r="I812" s="308"/>
      <c r="J812" s="308"/>
      <c r="K812" s="308"/>
      <c r="L812" s="308"/>
      <c r="M812" s="308"/>
      <c r="N812" s="308"/>
      <c r="O812" s="308"/>
      <c r="P812" s="308"/>
      <c r="Q812" s="308"/>
      <c r="R812" s="308"/>
      <c r="S812" s="308"/>
      <c r="T812" s="308"/>
      <c r="U812" s="308"/>
      <c r="V812" s="308"/>
      <c r="W812" s="308"/>
      <c r="X812" s="308"/>
      <c r="Y812" s="308"/>
      <c r="Z812" s="309"/>
      <c r="AA812" s="309"/>
      <c r="AB812" s="308"/>
      <c r="AC812" s="308"/>
    </row>
    <row r="813" hidden="1">
      <c r="A813" s="308"/>
      <c r="B813" s="308"/>
      <c r="C813" s="308"/>
      <c r="D813" s="308"/>
      <c r="E813" s="308"/>
      <c r="F813" s="319"/>
      <c r="G813" s="319"/>
      <c r="H813" s="319"/>
      <c r="I813" s="308"/>
      <c r="J813" s="308"/>
      <c r="K813" s="308"/>
      <c r="L813" s="308"/>
      <c r="M813" s="308"/>
      <c r="N813" s="308"/>
      <c r="O813" s="308"/>
      <c r="P813" s="308"/>
      <c r="Q813" s="308"/>
      <c r="R813" s="308"/>
      <c r="S813" s="308"/>
      <c r="T813" s="308"/>
      <c r="U813" s="308"/>
      <c r="V813" s="308"/>
      <c r="W813" s="308"/>
      <c r="X813" s="308"/>
      <c r="Y813" s="308"/>
      <c r="Z813" s="309"/>
      <c r="AA813" s="309"/>
      <c r="AB813" s="308"/>
      <c r="AC813" s="308"/>
    </row>
    <row r="814" hidden="1">
      <c r="A814" s="308"/>
      <c r="B814" s="308"/>
      <c r="C814" s="308"/>
      <c r="D814" s="308"/>
      <c r="E814" s="308"/>
      <c r="F814" s="319"/>
      <c r="G814" s="319"/>
      <c r="H814" s="319"/>
      <c r="I814" s="308"/>
      <c r="J814" s="308"/>
      <c r="K814" s="308"/>
      <c r="L814" s="308"/>
      <c r="M814" s="308"/>
      <c r="N814" s="308"/>
      <c r="O814" s="308"/>
      <c r="P814" s="308"/>
      <c r="Q814" s="308"/>
      <c r="R814" s="308"/>
      <c r="S814" s="308"/>
      <c r="T814" s="308"/>
      <c r="U814" s="308"/>
      <c r="V814" s="308"/>
      <c r="W814" s="308"/>
      <c r="X814" s="308"/>
      <c r="Y814" s="308"/>
      <c r="Z814" s="309"/>
      <c r="AA814" s="309"/>
      <c r="AB814" s="308"/>
      <c r="AC814" s="308"/>
    </row>
    <row r="815" hidden="1">
      <c r="A815" s="308"/>
      <c r="B815" s="308"/>
      <c r="C815" s="308"/>
      <c r="D815" s="308"/>
      <c r="E815" s="308"/>
      <c r="F815" s="319"/>
      <c r="G815" s="319"/>
      <c r="H815" s="319"/>
      <c r="I815" s="308"/>
      <c r="J815" s="308"/>
      <c r="K815" s="308"/>
      <c r="L815" s="308"/>
      <c r="M815" s="308"/>
      <c r="N815" s="308"/>
      <c r="O815" s="308"/>
      <c r="P815" s="308"/>
      <c r="Q815" s="308"/>
      <c r="R815" s="308"/>
      <c r="S815" s="308"/>
      <c r="T815" s="308"/>
      <c r="U815" s="308"/>
      <c r="V815" s="308"/>
      <c r="W815" s="308"/>
      <c r="X815" s="308"/>
      <c r="Y815" s="308"/>
      <c r="Z815" s="309"/>
      <c r="AA815" s="309"/>
      <c r="AB815" s="308"/>
      <c r="AC815" s="308"/>
    </row>
    <row r="816" hidden="1">
      <c r="A816" s="308"/>
      <c r="B816" s="308"/>
      <c r="C816" s="308"/>
      <c r="D816" s="308"/>
      <c r="E816" s="308"/>
      <c r="F816" s="319"/>
      <c r="G816" s="319"/>
      <c r="H816" s="319"/>
      <c r="I816" s="308"/>
      <c r="J816" s="308"/>
      <c r="K816" s="308"/>
      <c r="L816" s="308"/>
      <c r="M816" s="308"/>
      <c r="N816" s="308"/>
      <c r="O816" s="308"/>
      <c r="P816" s="308"/>
      <c r="Q816" s="308"/>
      <c r="R816" s="308"/>
      <c r="S816" s="308"/>
      <c r="T816" s="308"/>
      <c r="U816" s="308"/>
      <c r="V816" s="308"/>
      <c r="W816" s="308"/>
      <c r="X816" s="308"/>
      <c r="Y816" s="308"/>
      <c r="Z816" s="309"/>
      <c r="AA816" s="309"/>
      <c r="AB816" s="308"/>
      <c r="AC816" s="308"/>
    </row>
    <row r="817" hidden="1">
      <c r="A817" s="308"/>
      <c r="B817" s="308"/>
      <c r="C817" s="308"/>
      <c r="D817" s="308"/>
      <c r="E817" s="308"/>
      <c r="F817" s="319"/>
      <c r="G817" s="319"/>
      <c r="H817" s="319"/>
      <c r="I817" s="308"/>
      <c r="J817" s="308"/>
      <c r="K817" s="308"/>
      <c r="L817" s="308"/>
      <c r="M817" s="308"/>
      <c r="N817" s="308"/>
      <c r="O817" s="308"/>
      <c r="P817" s="308"/>
      <c r="Q817" s="308"/>
      <c r="R817" s="308"/>
      <c r="S817" s="308"/>
      <c r="T817" s="308"/>
      <c r="U817" s="308"/>
      <c r="V817" s="308"/>
      <c r="W817" s="308"/>
      <c r="X817" s="308"/>
      <c r="Y817" s="308"/>
      <c r="Z817" s="309"/>
      <c r="AA817" s="309"/>
      <c r="AB817" s="308"/>
      <c r="AC817" s="308"/>
    </row>
    <row r="818" hidden="1">
      <c r="A818" s="308"/>
      <c r="B818" s="308"/>
      <c r="C818" s="308"/>
      <c r="D818" s="308"/>
      <c r="E818" s="308"/>
      <c r="F818" s="319"/>
      <c r="G818" s="319"/>
      <c r="H818" s="319"/>
      <c r="I818" s="308"/>
      <c r="J818" s="308"/>
      <c r="K818" s="308"/>
      <c r="L818" s="308"/>
      <c r="M818" s="308"/>
      <c r="N818" s="308"/>
      <c r="O818" s="308"/>
      <c r="P818" s="308"/>
      <c r="Q818" s="308"/>
      <c r="R818" s="308"/>
      <c r="S818" s="308"/>
      <c r="T818" s="308"/>
      <c r="U818" s="308"/>
      <c r="V818" s="308"/>
      <c r="W818" s="308"/>
      <c r="X818" s="308"/>
      <c r="Y818" s="308"/>
      <c r="Z818" s="309"/>
      <c r="AA818" s="309"/>
      <c r="AB818" s="308"/>
      <c r="AC818" s="308"/>
    </row>
    <row r="819" hidden="1">
      <c r="A819" s="308"/>
      <c r="B819" s="308"/>
      <c r="C819" s="308"/>
      <c r="D819" s="308"/>
      <c r="E819" s="308"/>
      <c r="F819" s="319"/>
      <c r="G819" s="319"/>
      <c r="H819" s="319"/>
      <c r="I819" s="308"/>
      <c r="J819" s="308"/>
      <c r="K819" s="308"/>
      <c r="L819" s="308"/>
      <c r="M819" s="308"/>
      <c r="N819" s="308"/>
      <c r="O819" s="308"/>
      <c r="P819" s="308"/>
      <c r="Q819" s="308"/>
      <c r="R819" s="308"/>
      <c r="S819" s="308"/>
      <c r="T819" s="308"/>
      <c r="U819" s="308"/>
      <c r="V819" s="308"/>
      <c r="W819" s="308"/>
      <c r="X819" s="308"/>
      <c r="Y819" s="308"/>
      <c r="Z819" s="309"/>
      <c r="AA819" s="309"/>
      <c r="AB819" s="308"/>
      <c r="AC819" s="308"/>
    </row>
    <row r="820" hidden="1">
      <c r="A820" s="308"/>
      <c r="B820" s="308"/>
      <c r="C820" s="308"/>
      <c r="D820" s="308"/>
      <c r="E820" s="308"/>
      <c r="F820" s="319"/>
      <c r="G820" s="319"/>
      <c r="H820" s="319"/>
      <c r="I820" s="308"/>
      <c r="J820" s="308"/>
      <c r="K820" s="308"/>
      <c r="L820" s="308"/>
      <c r="M820" s="308"/>
      <c r="N820" s="308"/>
      <c r="O820" s="308"/>
      <c r="P820" s="308"/>
      <c r="Q820" s="308"/>
      <c r="R820" s="308"/>
      <c r="S820" s="308"/>
      <c r="T820" s="308"/>
      <c r="U820" s="308"/>
      <c r="V820" s="308"/>
      <c r="W820" s="308"/>
      <c r="X820" s="308"/>
      <c r="Y820" s="308"/>
      <c r="Z820" s="309"/>
      <c r="AA820" s="309"/>
      <c r="AB820" s="308"/>
      <c r="AC820" s="308"/>
    </row>
    <row r="821" hidden="1">
      <c r="A821" s="308"/>
      <c r="B821" s="308"/>
      <c r="C821" s="308"/>
      <c r="D821" s="308"/>
      <c r="E821" s="308"/>
      <c r="F821" s="319"/>
      <c r="G821" s="319"/>
      <c r="H821" s="319"/>
      <c r="I821" s="308"/>
      <c r="J821" s="308"/>
      <c r="K821" s="308"/>
      <c r="L821" s="308"/>
      <c r="M821" s="308"/>
      <c r="N821" s="308"/>
      <c r="O821" s="308"/>
      <c r="P821" s="308"/>
      <c r="Q821" s="308"/>
      <c r="R821" s="308"/>
      <c r="S821" s="308"/>
      <c r="T821" s="308"/>
      <c r="U821" s="308"/>
      <c r="V821" s="308"/>
      <c r="W821" s="308"/>
      <c r="X821" s="308"/>
      <c r="Y821" s="308"/>
      <c r="Z821" s="309"/>
      <c r="AA821" s="309"/>
      <c r="AB821" s="308"/>
      <c r="AC821" s="308"/>
    </row>
    <row r="822" hidden="1">
      <c r="A822" s="308"/>
      <c r="B822" s="308"/>
      <c r="C822" s="308"/>
      <c r="D822" s="308"/>
      <c r="E822" s="308"/>
      <c r="F822" s="319"/>
      <c r="G822" s="319"/>
      <c r="H822" s="319"/>
      <c r="I822" s="308"/>
      <c r="J822" s="308"/>
      <c r="K822" s="308"/>
      <c r="L822" s="308"/>
      <c r="M822" s="308"/>
      <c r="N822" s="308"/>
      <c r="O822" s="308"/>
      <c r="P822" s="308"/>
      <c r="Q822" s="308"/>
      <c r="R822" s="308"/>
      <c r="S822" s="308"/>
      <c r="T822" s="308"/>
      <c r="U822" s="308"/>
      <c r="V822" s="308"/>
      <c r="W822" s="308"/>
      <c r="X822" s="308"/>
      <c r="Y822" s="308"/>
      <c r="Z822" s="309"/>
      <c r="AA822" s="309"/>
      <c r="AB822" s="308"/>
      <c r="AC822" s="308"/>
    </row>
    <row r="823" hidden="1">
      <c r="A823" s="308"/>
      <c r="B823" s="308"/>
      <c r="C823" s="308"/>
      <c r="D823" s="308"/>
      <c r="E823" s="308"/>
      <c r="F823" s="319"/>
      <c r="G823" s="319"/>
      <c r="H823" s="319"/>
      <c r="I823" s="308"/>
      <c r="J823" s="308"/>
      <c r="K823" s="308"/>
      <c r="L823" s="308"/>
      <c r="M823" s="308"/>
      <c r="N823" s="308"/>
      <c r="O823" s="308"/>
      <c r="P823" s="308"/>
      <c r="Q823" s="308"/>
      <c r="R823" s="308"/>
      <c r="S823" s="308"/>
      <c r="T823" s="308"/>
      <c r="U823" s="308"/>
      <c r="V823" s="308"/>
      <c r="W823" s="308"/>
      <c r="X823" s="308"/>
      <c r="Y823" s="308"/>
      <c r="Z823" s="309"/>
      <c r="AA823" s="309"/>
      <c r="AB823" s="308"/>
      <c r="AC823" s="308"/>
    </row>
    <row r="824" hidden="1">
      <c r="A824" s="308"/>
      <c r="B824" s="308"/>
      <c r="C824" s="308"/>
      <c r="D824" s="308"/>
      <c r="E824" s="308"/>
      <c r="F824" s="319"/>
      <c r="G824" s="319"/>
      <c r="H824" s="319"/>
      <c r="I824" s="308"/>
      <c r="J824" s="308"/>
      <c r="K824" s="308"/>
      <c r="L824" s="308"/>
      <c r="M824" s="308"/>
      <c r="N824" s="308"/>
      <c r="O824" s="308"/>
      <c r="P824" s="308"/>
      <c r="Q824" s="308"/>
      <c r="R824" s="308"/>
      <c r="S824" s="308"/>
      <c r="T824" s="308"/>
      <c r="U824" s="308"/>
      <c r="V824" s="308"/>
      <c r="W824" s="308"/>
      <c r="X824" s="308"/>
      <c r="Y824" s="308"/>
      <c r="Z824" s="309"/>
      <c r="AA824" s="309"/>
      <c r="AB824" s="308"/>
      <c r="AC824" s="308"/>
    </row>
    <row r="825" hidden="1">
      <c r="A825" s="308"/>
      <c r="B825" s="308"/>
      <c r="C825" s="308"/>
      <c r="D825" s="308"/>
      <c r="E825" s="308"/>
      <c r="F825" s="319"/>
      <c r="G825" s="319"/>
      <c r="H825" s="319"/>
      <c r="I825" s="308"/>
      <c r="J825" s="308"/>
      <c r="K825" s="308"/>
      <c r="L825" s="308"/>
      <c r="M825" s="308"/>
      <c r="N825" s="308"/>
      <c r="O825" s="308"/>
      <c r="P825" s="308"/>
      <c r="Q825" s="308"/>
      <c r="R825" s="308"/>
      <c r="S825" s="308"/>
      <c r="T825" s="308"/>
      <c r="U825" s="308"/>
      <c r="V825" s="308"/>
      <c r="W825" s="308"/>
      <c r="X825" s="308"/>
      <c r="Y825" s="308"/>
      <c r="Z825" s="309"/>
      <c r="AA825" s="309"/>
      <c r="AB825" s="308"/>
      <c r="AC825" s="308"/>
    </row>
    <row r="826" hidden="1">
      <c r="A826" s="308"/>
      <c r="B826" s="308"/>
      <c r="C826" s="308"/>
      <c r="D826" s="308"/>
      <c r="E826" s="308"/>
      <c r="F826" s="319"/>
      <c r="G826" s="319"/>
      <c r="H826" s="319"/>
      <c r="I826" s="308"/>
      <c r="J826" s="308"/>
      <c r="K826" s="308"/>
      <c r="L826" s="308"/>
      <c r="M826" s="308"/>
      <c r="N826" s="308"/>
      <c r="O826" s="308"/>
      <c r="P826" s="308"/>
      <c r="Q826" s="308"/>
      <c r="R826" s="308"/>
      <c r="S826" s="308"/>
      <c r="T826" s="308"/>
      <c r="U826" s="308"/>
      <c r="V826" s="308"/>
      <c r="W826" s="308"/>
      <c r="X826" s="308"/>
      <c r="Y826" s="308"/>
      <c r="Z826" s="309"/>
      <c r="AA826" s="309"/>
      <c r="AB826" s="308"/>
      <c r="AC826" s="308"/>
    </row>
    <row r="827" hidden="1">
      <c r="A827" s="308"/>
      <c r="B827" s="308"/>
      <c r="C827" s="308"/>
      <c r="D827" s="308"/>
      <c r="E827" s="308"/>
      <c r="F827" s="319"/>
      <c r="G827" s="319"/>
      <c r="H827" s="319"/>
      <c r="I827" s="308"/>
      <c r="J827" s="308"/>
      <c r="K827" s="308"/>
      <c r="L827" s="308"/>
      <c r="M827" s="308"/>
      <c r="N827" s="308"/>
      <c r="O827" s="308"/>
      <c r="P827" s="308"/>
      <c r="Q827" s="308"/>
      <c r="R827" s="308"/>
      <c r="S827" s="308"/>
      <c r="T827" s="308"/>
      <c r="U827" s="308"/>
      <c r="V827" s="308"/>
      <c r="W827" s="308"/>
      <c r="X827" s="308"/>
      <c r="Y827" s="308"/>
      <c r="Z827" s="309"/>
      <c r="AA827" s="309"/>
      <c r="AB827" s="308"/>
      <c r="AC827" s="308"/>
    </row>
    <row r="828" hidden="1">
      <c r="A828" s="308"/>
      <c r="B828" s="308"/>
      <c r="C828" s="308"/>
      <c r="D828" s="308"/>
      <c r="E828" s="308"/>
      <c r="F828" s="319"/>
      <c r="G828" s="319"/>
      <c r="H828" s="319"/>
      <c r="I828" s="308"/>
      <c r="J828" s="308"/>
      <c r="K828" s="308"/>
      <c r="L828" s="308"/>
      <c r="M828" s="308"/>
      <c r="N828" s="308"/>
      <c r="O828" s="308"/>
      <c r="P828" s="308"/>
      <c r="Q828" s="308"/>
      <c r="R828" s="308"/>
      <c r="S828" s="308"/>
      <c r="T828" s="308"/>
      <c r="U828" s="308"/>
      <c r="V828" s="308"/>
      <c r="W828" s="308"/>
      <c r="X828" s="308"/>
      <c r="Y828" s="308"/>
      <c r="Z828" s="309"/>
      <c r="AA828" s="309"/>
      <c r="AB828" s="308"/>
      <c r="AC828" s="308"/>
    </row>
    <row r="829" hidden="1">
      <c r="A829" s="308"/>
      <c r="B829" s="308"/>
      <c r="C829" s="308"/>
      <c r="D829" s="308"/>
      <c r="E829" s="308"/>
      <c r="F829" s="319"/>
      <c r="G829" s="319"/>
      <c r="H829" s="319"/>
      <c r="I829" s="308"/>
      <c r="J829" s="308"/>
      <c r="K829" s="308"/>
      <c r="L829" s="308"/>
      <c r="M829" s="308"/>
      <c r="N829" s="308"/>
      <c r="O829" s="308"/>
      <c r="P829" s="308"/>
      <c r="Q829" s="308"/>
      <c r="R829" s="308"/>
      <c r="S829" s="308"/>
      <c r="T829" s="308"/>
      <c r="U829" s="308"/>
      <c r="V829" s="308"/>
      <c r="W829" s="308"/>
      <c r="X829" s="308"/>
      <c r="Y829" s="308"/>
      <c r="Z829" s="309"/>
      <c r="AA829" s="309"/>
      <c r="AB829" s="308"/>
      <c r="AC829" s="308"/>
    </row>
    <row r="830" hidden="1">
      <c r="A830" s="308"/>
      <c r="B830" s="308"/>
      <c r="C830" s="308"/>
      <c r="D830" s="308"/>
      <c r="E830" s="308"/>
      <c r="F830" s="319"/>
      <c r="G830" s="319"/>
      <c r="H830" s="319"/>
      <c r="I830" s="308"/>
      <c r="J830" s="308"/>
      <c r="K830" s="308"/>
      <c r="L830" s="308"/>
      <c r="M830" s="308"/>
      <c r="N830" s="308"/>
      <c r="O830" s="308"/>
      <c r="P830" s="308"/>
      <c r="Q830" s="308"/>
      <c r="R830" s="308"/>
      <c r="S830" s="308"/>
      <c r="T830" s="308"/>
      <c r="U830" s="308"/>
      <c r="V830" s="308"/>
      <c r="W830" s="308"/>
      <c r="X830" s="308"/>
      <c r="Y830" s="308"/>
      <c r="Z830" s="309"/>
      <c r="AA830" s="309"/>
      <c r="AB830" s="308"/>
      <c r="AC830" s="308"/>
    </row>
    <row r="831" hidden="1">
      <c r="A831" s="308"/>
      <c r="B831" s="308"/>
      <c r="C831" s="308"/>
      <c r="D831" s="308"/>
      <c r="E831" s="308"/>
      <c r="F831" s="319"/>
      <c r="G831" s="319"/>
      <c r="H831" s="319"/>
      <c r="I831" s="308"/>
      <c r="J831" s="308"/>
      <c r="K831" s="308"/>
      <c r="L831" s="308"/>
      <c r="M831" s="308"/>
      <c r="N831" s="308"/>
      <c r="O831" s="308"/>
      <c r="P831" s="308"/>
      <c r="Q831" s="308"/>
      <c r="R831" s="308"/>
      <c r="S831" s="308"/>
      <c r="T831" s="308"/>
      <c r="U831" s="308"/>
      <c r="V831" s="308"/>
      <c r="W831" s="308"/>
      <c r="X831" s="308"/>
      <c r="Y831" s="308"/>
      <c r="Z831" s="309"/>
      <c r="AA831" s="309"/>
      <c r="AB831" s="308"/>
      <c r="AC831" s="308"/>
    </row>
    <row r="832" hidden="1">
      <c r="A832" s="308"/>
      <c r="B832" s="308"/>
      <c r="C832" s="308"/>
      <c r="D832" s="308"/>
      <c r="E832" s="308"/>
      <c r="F832" s="319"/>
      <c r="G832" s="319"/>
      <c r="H832" s="319"/>
      <c r="I832" s="308"/>
      <c r="J832" s="308"/>
      <c r="K832" s="308"/>
      <c r="L832" s="308"/>
      <c r="M832" s="308"/>
      <c r="N832" s="308"/>
      <c r="O832" s="308"/>
      <c r="P832" s="308"/>
      <c r="Q832" s="308"/>
      <c r="R832" s="308"/>
      <c r="S832" s="308"/>
      <c r="T832" s="308"/>
      <c r="U832" s="308"/>
      <c r="V832" s="308"/>
      <c r="W832" s="308"/>
      <c r="X832" s="308"/>
      <c r="Y832" s="308"/>
      <c r="Z832" s="309"/>
      <c r="AA832" s="309"/>
      <c r="AB832" s="308"/>
      <c r="AC832" s="308"/>
    </row>
    <row r="833" hidden="1">
      <c r="A833" s="308"/>
      <c r="B833" s="308"/>
      <c r="C833" s="308"/>
      <c r="D833" s="308"/>
      <c r="E833" s="308"/>
      <c r="F833" s="319"/>
      <c r="G833" s="319"/>
      <c r="H833" s="319"/>
      <c r="I833" s="308"/>
      <c r="J833" s="308"/>
      <c r="K833" s="308"/>
      <c r="L833" s="308"/>
      <c r="M833" s="308"/>
      <c r="N833" s="308"/>
      <c r="O833" s="308"/>
      <c r="P833" s="308"/>
      <c r="Q833" s="308"/>
      <c r="R833" s="308"/>
      <c r="S833" s="308"/>
      <c r="T833" s="308"/>
      <c r="U833" s="308"/>
      <c r="V833" s="308"/>
      <c r="W833" s="308"/>
      <c r="X833" s="308"/>
      <c r="Y833" s="308"/>
      <c r="Z833" s="309"/>
      <c r="AA833" s="309"/>
      <c r="AB833" s="308"/>
      <c r="AC833" s="308"/>
    </row>
    <row r="834" hidden="1">
      <c r="A834" s="308"/>
      <c r="B834" s="308"/>
      <c r="C834" s="308"/>
      <c r="D834" s="308"/>
      <c r="E834" s="308"/>
      <c r="F834" s="319"/>
      <c r="G834" s="319"/>
      <c r="H834" s="319"/>
      <c r="I834" s="308"/>
      <c r="J834" s="308"/>
      <c r="K834" s="308"/>
      <c r="L834" s="308"/>
      <c r="M834" s="308"/>
      <c r="N834" s="308"/>
      <c r="O834" s="308"/>
      <c r="P834" s="308"/>
      <c r="Q834" s="308"/>
      <c r="R834" s="308"/>
      <c r="S834" s="308"/>
      <c r="T834" s="308"/>
      <c r="U834" s="308"/>
      <c r="V834" s="308"/>
      <c r="W834" s="308"/>
      <c r="X834" s="308"/>
      <c r="Y834" s="308"/>
      <c r="Z834" s="309"/>
      <c r="AA834" s="309"/>
      <c r="AB834" s="308"/>
      <c r="AC834" s="308"/>
    </row>
    <row r="835" hidden="1">
      <c r="A835" s="308"/>
      <c r="B835" s="308"/>
      <c r="C835" s="308"/>
      <c r="D835" s="308"/>
      <c r="E835" s="308"/>
      <c r="F835" s="319"/>
      <c r="G835" s="319"/>
      <c r="H835" s="319"/>
      <c r="I835" s="308"/>
      <c r="J835" s="308"/>
      <c r="K835" s="308"/>
      <c r="L835" s="308"/>
      <c r="M835" s="308"/>
      <c r="N835" s="308"/>
      <c r="O835" s="308"/>
      <c r="P835" s="308"/>
      <c r="Q835" s="308"/>
      <c r="R835" s="308"/>
      <c r="S835" s="308"/>
      <c r="T835" s="308"/>
      <c r="U835" s="308"/>
      <c r="V835" s="308"/>
      <c r="W835" s="308"/>
      <c r="X835" s="308"/>
      <c r="Y835" s="308"/>
      <c r="Z835" s="309"/>
      <c r="AA835" s="309"/>
      <c r="AB835" s="308"/>
      <c r="AC835" s="308"/>
    </row>
    <row r="836" hidden="1">
      <c r="A836" s="308"/>
      <c r="B836" s="308"/>
      <c r="C836" s="308"/>
      <c r="D836" s="308"/>
      <c r="E836" s="308"/>
      <c r="F836" s="319"/>
      <c r="G836" s="319"/>
      <c r="H836" s="319"/>
      <c r="I836" s="308"/>
      <c r="J836" s="308"/>
      <c r="K836" s="308"/>
      <c r="L836" s="308"/>
      <c r="M836" s="308"/>
      <c r="N836" s="308"/>
      <c r="O836" s="308"/>
      <c r="P836" s="308"/>
      <c r="Q836" s="308"/>
      <c r="R836" s="308"/>
      <c r="S836" s="308"/>
      <c r="T836" s="308"/>
      <c r="U836" s="308"/>
      <c r="V836" s="308"/>
      <c r="W836" s="308"/>
      <c r="X836" s="308"/>
      <c r="Y836" s="308"/>
      <c r="Z836" s="309"/>
      <c r="AA836" s="309"/>
      <c r="AB836" s="308"/>
      <c r="AC836" s="308"/>
    </row>
    <row r="837" hidden="1">
      <c r="A837" s="308"/>
      <c r="B837" s="308"/>
      <c r="C837" s="308"/>
      <c r="D837" s="308"/>
      <c r="E837" s="308"/>
      <c r="F837" s="319"/>
      <c r="G837" s="319"/>
      <c r="H837" s="319"/>
      <c r="I837" s="308"/>
      <c r="J837" s="308"/>
      <c r="K837" s="308"/>
      <c r="L837" s="308"/>
      <c r="M837" s="308"/>
      <c r="N837" s="308"/>
      <c r="O837" s="308"/>
      <c r="P837" s="308"/>
      <c r="Q837" s="308"/>
      <c r="R837" s="308"/>
      <c r="S837" s="308"/>
      <c r="T837" s="308"/>
      <c r="U837" s="308"/>
      <c r="V837" s="308"/>
      <c r="W837" s="308"/>
      <c r="X837" s="308"/>
      <c r="Y837" s="308"/>
      <c r="Z837" s="309"/>
      <c r="AA837" s="309"/>
      <c r="AB837" s="308"/>
      <c r="AC837" s="308"/>
    </row>
    <row r="838" hidden="1">
      <c r="A838" s="308"/>
      <c r="B838" s="308"/>
      <c r="C838" s="308"/>
      <c r="D838" s="308"/>
      <c r="E838" s="308"/>
      <c r="F838" s="319"/>
      <c r="G838" s="319"/>
      <c r="H838" s="319"/>
      <c r="I838" s="308"/>
      <c r="J838" s="308"/>
      <c r="K838" s="308"/>
      <c r="L838" s="308"/>
      <c r="M838" s="308"/>
      <c r="N838" s="308"/>
      <c r="O838" s="308"/>
      <c r="P838" s="308"/>
      <c r="Q838" s="308"/>
      <c r="R838" s="308"/>
      <c r="S838" s="308"/>
      <c r="T838" s="308"/>
      <c r="U838" s="308"/>
      <c r="V838" s="308"/>
      <c r="W838" s="308"/>
      <c r="X838" s="308"/>
      <c r="Y838" s="308"/>
      <c r="Z838" s="309"/>
      <c r="AA838" s="309"/>
      <c r="AB838" s="308"/>
      <c r="AC838" s="308"/>
    </row>
    <row r="839" hidden="1">
      <c r="A839" s="308"/>
      <c r="B839" s="308"/>
      <c r="C839" s="308"/>
      <c r="D839" s="308"/>
      <c r="E839" s="308"/>
      <c r="F839" s="319"/>
      <c r="G839" s="319"/>
      <c r="H839" s="319"/>
      <c r="I839" s="308"/>
      <c r="J839" s="308"/>
      <c r="K839" s="308"/>
      <c r="L839" s="308"/>
      <c r="M839" s="308"/>
      <c r="N839" s="308"/>
      <c r="O839" s="308"/>
      <c r="P839" s="308"/>
      <c r="Q839" s="308"/>
      <c r="R839" s="308"/>
      <c r="S839" s="308"/>
      <c r="T839" s="308"/>
      <c r="U839" s="308"/>
      <c r="V839" s="308"/>
      <c r="W839" s="308"/>
      <c r="X839" s="308"/>
      <c r="Y839" s="308"/>
      <c r="Z839" s="309"/>
      <c r="AA839" s="309"/>
      <c r="AB839" s="308"/>
      <c r="AC839" s="308"/>
    </row>
    <row r="840" hidden="1">
      <c r="A840" s="308"/>
      <c r="B840" s="308"/>
      <c r="C840" s="308"/>
      <c r="D840" s="308"/>
      <c r="E840" s="308"/>
      <c r="F840" s="319"/>
      <c r="G840" s="319"/>
      <c r="H840" s="319"/>
      <c r="I840" s="308"/>
      <c r="J840" s="308"/>
      <c r="K840" s="308"/>
      <c r="L840" s="308"/>
      <c r="M840" s="308"/>
      <c r="N840" s="308"/>
      <c r="O840" s="308"/>
      <c r="P840" s="308"/>
      <c r="Q840" s="308"/>
      <c r="R840" s="308"/>
      <c r="S840" s="308"/>
      <c r="T840" s="308"/>
      <c r="U840" s="308"/>
      <c r="V840" s="308"/>
      <c r="W840" s="308"/>
      <c r="X840" s="308"/>
      <c r="Y840" s="308"/>
      <c r="Z840" s="309"/>
      <c r="AA840" s="309"/>
      <c r="AB840" s="308"/>
      <c r="AC840" s="308"/>
    </row>
    <row r="841" hidden="1">
      <c r="A841" s="308"/>
      <c r="B841" s="308"/>
      <c r="C841" s="308"/>
      <c r="D841" s="308"/>
      <c r="E841" s="308"/>
      <c r="F841" s="319"/>
      <c r="G841" s="319"/>
      <c r="H841" s="319"/>
      <c r="I841" s="308"/>
      <c r="J841" s="308"/>
      <c r="K841" s="308"/>
      <c r="L841" s="308"/>
      <c r="M841" s="308"/>
      <c r="N841" s="308"/>
      <c r="O841" s="308"/>
      <c r="P841" s="308"/>
      <c r="Q841" s="308"/>
      <c r="R841" s="308"/>
      <c r="S841" s="308"/>
      <c r="T841" s="308"/>
      <c r="U841" s="308"/>
      <c r="V841" s="308"/>
      <c r="W841" s="308"/>
      <c r="X841" s="308"/>
      <c r="Y841" s="308"/>
      <c r="Z841" s="309"/>
      <c r="AA841" s="309"/>
      <c r="AB841" s="308"/>
      <c r="AC841" s="308"/>
    </row>
    <row r="842" hidden="1">
      <c r="A842" s="308"/>
      <c r="B842" s="308"/>
      <c r="C842" s="308"/>
      <c r="D842" s="308"/>
      <c r="E842" s="308"/>
      <c r="F842" s="319"/>
      <c r="G842" s="319"/>
      <c r="H842" s="319"/>
      <c r="I842" s="308"/>
      <c r="J842" s="308"/>
      <c r="K842" s="308"/>
      <c r="L842" s="308"/>
      <c r="M842" s="308"/>
      <c r="N842" s="308"/>
      <c r="O842" s="308"/>
      <c r="P842" s="308"/>
      <c r="Q842" s="308"/>
      <c r="R842" s="308"/>
      <c r="S842" s="308"/>
      <c r="T842" s="308"/>
      <c r="U842" s="308"/>
      <c r="V842" s="308"/>
      <c r="W842" s="308"/>
      <c r="X842" s="308"/>
      <c r="Y842" s="308"/>
      <c r="Z842" s="309"/>
      <c r="AA842" s="309"/>
      <c r="AB842" s="308"/>
      <c r="AC842" s="308"/>
    </row>
    <row r="843" hidden="1">
      <c r="A843" s="308"/>
      <c r="B843" s="308"/>
      <c r="C843" s="308"/>
      <c r="D843" s="308"/>
      <c r="E843" s="308"/>
      <c r="F843" s="319"/>
      <c r="G843" s="319"/>
      <c r="H843" s="319"/>
      <c r="I843" s="308"/>
      <c r="J843" s="308"/>
      <c r="K843" s="308"/>
      <c r="L843" s="308"/>
      <c r="M843" s="308"/>
      <c r="N843" s="308"/>
      <c r="O843" s="308"/>
      <c r="P843" s="308"/>
      <c r="Q843" s="308"/>
      <c r="R843" s="308"/>
      <c r="S843" s="308"/>
      <c r="T843" s="308"/>
      <c r="U843" s="308"/>
      <c r="V843" s="308"/>
      <c r="W843" s="308"/>
      <c r="X843" s="308"/>
      <c r="Y843" s="308"/>
      <c r="Z843" s="309"/>
      <c r="AA843" s="309"/>
      <c r="AB843" s="308"/>
      <c r="AC843" s="308"/>
    </row>
    <row r="844" hidden="1">
      <c r="A844" s="308"/>
      <c r="B844" s="308"/>
      <c r="C844" s="308"/>
      <c r="D844" s="308"/>
      <c r="E844" s="308"/>
      <c r="F844" s="319"/>
      <c r="G844" s="319"/>
      <c r="H844" s="319"/>
      <c r="I844" s="308"/>
      <c r="J844" s="308"/>
      <c r="K844" s="308"/>
      <c r="L844" s="308"/>
      <c r="M844" s="308"/>
      <c r="N844" s="308"/>
      <c r="O844" s="308"/>
      <c r="P844" s="308"/>
      <c r="Q844" s="308"/>
      <c r="R844" s="308"/>
      <c r="S844" s="308"/>
      <c r="T844" s="308"/>
      <c r="U844" s="308"/>
      <c r="V844" s="308"/>
      <c r="W844" s="308"/>
      <c r="X844" s="308"/>
      <c r="Y844" s="308"/>
      <c r="Z844" s="309"/>
      <c r="AA844" s="309"/>
      <c r="AB844" s="308"/>
      <c r="AC844" s="308"/>
    </row>
    <row r="845" hidden="1">
      <c r="A845" s="308"/>
      <c r="B845" s="308"/>
      <c r="C845" s="308"/>
      <c r="D845" s="308"/>
      <c r="E845" s="308"/>
      <c r="F845" s="319"/>
      <c r="G845" s="319"/>
      <c r="H845" s="319"/>
      <c r="I845" s="308"/>
      <c r="J845" s="308"/>
      <c r="K845" s="308"/>
      <c r="L845" s="308"/>
      <c r="M845" s="308"/>
      <c r="N845" s="308"/>
      <c r="O845" s="308"/>
      <c r="P845" s="308"/>
      <c r="Q845" s="308"/>
      <c r="R845" s="308"/>
      <c r="S845" s="308"/>
      <c r="T845" s="308"/>
      <c r="U845" s="308"/>
      <c r="V845" s="308"/>
      <c r="W845" s="308"/>
      <c r="X845" s="308"/>
      <c r="Y845" s="308"/>
      <c r="Z845" s="309"/>
      <c r="AA845" s="309"/>
      <c r="AB845" s="308"/>
      <c r="AC845" s="308"/>
    </row>
    <row r="846" hidden="1">
      <c r="A846" s="308"/>
      <c r="B846" s="308"/>
      <c r="C846" s="308"/>
      <c r="D846" s="308"/>
      <c r="E846" s="308"/>
      <c r="F846" s="319"/>
      <c r="G846" s="319"/>
      <c r="H846" s="319"/>
      <c r="I846" s="308"/>
      <c r="J846" s="308"/>
      <c r="K846" s="308"/>
      <c r="L846" s="308"/>
      <c r="M846" s="308"/>
      <c r="N846" s="308"/>
      <c r="O846" s="308"/>
      <c r="P846" s="308"/>
      <c r="Q846" s="308"/>
      <c r="R846" s="308"/>
      <c r="S846" s="308"/>
      <c r="T846" s="308"/>
      <c r="U846" s="308"/>
      <c r="V846" s="308"/>
      <c r="W846" s="308"/>
      <c r="X846" s="308"/>
      <c r="Y846" s="308"/>
      <c r="Z846" s="309"/>
      <c r="AA846" s="309"/>
      <c r="AB846" s="308"/>
      <c r="AC846" s="308"/>
    </row>
    <row r="847" hidden="1">
      <c r="A847" s="308"/>
      <c r="B847" s="308"/>
      <c r="C847" s="308"/>
      <c r="D847" s="308"/>
      <c r="E847" s="308"/>
      <c r="F847" s="319"/>
      <c r="G847" s="319"/>
      <c r="H847" s="319"/>
      <c r="I847" s="308"/>
      <c r="J847" s="308"/>
      <c r="K847" s="308"/>
      <c r="L847" s="308"/>
      <c r="M847" s="308"/>
      <c r="N847" s="308"/>
      <c r="O847" s="308"/>
      <c r="P847" s="308"/>
      <c r="Q847" s="308"/>
      <c r="R847" s="308"/>
      <c r="S847" s="308"/>
      <c r="T847" s="308"/>
      <c r="U847" s="308"/>
      <c r="V847" s="308"/>
      <c r="W847" s="308"/>
      <c r="X847" s="308"/>
      <c r="Y847" s="308"/>
      <c r="Z847" s="309"/>
      <c r="AA847" s="309"/>
      <c r="AB847" s="308"/>
      <c r="AC847" s="308"/>
    </row>
    <row r="848" hidden="1">
      <c r="A848" s="308"/>
      <c r="B848" s="308"/>
      <c r="C848" s="308"/>
      <c r="D848" s="308"/>
      <c r="E848" s="308"/>
      <c r="F848" s="319"/>
      <c r="G848" s="319"/>
      <c r="H848" s="319"/>
      <c r="I848" s="308"/>
      <c r="J848" s="308"/>
      <c r="K848" s="308"/>
      <c r="L848" s="308"/>
      <c r="M848" s="308"/>
      <c r="N848" s="308"/>
      <c r="O848" s="308"/>
      <c r="P848" s="308"/>
      <c r="Q848" s="308"/>
      <c r="R848" s="308"/>
      <c r="S848" s="308"/>
      <c r="T848" s="308"/>
      <c r="U848" s="308"/>
      <c r="V848" s="308"/>
      <c r="W848" s="308"/>
      <c r="X848" s="308"/>
      <c r="Y848" s="308"/>
      <c r="Z848" s="309"/>
      <c r="AA848" s="309"/>
      <c r="AB848" s="308"/>
      <c r="AC848" s="308"/>
    </row>
    <row r="849" hidden="1">
      <c r="A849" s="308"/>
      <c r="B849" s="308"/>
      <c r="C849" s="308"/>
      <c r="D849" s="308"/>
      <c r="E849" s="308"/>
      <c r="F849" s="319"/>
      <c r="G849" s="319"/>
      <c r="H849" s="319"/>
      <c r="I849" s="308"/>
      <c r="J849" s="308"/>
      <c r="K849" s="308"/>
      <c r="L849" s="308"/>
      <c r="M849" s="308"/>
      <c r="N849" s="308"/>
      <c r="O849" s="308"/>
      <c r="P849" s="308"/>
      <c r="Q849" s="308"/>
      <c r="R849" s="308"/>
      <c r="S849" s="308"/>
      <c r="T849" s="308"/>
      <c r="U849" s="308"/>
      <c r="V849" s="308"/>
      <c r="W849" s="308"/>
      <c r="X849" s="308"/>
      <c r="Y849" s="308"/>
      <c r="Z849" s="309"/>
      <c r="AA849" s="309"/>
      <c r="AB849" s="308"/>
      <c r="AC849" s="308"/>
    </row>
    <row r="850" hidden="1">
      <c r="A850" s="308"/>
      <c r="B850" s="308"/>
      <c r="C850" s="308"/>
      <c r="D850" s="308"/>
      <c r="E850" s="308"/>
      <c r="F850" s="319"/>
      <c r="G850" s="319"/>
      <c r="H850" s="319"/>
      <c r="I850" s="308"/>
      <c r="J850" s="308"/>
      <c r="K850" s="308"/>
      <c r="L850" s="308"/>
      <c r="M850" s="308"/>
      <c r="N850" s="308"/>
      <c r="O850" s="308"/>
      <c r="P850" s="308"/>
      <c r="Q850" s="308"/>
      <c r="R850" s="308"/>
      <c r="S850" s="308"/>
      <c r="T850" s="308"/>
      <c r="U850" s="308"/>
      <c r="V850" s="308"/>
      <c r="W850" s="308"/>
      <c r="X850" s="308"/>
      <c r="Y850" s="308"/>
      <c r="Z850" s="309"/>
      <c r="AA850" s="309"/>
      <c r="AB850" s="308"/>
      <c r="AC850" s="308"/>
    </row>
    <row r="851" hidden="1">
      <c r="A851" s="308"/>
      <c r="B851" s="308"/>
      <c r="C851" s="308"/>
      <c r="D851" s="308"/>
      <c r="E851" s="308"/>
      <c r="F851" s="319"/>
      <c r="G851" s="319"/>
      <c r="H851" s="319"/>
      <c r="I851" s="308"/>
      <c r="J851" s="308"/>
      <c r="K851" s="308"/>
      <c r="L851" s="308"/>
      <c r="M851" s="308"/>
      <c r="N851" s="308"/>
      <c r="O851" s="308"/>
      <c r="P851" s="308"/>
      <c r="Q851" s="308"/>
      <c r="R851" s="308"/>
      <c r="S851" s="308"/>
      <c r="T851" s="308"/>
      <c r="U851" s="308"/>
      <c r="V851" s="308"/>
      <c r="W851" s="308"/>
      <c r="X851" s="308"/>
      <c r="Y851" s="308"/>
      <c r="Z851" s="309"/>
      <c r="AA851" s="309"/>
      <c r="AB851" s="308"/>
      <c r="AC851" s="308"/>
    </row>
    <row r="852" hidden="1">
      <c r="A852" s="308"/>
      <c r="B852" s="308"/>
      <c r="C852" s="308"/>
      <c r="D852" s="308"/>
      <c r="E852" s="308"/>
      <c r="F852" s="319"/>
      <c r="G852" s="319"/>
      <c r="H852" s="319"/>
      <c r="I852" s="308"/>
      <c r="J852" s="308"/>
      <c r="K852" s="308"/>
      <c r="L852" s="308"/>
      <c r="M852" s="308"/>
      <c r="N852" s="308"/>
      <c r="O852" s="308"/>
      <c r="P852" s="308"/>
      <c r="Q852" s="308"/>
      <c r="R852" s="308"/>
      <c r="S852" s="308"/>
      <c r="T852" s="308"/>
      <c r="U852" s="308"/>
      <c r="V852" s="308"/>
      <c r="W852" s="308"/>
      <c r="X852" s="308"/>
      <c r="Y852" s="308"/>
      <c r="Z852" s="309"/>
      <c r="AA852" s="309"/>
      <c r="AB852" s="308"/>
      <c r="AC852" s="308"/>
    </row>
    <row r="853" hidden="1">
      <c r="A853" s="308"/>
      <c r="B853" s="308"/>
      <c r="C853" s="308"/>
      <c r="D853" s="308"/>
      <c r="E853" s="308"/>
      <c r="F853" s="319"/>
      <c r="G853" s="319"/>
      <c r="H853" s="319"/>
      <c r="I853" s="308"/>
      <c r="J853" s="308"/>
      <c r="K853" s="308"/>
      <c r="L853" s="308"/>
      <c r="M853" s="308"/>
      <c r="N853" s="308"/>
      <c r="O853" s="308"/>
      <c r="P853" s="308"/>
      <c r="Q853" s="308"/>
      <c r="R853" s="308"/>
      <c r="S853" s="308"/>
      <c r="T853" s="308"/>
      <c r="U853" s="308"/>
      <c r="V853" s="308"/>
      <c r="W853" s="308"/>
      <c r="X853" s="308"/>
      <c r="Y853" s="308"/>
      <c r="Z853" s="309"/>
      <c r="AA853" s="309"/>
      <c r="AB853" s="308"/>
      <c r="AC853" s="308"/>
    </row>
    <row r="854" hidden="1">
      <c r="A854" s="308"/>
      <c r="B854" s="308"/>
      <c r="C854" s="308"/>
      <c r="D854" s="308"/>
      <c r="E854" s="308"/>
      <c r="F854" s="319"/>
      <c r="G854" s="319"/>
      <c r="H854" s="319"/>
      <c r="I854" s="308"/>
      <c r="J854" s="308"/>
      <c r="K854" s="308"/>
      <c r="L854" s="308"/>
      <c r="M854" s="308"/>
      <c r="N854" s="308"/>
      <c r="O854" s="308"/>
      <c r="P854" s="308"/>
      <c r="Q854" s="308"/>
      <c r="R854" s="308"/>
      <c r="S854" s="308"/>
      <c r="T854" s="308"/>
      <c r="U854" s="308"/>
      <c r="V854" s="308"/>
      <c r="W854" s="308"/>
      <c r="X854" s="308"/>
      <c r="Y854" s="308"/>
      <c r="Z854" s="309"/>
      <c r="AA854" s="309"/>
      <c r="AB854" s="308"/>
      <c r="AC854" s="308"/>
    </row>
    <row r="855" hidden="1">
      <c r="A855" s="308"/>
      <c r="B855" s="308"/>
      <c r="C855" s="308"/>
      <c r="D855" s="308"/>
      <c r="E855" s="308"/>
      <c r="F855" s="319"/>
      <c r="G855" s="319"/>
      <c r="H855" s="319"/>
      <c r="I855" s="308"/>
      <c r="J855" s="308"/>
      <c r="K855" s="308"/>
      <c r="L855" s="308"/>
      <c r="M855" s="308"/>
      <c r="N855" s="308"/>
      <c r="O855" s="308"/>
      <c r="P855" s="308"/>
      <c r="Q855" s="308"/>
      <c r="R855" s="308"/>
      <c r="S855" s="308"/>
      <c r="T855" s="308"/>
      <c r="U855" s="308"/>
      <c r="V855" s="308"/>
      <c r="W855" s="308"/>
      <c r="X855" s="308"/>
      <c r="Y855" s="308"/>
      <c r="Z855" s="309"/>
      <c r="AA855" s="309"/>
      <c r="AB855" s="308"/>
      <c r="AC855" s="308"/>
    </row>
    <row r="856" hidden="1">
      <c r="A856" s="308"/>
      <c r="B856" s="308"/>
      <c r="C856" s="308"/>
      <c r="D856" s="308"/>
      <c r="E856" s="308"/>
      <c r="F856" s="319"/>
      <c r="G856" s="319"/>
      <c r="H856" s="319"/>
      <c r="I856" s="308"/>
      <c r="J856" s="308"/>
      <c r="K856" s="308"/>
      <c r="L856" s="308"/>
      <c r="M856" s="308"/>
      <c r="N856" s="308"/>
      <c r="O856" s="308"/>
      <c r="P856" s="308"/>
      <c r="Q856" s="308"/>
      <c r="R856" s="308"/>
      <c r="S856" s="308"/>
      <c r="T856" s="308"/>
      <c r="U856" s="308"/>
      <c r="V856" s="308"/>
      <c r="W856" s="308"/>
      <c r="X856" s="308"/>
      <c r="Y856" s="308"/>
      <c r="Z856" s="309"/>
      <c r="AA856" s="309"/>
      <c r="AB856" s="308"/>
      <c r="AC856" s="308"/>
    </row>
    <row r="857" hidden="1">
      <c r="A857" s="308"/>
      <c r="B857" s="308"/>
      <c r="C857" s="308"/>
      <c r="D857" s="308"/>
      <c r="E857" s="308"/>
      <c r="F857" s="319"/>
      <c r="G857" s="319"/>
      <c r="H857" s="319"/>
      <c r="I857" s="308"/>
      <c r="J857" s="308"/>
      <c r="K857" s="308"/>
      <c r="L857" s="308"/>
      <c r="M857" s="308"/>
      <c r="N857" s="308"/>
      <c r="O857" s="308"/>
      <c r="P857" s="308"/>
      <c r="Q857" s="308"/>
      <c r="R857" s="308"/>
      <c r="S857" s="308"/>
      <c r="T857" s="308"/>
      <c r="U857" s="308"/>
      <c r="V857" s="308"/>
      <c r="W857" s="308"/>
      <c r="X857" s="308"/>
      <c r="Y857" s="308"/>
      <c r="Z857" s="309"/>
      <c r="AA857" s="309"/>
      <c r="AB857" s="308"/>
      <c r="AC857" s="308"/>
    </row>
    <row r="858" hidden="1">
      <c r="A858" s="308"/>
      <c r="B858" s="308"/>
      <c r="C858" s="308"/>
      <c r="D858" s="308"/>
      <c r="E858" s="308"/>
      <c r="F858" s="319"/>
      <c r="G858" s="319"/>
      <c r="H858" s="319"/>
      <c r="I858" s="308"/>
      <c r="J858" s="308"/>
      <c r="K858" s="308"/>
      <c r="L858" s="308"/>
      <c r="M858" s="308"/>
      <c r="N858" s="308"/>
      <c r="O858" s="308"/>
      <c r="P858" s="308"/>
      <c r="Q858" s="308"/>
      <c r="R858" s="308"/>
      <c r="S858" s="308"/>
      <c r="T858" s="308"/>
      <c r="U858" s="308"/>
      <c r="V858" s="308"/>
      <c r="W858" s="308"/>
      <c r="X858" s="308"/>
      <c r="Y858" s="308"/>
      <c r="Z858" s="309"/>
      <c r="AA858" s="309"/>
      <c r="AB858" s="308"/>
      <c r="AC858" s="308"/>
    </row>
    <row r="859" hidden="1">
      <c r="A859" s="308"/>
      <c r="B859" s="308"/>
      <c r="C859" s="308"/>
      <c r="D859" s="308"/>
      <c r="E859" s="308"/>
      <c r="F859" s="319"/>
      <c r="G859" s="319"/>
      <c r="H859" s="319"/>
      <c r="I859" s="308"/>
      <c r="J859" s="308"/>
      <c r="K859" s="308"/>
      <c r="L859" s="308"/>
      <c r="M859" s="308"/>
      <c r="N859" s="308"/>
      <c r="O859" s="308"/>
      <c r="P859" s="308"/>
      <c r="Q859" s="308"/>
      <c r="R859" s="308"/>
      <c r="S859" s="308"/>
      <c r="T859" s="308"/>
      <c r="U859" s="308"/>
      <c r="V859" s="308"/>
      <c r="W859" s="308"/>
      <c r="X859" s="308"/>
      <c r="Y859" s="308"/>
      <c r="Z859" s="309"/>
      <c r="AA859" s="309"/>
      <c r="AB859" s="308"/>
      <c r="AC859" s="308"/>
    </row>
    <row r="860" hidden="1">
      <c r="A860" s="308"/>
      <c r="B860" s="308"/>
      <c r="C860" s="308"/>
      <c r="D860" s="308"/>
      <c r="E860" s="308"/>
      <c r="F860" s="319"/>
      <c r="G860" s="319"/>
      <c r="H860" s="319"/>
      <c r="I860" s="308"/>
      <c r="J860" s="308"/>
      <c r="K860" s="308"/>
      <c r="L860" s="308"/>
      <c r="M860" s="308"/>
      <c r="N860" s="308"/>
      <c r="O860" s="308"/>
      <c r="P860" s="308"/>
      <c r="Q860" s="308"/>
      <c r="R860" s="308"/>
      <c r="S860" s="308"/>
      <c r="T860" s="308"/>
      <c r="U860" s="308"/>
      <c r="V860" s="308"/>
      <c r="W860" s="308"/>
      <c r="X860" s="308"/>
      <c r="Y860" s="308"/>
      <c r="Z860" s="309"/>
      <c r="AA860" s="309"/>
      <c r="AB860" s="308"/>
      <c r="AC860" s="308"/>
    </row>
    <row r="861" hidden="1">
      <c r="A861" s="308"/>
      <c r="B861" s="308"/>
      <c r="C861" s="308"/>
      <c r="D861" s="308"/>
      <c r="E861" s="308"/>
      <c r="F861" s="319"/>
      <c r="G861" s="319"/>
      <c r="H861" s="319"/>
      <c r="I861" s="308"/>
      <c r="J861" s="308"/>
      <c r="K861" s="308"/>
      <c r="L861" s="308"/>
      <c r="M861" s="308"/>
      <c r="N861" s="308"/>
      <c r="O861" s="308"/>
      <c r="P861" s="308"/>
      <c r="Q861" s="308"/>
      <c r="R861" s="308"/>
      <c r="S861" s="308"/>
      <c r="T861" s="308"/>
      <c r="U861" s="308"/>
      <c r="V861" s="308"/>
      <c r="W861" s="308"/>
      <c r="X861" s="308"/>
      <c r="Y861" s="308"/>
      <c r="Z861" s="309"/>
      <c r="AA861" s="309"/>
      <c r="AB861" s="308"/>
      <c r="AC861" s="308"/>
    </row>
    <row r="862" hidden="1">
      <c r="A862" s="308"/>
      <c r="B862" s="308"/>
      <c r="C862" s="308"/>
      <c r="D862" s="308"/>
      <c r="E862" s="308"/>
      <c r="F862" s="319"/>
      <c r="G862" s="319"/>
      <c r="H862" s="319"/>
      <c r="I862" s="308"/>
      <c r="J862" s="308"/>
      <c r="K862" s="308"/>
      <c r="L862" s="308"/>
      <c r="M862" s="308"/>
      <c r="N862" s="308"/>
      <c r="O862" s="308"/>
      <c r="P862" s="308"/>
      <c r="Q862" s="308"/>
      <c r="R862" s="308"/>
      <c r="S862" s="308"/>
      <c r="T862" s="308"/>
      <c r="U862" s="308"/>
      <c r="V862" s="308"/>
      <c r="W862" s="308"/>
      <c r="X862" s="308"/>
      <c r="Y862" s="308"/>
      <c r="Z862" s="309"/>
      <c r="AA862" s="309"/>
      <c r="AB862" s="308"/>
      <c r="AC862" s="308"/>
    </row>
    <row r="863" hidden="1">
      <c r="A863" s="308"/>
      <c r="B863" s="308"/>
      <c r="C863" s="308"/>
      <c r="D863" s="308"/>
      <c r="E863" s="308"/>
      <c r="F863" s="319"/>
      <c r="G863" s="319"/>
      <c r="H863" s="319"/>
      <c r="I863" s="308"/>
      <c r="J863" s="308"/>
      <c r="K863" s="308"/>
      <c r="L863" s="308"/>
      <c r="M863" s="308"/>
      <c r="N863" s="308"/>
      <c r="O863" s="308"/>
      <c r="P863" s="308"/>
      <c r="Q863" s="308"/>
      <c r="R863" s="308"/>
      <c r="S863" s="308"/>
      <c r="T863" s="308"/>
      <c r="U863" s="308"/>
      <c r="V863" s="308"/>
      <c r="W863" s="308"/>
      <c r="X863" s="308"/>
      <c r="Y863" s="308"/>
      <c r="Z863" s="309"/>
      <c r="AA863" s="309"/>
      <c r="AB863" s="308"/>
      <c r="AC863" s="308"/>
    </row>
    <row r="864" hidden="1">
      <c r="A864" s="308"/>
      <c r="B864" s="308"/>
      <c r="C864" s="308"/>
      <c r="D864" s="308"/>
      <c r="E864" s="308"/>
      <c r="F864" s="319"/>
      <c r="G864" s="319"/>
      <c r="H864" s="319"/>
      <c r="I864" s="308"/>
      <c r="J864" s="308"/>
      <c r="K864" s="308"/>
      <c r="L864" s="308"/>
      <c r="M864" s="308"/>
      <c r="N864" s="308"/>
      <c r="O864" s="308"/>
      <c r="P864" s="308"/>
      <c r="Q864" s="308"/>
      <c r="R864" s="308"/>
      <c r="S864" s="308"/>
      <c r="T864" s="308"/>
      <c r="U864" s="308"/>
      <c r="V864" s="308"/>
      <c r="W864" s="308"/>
      <c r="X864" s="308"/>
      <c r="Y864" s="308"/>
      <c r="Z864" s="309"/>
      <c r="AA864" s="309"/>
      <c r="AB864" s="308"/>
      <c r="AC864" s="308"/>
    </row>
    <row r="865" hidden="1">
      <c r="A865" s="308"/>
      <c r="B865" s="308"/>
      <c r="C865" s="308"/>
      <c r="D865" s="308"/>
      <c r="E865" s="308"/>
      <c r="F865" s="319"/>
      <c r="G865" s="319"/>
      <c r="H865" s="319"/>
      <c r="I865" s="308"/>
      <c r="J865" s="308"/>
      <c r="K865" s="308"/>
      <c r="L865" s="308"/>
      <c r="M865" s="308"/>
      <c r="N865" s="308"/>
      <c r="O865" s="308"/>
      <c r="P865" s="308"/>
      <c r="Q865" s="308"/>
      <c r="R865" s="308"/>
      <c r="S865" s="308"/>
      <c r="T865" s="308"/>
      <c r="U865" s="308"/>
      <c r="V865" s="308"/>
      <c r="W865" s="308"/>
      <c r="X865" s="308"/>
      <c r="Y865" s="308"/>
      <c r="Z865" s="309"/>
      <c r="AA865" s="309"/>
      <c r="AB865" s="308"/>
      <c r="AC865" s="308"/>
    </row>
    <row r="866" hidden="1">
      <c r="A866" s="308"/>
      <c r="B866" s="308"/>
      <c r="C866" s="308"/>
      <c r="D866" s="308"/>
      <c r="E866" s="308"/>
      <c r="F866" s="319"/>
      <c r="G866" s="319"/>
      <c r="H866" s="319"/>
      <c r="I866" s="308"/>
      <c r="J866" s="308"/>
      <c r="K866" s="308"/>
      <c r="L866" s="308"/>
      <c r="M866" s="308"/>
      <c r="N866" s="308"/>
      <c r="O866" s="308"/>
      <c r="P866" s="308"/>
      <c r="Q866" s="308"/>
      <c r="R866" s="308"/>
      <c r="S866" s="308"/>
      <c r="T866" s="308"/>
      <c r="U866" s="308"/>
      <c r="V866" s="308"/>
      <c r="W866" s="308"/>
      <c r="X866" s="308"/>
      <c r="Y866" s="308"/>
      <c r="Z866" s="309"/>
      <c r="AA866" s="309"/>
      <c r="AB866" s="308"/>
      <c r="AC866" s="308"/>
    </row>
    <row r="867" hidden="1">
      <c r="A867" s="308"/>
      <c r="B867" s="308"/>
      <c r="C867" s="308"/>
      <c r="D867" s="308"/>
      <c r="E867" s="308"/>
      <c r="F867" s="319"/>
      <c r="G867" s="319"/>
      <c r="H867" s="319"/>
      <c r="I867" s="308"/>
      <c r="J867" s="308"/>
      <c r="K867" s="308"/>
      <c r="L867" s="308"/>
      <c r="M867" s="308"/>
      <c r="N867" s="308"/>
      <c r="O867" s="308"/>
      <c r="P867" s="308"/>
      <c r="Q867" s="308"/>
      <c r="R867" s="308"/>
      <c r="S867" s="308"/>
      <c r="T867" s="308"/>
      <c r="U867" s="308"/>
      <c r="V867" s="308"/>
      <c r="W867" s="308"/>
      <c r="X867" s="308"/>
      <c r="Y867" s="308"/>
      <c r="Z867" s="309"/>
      <c r="AA867" s="309"/>
      <c r="AB867" s="308"/>
      <c r="AC867" s="308"/>
    </row>
    <row r="868" hidden="1">
      <c r="A868" s="308"/>
      <c r="B868" s="308"/>
      <c r="C868" s="308"/>
      <c r="D868" s="308"/>
      <c r="E868" s="308"/>
      <c r="F868" s="319"/>
      <c r="G868" s="319"/>
      <c r="H868" s="319"/>
      <c r="I868" s="308"/>
      <c r="J868" s="308"/>
      <c r="K868" s="308"/>
      <c r="L868" s="308"/>
      <c r="M868" s="308"/>
      <c r="N868" s="308"/>
      <c r="O868" s="308"/>
      <c r="P868" s="308"/>
      <c r="Q868" s="308"/>
      <c r="R868" s="308"/>
      <c r="S868" s="308"/>
      <c r="T868" s="308"/>
      <c r="U868" s="308"/>
      <c r="V868" s="308"/>
      <c r="W868" s="308"/>
      <c r="X868" s="308"/>
      <c r="Y868" s="308"/>
      <c r="Z868" s="309"/>
      <c r="AA868" s="309"/>
      <c r="AB868" s="308"/>
      <c r="AC868" s="308"/>
    </row>
    <row r="869" hidden="1">
      <c r="A869" s="308"/>
      <c r="B869" s="308"/>
      <c r="C869" s="308"/>
      <c r="D869" s="308"/>
      <c r="E869" s="308"/>
      <c r="F869" s="319"/>
      <c r="G869" s="319"/>
      <c r="H869" s="319"/>
      <c r="I869" s="308"/>
      <c r="J869" s="308"/>
      <c r="K869" s="308"/>
      <c r="L869" s="308"/>
      <c r="M869" s="308"/>
      <c r="N869" s="308"/>
      <c r="O869" s="308"/>
      <c r="P869" s="308"/>
      <c r="Q869" s="308"/>
      <c r="R869" s="308"/>
      <c r="S869" s="308"/>
      <c r="T869" s="308"/>
      <c r="U869" s="308"/>
      <c r="V869" s="308"/>
      <c r="W869" s="308"/>
      <c r="X869" s="308"/>
      <c r="Y869" s="308"/>
      <c r="Z869" s="309"/>
      <c r="AA869" s="309"/>
      <c r="AB869" s="308"/>
      <c r="AC869" s="308"/>
    </row>
    <row r="870" hidden="1">
      <c r="A870" s="308"/>
      <c r="B870" s="308"/>
      <c r="C870" s="308"/>
      <c r="D870" s="308"/>
      <c r="E870" s="308"/>
      <c r="F870" s="319"/>
      <c r="G870" s="319"/>
      <c r="H870" s="319"/>
      <c r="I870" s="308"/>
      <c r="J870" s="308"/>
      <c r="K870" s="308"/>
      <c r="L870" s="308"/>
      <c r="M870" s="308"/>
      <c r="N870" s="308"/>
      <c r="O870" s="308"/>
      <c r="P870" s="308"/>
      <c r="Q870" s="308"/>
      <c r="R870" s="308"/>
      <c r="S870" s="308"/>
      <c r="T870" s="308"/>
      <c r="U870" s="308"/>
      <c r="V870" s="308"/>
      <c r="W870" s="308"/>
      <c r="X870" s="308"/>
      <c r="Y870" s="308"/>
      <c r="Z870" s="309"/>
      <c r="AA870" s="309"/>
      <c r="AB870" s="308"/>
      <c r="AC870" s="308"/>
    </row>
    <row r="871" hidden="1">
      <c r="A871" s="308"/>
      <c r="B871" s="308"/>
      <c r="C871" s="308"/>
      <c r="D871" s="308"/>
      <c r="E871" s="308"/>
      <c r="F871" s="319"/>
      <c r="G871" s="319"/>
      <c r="H871" s="319"/>
      <c r="I871" s="308"/>
      <c r="J871" s="308"/>
      <c r="K871" s="308"/>
      <c r="L871" s="308"/>
      <c r="M871" s="308"/>
      <c r="N871" s="308"/>
      <c r="O871" s="308"/>
      <c r="P871" s="308"/>
      <c r="Q871" s="308"/>
      <c r="R871" s="308"/>
      <c r="S871" s="308"/>
      <c r="T871" s="308"/>
      <c r="U871" s="308"/>
      <c r="V871" s="308"/>
      <c r="W871" s="308"/>
      <c r="X871" s="308"/>
      <c r="Y871" s="308"/>
      <c r="Z871" s="309"/>
      <c r="AA871" s="309"/>
      <c r="AB871" s="308"/>
      <c r="AC871" s="308"/>
    </row>
    <row r="872" hidden="1">
      <c r="A872" s="308"/>
      <c r="B872" s="308"/>
      <c r="C872" s="308"/>
      <c r="D872" s="308"/>
      <c r="E872" s="308"/>
      <c r="F872" s="319"/>
      <c r="G872" s="319"/>
      <c r="H872" s="319"/>
      <c r="I872" s="308"/>
      <c r="J872" s="308"/>
      <c r="K872" s="308"/>
      <c r="L872" s="308"/>
      <c r="M872" s="308"/>
      <c r="N872" s="308"/>
      <c r="O872" s="308"/>
      <c r="P872" s="308"/>
      <c r="Q872" s="308"/>
      <c r="R872" s="308"/>
      <c r="S872" s="308"/>
      <c r="T872" s="308"/>
      <c r="U872" s="308"/>
      <c r="V872" s="308"/>
      <c r="W872" s="308"/>
      <c r="X872" s="308"/>
      <c r="Y872" s="308"/>
      <c r="Z872" s="309"/>
      <c r="AA872" s="309"/>
      <c r="AB872" s="308"/>
      <c r="AC872" s="308"/>
    </row>
    <row r="873" hidden="1">
      <c r="A873" s="308"/>
      <c r="B873" s="308"/>
      <c r="C873" s="308"/>
      <c r="D873" s="308"/>
      <c r="E873" s="308"/>
      <c r="F873" s="319"/>
      <c r="G873" s="319"/>
      <c r="H873" s="319"/>
      <c r="I873" s="308"/>
      <c r="J873" s="308"/>
      <c r="K873" s="308"/>
      <c r="L873" s="308"/>
      <c r="M873" s="308"/>
      <c r="N873" s="308"/>
      <c r="O873" s="308"/>
      <c r="P873" s="308"/>
      <c r="Q873" s="308"/>
      <c r="R873" s="308"/>
      <c r="S873" s="308"/>
      <c r="T873" s="308"/>
      <c r="U873" s="308"/>
      <c r="V873" s="308"/>
      <c r="W873" s="308"/>
      <c r="X873" s="308"/>
      <c r="Y873" s="308"/>
      <c r="Z873" s="309"/>
      <c r="AA873" s="309"/>
      <c r="AB873" s="308"/>
      <c r="AC873" s="308"/>
    </row>
    <row r="874" hidden="1">
      <c r="A874" s="308"/>
      <c r="B874" s="308"/>
      <c r="C874" s="308"/>
      <c r="D874" s="308"/>
      <c r="E874" s="308"/>
      <c r="F874" s="319"/>
      <c r="G874" s="319"/>
      <c r="H874" s="319"/>
      <c r="I874" s="308"/>
      <c r="J874" s="308"/>
      <c r="K874" s="308"/>
      <c r="L874" s="308"/>
      <c r="M874" s="308"/>
      <c r="N874" s="308"/>
      <c r="O874" s="308"/>
      <c r="P874" s="308"/>
      <c r="Q874" s="308"/>
      <c r="R874" s="308"/>
      <c r="S874" s="308"/>
      <c r="T874" s="308"/>
      <c r="U874" s="308"/>
      <c r="V874" s="308"/>
      <c r="W874" s="308"/>
      <c r="X874" s="308"/>
      <c r="Y874" s="308"/>
      <c r="Z874" s="309"/>
      <c r="AA874" s="309"/>
      <c r="AB874" s="308"/>
      <c r="AC874" s="308"/>
    </row>
    <row r="875" hidden="1">
      <c r="A875" s="308"/>
      <c r="B875" s="308"/>
      <c r="C875" s="308"/>
      <c r="D875" s="308"/>
      <c r="E875" s="308"/>
      <c r="F875" s="319"/>
      <c r="G875" s="319"/>
      <c r="H875" s="319"/>
      <c r="I875" s="308"/>
      <c r="J875" s="308"/>
      <c r="K875" s="308"/>
      <c r="L875" s="308"/>
      <c r="M875" s="308"/>
      <c r="N875" s="308"/>
      <c r="O875" s="308"/>
      <c r="P875" s="308"/>
      <c r="Q875" s="308"/>
      <c r="R875" s="308"/>
      <c r="S875" s="308"/>
      <c r="T875" s="308"/>
      <c r="U875" s="308"/>
      <c r="V875" s="308"/>
      <c r="W875" s="308"/>
      <c r="X875" s="308"/>
      <c r="Y875" s="308"/>
      <c r="Z875" s="309"/>
      <c r="AA875" s="309"/>
      <c r="AB875" s="308"/>
      <c r="AC875" s="308"/>
    </row>
    <row r="876" hidden="1">
      <c r="A876" s="308"/>
      <c r="B876" s="308"/>
      <c r="C876" s="308"/>
      <c r="D876" s="308"/>
      <c r="E876" s="308"/>
      <c r="F876" s="319"/>
      <c r="G876" s="319"/>
      <c r="H876" s="319"/>
      <c r="I876" s="308"/>
      <c r="J876" s="308"/>
      <c r="K876" s="308"/>
      <c r="L876" s="308"/>
      <c r="M876" s="308"/>
      <c r="N876" s="308"/>
      <c r="O876" s="308"/>
      <c r="P876" s="308"/>
      <c r="Q876" s="308"/>
      <c r="R876" s="308"/>
      <c r="S876" s="308"/>
      <c r="T876" s="308"/>
      <c r="U876" s="308"/>
      <c r="V876" s="308"/>
      <c r="W876" s="308"/>
      <c r="X876" s="308"/>
      <c r="Y876" s="308"/>
      <c r="Z876" s="309"/>
      <c r="AA876" s="309"/>
      <c r="AB876" s="308"/>
      <c r="AC876" s="308"/>
    </row>
    <row r="877" hidden="1">
      <c r="A877" s="308"/>
      <c r="B877" s="308"/>
      <c r="C877" s="308"/>
      <c r="D877" s="308"/>
      <c r="E877" s="308"/>
      <c r="F877" s="319"/>
      <c r="G877" s="319"/>
      <c r="H877" s="319"/>
      <c r="I877" s="308"/>
      <c r="J877" s="308"/>
      <c r="K877" s="308"/>
      <c r="L877" s="308"/>
      <c r="M877" s="308"/>
      <c r="N877" s="308"/>
      <c r="O877" s="308"/>
      <c r="P877" s="308"/>
      <c r="Q877" s="308"/>
      <c r="R877" s="308"/>
      <c r="S877" s="308"/>
      <c r="T877" s="308"/>
      <c r="U877" s="308"/>
      <c r="V877" s="308"/>
      <c r="W877" s="308"/>
      <c r="X877" s="308"/>
      <c r="Y877" s="308"/>
      <c r="Z877" s="309"/>
      <c r="AA877" s="309"/>
      <c r="AB877" s="308"/>
      <c r="AC877" s="308"/>
    </row>
    <row r="878" hidden="1">
      <c r="A878" s="308"/>
      <c r="B878" s="308"/>
      <c r="C878" s="308"/>
      <c r="D878" s="308"/>
      <c r="E878" s="308"/>
      <c r="F878" s="319"/>
      <c r="G878" s="319"/>
      <c r="H878" s="319"/>
      <c r="I878" s="308"/>
      <c r="J878" s="308"/>
      <c r="K878" s="308"/>
      <c r="L878" s="308"/>
      <c r="M878" s="308"/>
      <c r="N878" s="308"/>
      <c r="O878" s="308"/>
      <c r="P878" s="308"/>
      <c r="Q878" s="308"/>
      <c r="R878" s="308"/>
      <c r="S878" s="308"/>
      <c r="T878" s="308"/>
      <c r="U878" s="308"/>
      <c r="V878" s="308"/>
      <c r="W878" s="308"/>
      <c r="X878" s="308"/>
      <c r="Y878" s="308"/>
      <c r="Z878" s="309"/>
      <c r="AA878" s="309"/>
      <c r="AB878" s="308"/>
      <c r="AC878" s="308"/>
    </row>
    <row r="879" hidden="1">
      <c r="A879" s="308"/>
      <c r="B879" s="308"/>
      <c r="C879" s="308"/>
      <c r="D879" s="308"/>
      <c r="E879" s="308"/>
      <c r="F879" s="319"/>
      <c r="G879" s="319"/>
      <c r="H879" s="319"/>
      <c r="I879" s="308"/>
      <c r="J879" s="308"/>
      <c r="K879" s="308"/>
      <c r="L879" s="308"/>
      <c r="M879" s="308"/>
      <c r="N879" s="308"/>
      <c r="O879" s="308"/>
      <c r="P879" s="308"/>
      <c r="Q879" s="308"/>
      <c r="R879" s="308"/>
      <c r="S879" s="308"/>
      <c r="T879" s="308"/>
      <c r="U879" s="308"/>
      <c r="V879" s="308"/>
      <c r="W879" s="308"/>
      <c r="X879" s="308"/>
      <c r="Y879" s="308"/>
      <c r="Z879" s="309"/>
      <c r="AA879" s="309"/>
      <c r="AB879" s="308"/>
      <c r="AC879" s="308"/>
    </row>
    <row r="880" hidden="1">
      <c r="A880" s="308"/>
      <c r="B880" s="308"/>
      <c r="C880" s="308"/>
      <c r="D880" s="308"/>
      <c r="E880" s="308"/>
      <c r="F880" s="319"/>
      <c r="G880" s="319"/>
      <c r="H880" s="319"/>
      <c r="I880" s="308"/>
      <c r="J880" s="308"/>
      <c r="K880" s="308"/>
      <c r="L880" s="308"/>
      <c r="M880" s="308"/>
      <c r="N880" s="308"/>
      <c r="O880" s="308"/>
      <c r="P880" s="308"/>
      <c r="Q880" s="308"/>
      <c r="R880" s="308"/>
      <c r="S880" s="308"/>
      <c r="T880" s="308"/>
      <c r="U880" s="308"/>
      <c r="V880" s="308"/>
      <c r="W880" s="308"/>
      <c r="X880" s="308"/>
      <c r="Y880" s="308"/>
      <c r="Z880" s="309"/>
      <c r="AA880" s="309"/>
      <c r="AB880" s="308"/>
      <c r="AC880" s="308"/>
    </row>
    <row r="881" hidden="1">
      <c r="A881" s="308"/>
      <c r="B881" s="308"/>
      <c r="C881" s="308"/>
      <c r="D881" s="308"/>
      <c r="E881" s="308"/>
      <c r="F881" s="319"/>
      <c r="G881" s="319"/>
      <c r="H881" s="319"/>
      <c r="I881" s="308"/>
      <c r="J881" s="308"/>
      <c r="K881" s="308"/>
      <c r="L881" s="308"/>
      <c r="M881" s="308"/>
      <c r="N881" s="308"/>
      <c r="O881" s="308"/>
      <c r="P881" s="308"/>
      <c r="Q881" s="308"/>
      <c r="R881" s="308"/>
      <c r="S881" s="308"/>
      <c r="T881" s="308"/>
      <c r="U881" s="308"/>
      <c r="V881" s="308"/>
      <c r="W881" s="308"/>
      <c r="X881" s="308"/>
      <c r="Y881" s="308"/>
      <c r="Z881" s="309"/>
      <c r="AA881" s="309"/>
      <c r="AB881" s="308"/>
      <c r="AC881" s="308"/>
    </row>
    <row r="882" hidden="1">
      <c r="A882" s="308"/>
      <c r="B882" s="308"/>
      <c r="C882" s="308"/>
      <c r="D882" s="308"/>
      <c r="E882" s="308"/>
      <c r="F882" s="319"/>
      <c r="G882" s="319"/>
      <c r="H882" s="319"/>
      <c r="I882" s="308"/>
      <c r="J882" s="308"/>
      <c r="K882" s="308"/>
      <c r="L882" s="308"/>
      <c r="M882" s="308"/>
      <c r="N882" s="308"/>
      <c r="O882" s="308"/>
      <c r="P882" s="308"/>
      <c r="Q882" s="308"/>
      <c r="R882" s="308"/>
      <c r="S882" s="308"/>
      <c r="T882" s="308"/>
      <c r="U882" s="308"/>
      <c r="V882" s="308"/>
      <c r="W882" s="308"/>
      <c r="X882" s="308"/>
      <c r="Y882" s="308"/>
      <c r="Z882" s="309"/>
      <c r="AA882" s="309"/>
      <c r="AB882" s="308"/>
      <c r="AC882" s="308"/>
    </row>
    <row r="883" hidden="1">
      <c r="A883" s="308"/>
      <c r="B883" s="308"/>
      <c r="C883" s="308"/>
      <c r="D883" s="308"/>
      <c r="E883" s="308"/>
      <c r="F883" s="319"/>
      <c r="G883" s="319"/>
      <c r="H883" s="319"/>
      <c r="I883" s="308"/>
      <c r="J883" s="308"/>
      <c r="K883" s="308"/>
      <c r="L883" s="308"/>
      <c r="M883" s="308"/>
      <c r="N883" s="308"/>
      <c r="O883" s="308"/>
      <c r="P883" s="308"/>
      <c r="Q883" s="308"/>
      <c r="R883" s="308"/>
      <c r="S883" s="308"/>
      <c r="T883" s="308"/>
      <c r="U883" s="308"/>
      <c r="V883" s="308"/>
      <c r="W883" s="308"/>
      <c r="X883" s="308"/>
      <c r="Y883" s="308"/>
      <c r="Z883" s="309"/>
      <c r="AA883" s="309"/>
      <c r="AB883" s="308"/>
      <c r="AC883" s="308"/>
    </row>
    <row r="884" hidden="1">
      <c r="A884" s="308"/>
      <c r="B884" s="308"/>
      <c r="C884" s="308"/>
      <c r="D884" s="308"/>
      <c r="E884" s="308"/>
      <c r="F884" s="319"/>
      <c r="G884" s="319"/>
      <c r="H884" s="319"/>
      <c r="I884" s="308"/>
      <c r="J884" s="308"/>
      <c r="K884" s="308"/>
      <c r="L884" s="308"/>
      <c r="M884" s="308"/>
      <c r="N884" s="308"/>
      <c r="O884" s="308"/>
      <c r="P884" s="308"/>
      <c r="Q884" s="308"/>
      <c r="R884" s="308"/>
      <c r="S884" s="308"/>
      <c r="T884" s="308"/>
      <c r="U884" s="308"/>
      <c r="V884" s="308"/>
      <c r="W884" s="308"/>
      <c r="X884" s="308"/>
      <c r="Y884" s="308"/>
      <c r="Z884" s="309"/>
      <c r="AA884" s="309"/>
      <c r="AB884" s="308"/>
      <c r="AC884" s="308"/>
    </row>
    <row r="885" hidden="1">
      <c r="A885" s="308"/>
      <c r="B885" s="308"/>
      <c r="C885" s="308"/>
      <c r="D885" s="308"/>
      <c r="E885" s="308"/>
      <c r="F885" s="319"/>
      <c r="G885" s="319"/>
      <c r="H885" s="319"/>
      <c r="I885" s="308"/>
      <c r="J885" s="308"/>
      <c r="K885" s="308"/>
      <c r="L885" s="308"/>
      <c r="M885" s="308"/>
      <c r="N885" s="308"/>
      <c r="O885" s="308"/>
      <c r="P885" s="308"/>
      <c r="Q885" s="308"/>
      <c r="R885" s="308"/>
      <c r="S885" s="308"/>
      <c r="T885" s="308"/>
      <c r="U885" s="308"/>
      <c r="V885" s="308"/>
      <c r="W885" s="308"/>
      <c r="X885" s="308"/>
      <c r="Y885" s="308"/>
      <c r="Z885" s="309"/>
      <c r="AA885" s="309"/>
      <c r="AB885" s="308"/>
      <c r="AC885" s="308"/>
    </row>
    <row r="886" hidden="1">
      <c r="A886" s="308"/>
      <c r="B886" s="308"/>
      <c r="C886" s="308"/>
      <c r="D886" s="308"/>
      <c r="E886" s="308"/>
      <c r="F886" s="319"/>
      <c r="G886" s="319"/>
      <c r="H886" s="319"/>
      <c r="I886" s="308"/>
      <c r="J886" s="308"/>
      <c r="K886" s="308"/>
      <c r="L886" s="308"/>
      <c r="M886" s="308"/>
      <c r="N886" s="308"/>
      <c r="O886" s="308"/>
      <c r="P886" s="308"/>
      <c r="Q886" s="308"/>
      <c r="R886" s="308"/>
      <c r="S886" s="308"/>
      <c r="T886" s="308"/>
      <c r="U886" s="308"/>
      <c r="V886" s="308"/>
      <c r="W886" s="308"/>
      <c r="X886" s="308"/>
      <c r="Y886" s="308"/>
      <c r="Z886" s="309"/>
      <c r="AA886" s="309"/>
      <c r="AB886" s="308"/>
      <c r="AC886" s="308"/>
    </row>
    <row r="887" hidden="1">
      <c r="A887" s="308"/>
      <c r="B887" s="308"/>
      <c r="C887" s="308"/>
      <c r="D887" s="308"/>
      <c r="E887" s="308"/>
      <c r="F887" s="319"/>
      <c r="G887" s="319"/>
      <c r="H887" s="319"/>
      <c r="I887" s="308"/>
      <c r="J887" s="308"/>
      <c r="K887" s="308"/>
      <c r="L887" s="308"/>
      <c r="M887" s="308"/>
      <c r="N887" s="308"/>
      <c r="O887" s="308"/>
      <c r="P887" s="308"/>
      <c r="Q887" s="308"/>
      <c r="R887" s="308"/>
      <c r="S887" s="308"/>
      <c r="T887" s="308"/>
      <c r="U887" s="308"/>
      <c r="V887" s="308"/>
      <c r="W887" s="308"/>
      <c r="X887" s="308"/>
      <c r="Y887" s="308"/>
      <c r="Z887" s="309"/>
      <c r="AA887" s="309"/>
      <c r="AB887" s="308"/>
      <c r="AC887" s="308"/>
    </row>
    <row r="888" hidden="1">
      <c r="A888" s="308"/>
      <c r="B888" s="308"/>
      <c r="C888" s="308"/>
      <c r="D888" s="308"/>
      <c r="E888" s="308"/>
      <c r="F888" s="319"/>
      <c r="G888" s="319"/>
      <c r="H888" s="319"/>
      <c r="I888" s="308"/>
      <c r="J888" s="308"/>
      <c r="K888" s="308"/>
      <c r="L888" s="308"/>
      <c r="M888" s="308"/>
      <c r="N888" s="308"/>
      <c r="O888" s="308"/>
      <c r="P888" s="308"/>
      <c r="Q888" s="308"/>
      <c r="R888" s="308"/>
      <c r="S888" s="308"/>
      <c r="T888" s="308"/>
      <c r="U888" s="308"/>
      <c r="V888" s="308"/>
      <c r="W888" s="308"/>
      <c r="X888" s="308"/>
      <c r="Y888" s="308"/>
      <c r="Z888" s="309"/>
      <c r="AA888" s="309"/>
      <c r="AB888" s="308"/>
      <c r="AC888" s="308"/>
    </row>
    <row r="889" hidden="1">
      <c r="A889" s="308"/>
      <c r="B889" s="308"/>
      <c r="C889" s="308"/>
      <c r="D889" s="308"/>
      <c r="E889" s="308"/>
      <c r="F889" s="319"/>
      <c r="G889" s="319"/>
      <c r="H889" s="319"/>
      <c r="I889" s="308"/>
      <c r="J889" s="308"/>
      <c r="K889" s="308"/>
      <c r="L889" s="308"/>
      <c r="M889" s="308"/>
      <c r="N889" s="308"/>
      <c r="O889" s="308"/>
      <c r="P889" s="308"/>
      <c r="Q889" s="308"/>
      <c r="R889" s="308"/>
      <c r="S889" s="308"/>
      <c r="T889" s="308"/>
      <c r="U889" s="308"/>
      <c r="V889" s="308"/>
      <c r="W889" s="308"/>
      <c r="X889" s="308"/>
      <c r="Y889" s="308"/>
      <c r="Z889" s="309"/>
      <c r="AA889" s="309"/>
      <c r="AB889" s="308"/>
      <c r="AC889" s="308"/>
    </row>
    <row r="890" hidden="1">
      <c r="A890" s="308"/>
      <c r="B890" s="308"/>
      <c r="C890" s="308"/>
      <c r="D890" s="308"/>
      <c r="E890" s="308"/>
      <c r="F890" s="319"/>
      <c r="G890" s="319"/>
      <c r="H890" s="319"/>
      <c r="I890" s="308"/>
      <c r="J890" s="308"/>
      <c r="K890" s="308"/>
      <c r="L890" s="308"/>
      <c r="M890" s="308"/>
      <c r="N890" s="308"/>
      <c r="O890" s="308"/>
      <c r="P890" s="308"/>
      <c r="Q890" s="308"/>
      <c r="R890" s="308"/>
      <c r="S890" s="308"/>
      <c r="T890" s="308"/>
      <c r="U890" s="308"/>
      <c r="V890" s="308"/>
      <c r="W890" s="308"/>
      <c r="X890" s="308"/>
      <c r="Y890" s="308"/>
      <c r="Z890" s="309"/>
      <c r="AA890" s="309"/>
      <c r="AB890" s="308"/>
      <c r="AC890" s="308"/>
    </row>
    <row r="891" hidden="1">
      <c r="A891" s="308"/>
      <c r="B891" s="308"/>
      <c r="C891" s="308"/>
      <c r="D891" s="308"/>
      <c r="E891" s="308"/>
      <c r="F891" s="319"/>
      <c r="G891" s="319"/>
      <c r="H891" s="319"/>
      <c r="I891" s="308"/>
      <c r="J891" s="308"/>
      <c r="K891" s="308"/>
      <c r="L891" s="308"/>
      <c r="M891" s="308"/>
      <c r="N891" s="308"/>
      <c r="O891" s="308"/>
      <c r="P891" s="308"/>
      <c r="Q891" s="308"/>
      <c r="R891" s="308"/>
      <c r="S891" s="308"/>
      <c r="T891" s="308"/>
      <c r="U891" s="308"/>
      <c r="V891" s="308"/>
      <c r="W891" s="308"/>
      <c r="X891" s="308"/>
      <c r="Y891" s="308"/>
      <c r="Z891" s="309"/>
      <c r="AA891" s="309"/>
      <c r="AB891" s="308"/>
      <c r="AC891" s="308"/>
    </row>
    <row r="892" hidden="1">
      <c r="A892" s="308"/>
      <c r="B892" s="308"/>
      <c r="C892" s="308"/>
      <c r="D892" s="308"/>
      <c r="E892" s="308"/>
      <c r="F892" s="319"/>
      <c r="G892" s="319"/>
      <c r="H892" s="319"/>
      <c r="I892" s="308"/>
      <c r="J892" s="308"/>
      <c r="K892" s="308"/>
      <c r="L892" s="308"/>
      <c r="M892" s="308"/>
      <c r="N892" s="308"/>
      <c r="O892" s="308"/>
      <c r="P892" s="308"/>
      <c r="Q892" s="308"/>
      <c r="R892" s="308"/>
      <c r="S892" s="308"/>
      <c r="T892" s="308"/>
      <c r="U892" s="308"/>
      <c r="V892" s="308"/>
      <c r="W892" s="308"/>
      <c r="X892" s="308"/>
      <c r="Y892" s="308"/>
      <c r="Z892" s="309"/>
      <c r="AA892" s="309"/>
      <c r="AB892" s="308"/>
      <c r="AC892" s="308"/>
    </row>
    <row r="893" hidden="1">
      <c r="A893" s="308"/>
      <c r="B893" s="308"/>
      <c r="C893" s="308"/>
      <c r="D893" s="308"/>
      <c r="E893" s="308"/>
      <c r="F893" s="319"/>
      <c r="G893" s="319"/>
      <c r="H893" s="319"/>
      <c r="I893" s="308"/>
      <c r="J893" s="308"/>
      <c r="K893" s="308"/>
      <c r="L893" s="308"/>
      <c r="M893" s="308"/>
      <c r="N893" s="308"/>
      <c r="O893" s="308"/>
      <c r="P893" s="308"/>
      <c r="Q893" s="308"/>
      <c r="R893" s="308"/>
      <c r="S893" s="308"/>
      <c r="T893" s="308"/>
      <c r="U893" s="308"/>
      <c r="V893" s="308"/>
      <c r="W893" s="308"/>
      <c r="X893" s="308"/>
      <c r="Y893" s="308"/>
      <c r="Z893" s="309"/>
      <c r="AA893" s="309"/>
      <c r="AB893" s="308"/>
      <c r="AC893" s="308"/>
    </row>
    <row r="894" hidden="1">
      <c r="A894" s="308"/>
      <c r="B894" s="308"/>
      <c r="C894" s="308"/>
      <c r="D894" s="308"/>
      <c r="E894" s="308"/>
      <c r="F894" s="319"/>
      <c r="G894" s="319"/>
      <c r="H894" s="319"/>
      <c r="I894" s="308"/>
      <c r="J894" s="308"/>
      <c r="K894" s="308"/>
      <c r="L894" s="308"/>
      <c r="M894" s="308"/>
      <c r="N894" s="308"/>
      <c r="O894" s="308"/>
      <c r="P894" s="308"/>
      <c r="Q894" s="308"/>
      <c r="R894" s="308"/>
      <c r="S894" s="308"/>
      <c r="T894" s="308"/>
      <c r="U894" s="308"/>
      <c r="V894" s="308"/>
      <c r="W894" s="308"/>
      <c r="X894" s="308"/>
      <c r="Y894" s="308"/>
      <c r="Z894" s="309"/>
      <c r="AA894" s="309"/>
      <c r="AB894" s="308"/>
      <c r="AC894" s="308"/>
    </row>
    <row r="895" hidden="1">
      <c r="A895" s="308"/>
      <c r="B895" s="308"/>
      <c r="C895" s="308"/>
      <c r="D895" s="308"/>
      <c r="E895" s="308"/>
      <c r="F895" s="319"/>
      <c r="G895" s="319"/>
      <c r="H895" s="319"/>
      <c r="I895" s="308"/>
      <c r="J895" s="308"/>
      <c r="K895" s="308"/>
      <c r="L895" s="308"/>
      <c r="M895" s="308"/>
      <c r="N895" s="308"/>
      <c r="O895" s="308"/>
      <c r="P895" s="308"/>
      <c r="Q895" s="308"/>
      <c r="R895" s="308"/>
      <c r="S895" s="308"/>
      <c r="T895" s="308"/>
      <c r="U895" s="308"/>
      <c r="V895" s="308"/>
      <c r="W895" s="308"/>
      <c r="X895" s="308"/>
      <c r="Y895" s="308"/>
      <c r="Z895" s="309"/>
      <c r="AA895" s="309"/>
      <c r="AB895" s="308"/>
      <c r="AC895" s="308"/>
    </row>
    <row r="896" hidden="1">
      <c r="A896" s="308"/>
      <c r="B896" s="308"/>
      <c r="C896" s="308"/>
      <c r="D896" s="308"/>
      <c r="E896" s="308"/>
      <c r="F896" s="319"/>
      <c r="G896" s="319"/>
      <c r="H896" s="319"/>
      <c r="I896" s="308"/>
      <c r="J896" s="308"/>
      <c r="K896" s="308"/>
      <c r="L896" s="308"/>
      <c r="M896" s="308"/>
      <c r="N896" s="308"/>
      <c r="O896" s="308"/>
      <c r="P896" s="308"/>
      <c r="Q896" s="308"/>
      <c r="R896" s="308"/>
      <c r="S896" s="308"/>
      <c r="T896" s="308"/>
      <c r="U896" s="308"/>
      <c r="V896" s="308"/>
      <c r="W896" s="308"/>
      <c r="X896" s="308"/>
      <c r="Y896" s="308"/>
      <c r="Z896" s="309"/>
      <c r="AA896" s="309"/>
      <c r="AB896" s="308"/>
      <c r="AC896" s="308"/>
    </row>
    <row r="897" hidden="1">
      <c r="A897" s="308"/>
      <c r="B897" s="308"/>
      <c r="C897" s="308"/>
      <c r="D897" s="308"/>
      <c r="E897" s="308"/>
      <c r="F897" s="319"/>
      <c r="G897" s="319"/>
      <c r="H897" s="319"/>
      <c r="I897" s="308"/>
      <c r="J897" s="308"/>
      <c r="K897" s="308"/>
      <c r="L897" s="308"/>
      <c r="M897" s="308"/>
      <c r="N897" s="308"/>
      <c r="O897" s="308"/>
      <c r="P897" s="308"/>
      <c r="Q897" s="308"/>
      <c r="R897" s="308"/>
      <c r="S897" s="308"/>
      <c r="T897" s="308"/>
      <c r="U897" s="308"/>
      <c r="V897" s="308"/>
      <c r="W897" s="308"/>
      <c r="X897" s="308"/>
      <c r="Y897" s="308"/>
      <c r="Z897" s="309"/>
      <c r="AA897" s="309"/>
      <c r="AB897" s="308"/>
      <c r="AC897" s="308"/>
    </row>
    <row r="898" hidden="1">
      <c r="A898" s="308"/>
      <c r="B898" s="308"/>
      <c r="C898" s="308"/>
      <c r="D898" s="308"/>
      <c r="E898" s="308"/>
      <c r="F898" s="319"/>
      <c r="G898" s="319"/>
      <c r="H898" s="319"/>
      <c r="I898" s="308"/>
      <c r="J898" s="308"/>
      <c r="K898" s="308"/>
      <c r="L898" s="308"/>
      <c r="M898" s="308"/>
      <c r="N898" s="308"/>
      <c r="O898" s="308"/>
      <c r="P898" s="308"/>
      <c r="Q898" s="308"/>
      <c r="R898" s="308"/>
      <c r="S898" s="308"/>
      <c r="T898" s="308"/>
      <c r="U898" s="308"/>
      <c r="V898" s="308"/>
      <c r="W898" s="308"/>
      <c r="X898" s="308"/>
      <c r="Y898" s="308"/>
      <c r="Z898" s="309"/>
      <c r="AA898" s="309"/>
      <c r="AB898" s="308"/>
      <c r="AC898" s="308"/>
    </row>
    <row r="899" hidden="1">
      <c r="A899" s="308"/>
      <c r="B899" s="308"/>
      <c r="C899" s="308"/>
      <c r="D899" s="308"/>
      <c r="E899" s="308"/>
      <c r="F899" s="319"/>
      <c r="G899" s="319"/>
      <c r="H899" s="319"/>
      <c r="I899" s="308"/>
      <c r="J899" s="308"/>
      <c r="K899" s="308"/>
      <c r="L899" s="308"/>
      <c r="M899" s="308"/>
      <c r="N899" s="308"/>
      <c r="O899" s="308"/>
      <c r="P899" s="308"/>
      <c r="Q899" s="308"/>
      <c r="R899" s="308"/>
      <c r="S899" s="308"/>
      <c r="T899" s="308"/>
      <c r="U899" s="308"/>
      <c r="V899" s="308"/>
      <c r="W899" s="308"/>
      <c r="X899" s="308"/>
      <c r="Y899" s="308"/>
      <c r="Z899" s="309"/>
      <c r="AA899" s="309"/>
      <c r="AB899" s="308"/>
      <c r="AC899" s="308"/>
    </row>
    <row r="900" hidden="1">
      <c r="A900" s="308"/>
      <c r="B900" s="308"/>
      <c r="C900" s="308"/>
      <c r="D900" s="308"/>
      <c r="E900" s="308"/>
      <c r="F900" s="319"/>
      <c r="G900" s="319"/>
      <c r="H900" s="319"/>
      <c r="I900" s="308"/>
      <c r="J900" s="308"/>
      <c r="K900" s="308"/>
      <c r="L900" s="308"/>
      <c r="M900" s="308"/>
      <c r="N900" s="308"/>
      <c r="O900" s="308"/>
      <c r="P900" s="308"/>
      <c r="Q900" s="308"/>
      <c r="R900" s="308"/>
      <c r="S900" s="308"/>
      <c r="T900" s="308"/>
      <c r="U900" s="308"/>
      <c r="V900" s="308"/>
      <c r="W900" s="308"/>
      <c r="X900" s="308"/>
      <c r="Y900" s="308"/>
      <c r="Z900" s="309"/>
      <c r="AA900" s="309"/>
      <c r="AB900" s="308"/>
      <c r="AC900" s="308"/>
    </row>
    <row r="901" hidden="1">
      <c r="A901" s="308"/>
      <c r="B901" s="308"/>
      <c r="C901" s="308"/>
      <c r="D901" s="308"/>
      <c r="E901" s="308"/>
      <c r="F901" s="319"/>
      <c r="G901" s="319"/>
      <c r="H901" s="319"/>
      <c r="I901" s="308"/>
      <c r="J901" s="308"/>
      <c r="K901" s="308"/>
      <c r="L901" s="308"/>
      <c r="M901" s="308"/>
      <c r="N901" s="308"/>
      <c r="O901" s="308"/>
      <c r="P901" s="308"/>
      <c r="Q901" s="308"/>
      <c r="R901" s="308"/>
      <c r="S901" s="308"/>
      <c r="T901" s="308"/>
      <c r="U901" s="308"/>
      <c r="V901" s="308"/>
      <c r="W901" s="308"/>
      <c r="X901" s="308"/>
      <c r="Y901" s="308"/>
      <c r="Z901" s="309"/>
      <c r="AA901" s="309"/>
      <c r="AB901" s="308"/>
      <c r="AC901" s="308"/>
    </row>
    <row r="902" hidden="1">
      <c r="A902" s="308"/>
      <c r="B902" s="308"/>
      <c r="C902" s="308"/>
      <c r="D902" s="308"/>
      <c r="E902" s="308"/>
      <c r="F902" s="319"/>
      <c r="G902" s="319"/>
      <c r="H902" s="319"/>
      <c r="I902" s="308"/>
      <c r="J902" s="308"/>
      <c r="K902" s="308"/>
      <c r="L902" s="308"/>
      <c r="M902" s="308"/>
      <c r="N902" s="308"/>
      <c r="O902" s="308"/>
      <c r="P902" s="308"/>
      <c r="Q902" s="308"/>
      <c r="R902" s="308"/>
      <c r="S902" s="308"/>
      <c r="T902" s="308"/>
      <c r="U902" s="308"/>
      <c r="V902" s="308"/>
      <c r="W902" s="308"/>
      <c r="X902" s="308"/>
      <c r="Y902" s="308"/>
      <c r="Z902" s="309"/>
      <c r="AA902" s="309"/>
      <c r="AB902" s="308"/>
      <c r="AC902" s="308"/>
    </row>
    <row r="903" hidden="1">
      <c r="A903" s="308"/>
      <c r="B903" s="308"/>
      <c r="C903" s="308"/>
      <c r="D903" s="308"/>
      <c r="E903" s="308"/>
      <c r="F903" s="319"/>
      <c r="G903" s="319"/>
      <c r="H903" s="319"/>
      <c r="I903" s="308"/>
      <c r="J903" s="308"/>
      <c r="K903" s="308"/>
      <c r="L903" s="308"/>
      <c r="M903" s="308"/>
      <c r="N903" s="308"/>
      <c r="O903" s="308"/>
      <c r="P903" s="308"/>
      <c r="Q903" s="308"/>
      <c r="R903" s="308"/>
      <c r="S903" s="308"/>
      <c r="T903" s="308"/>
      <c r="U903" s="308"/>
      <c r="V903" s="308"/>
      <c r="W903" s="308"/>
      <c r="X903" s="308"/>
      <c r="Y903" s="308"/>
      <c r="Z903" s="309"/>
      <c r="AA903" s="309"/>
      <c r="AB903" s="308"/>
      <c r="AC903" s="308"/>
    </row>
    <row r="904" hidden="1">
      <c r="A904" s="308"/>
      <c r="B904" s="308"/>
      <c r="C904" s="308"/>
      <c r="D904" s="308"/>
      <c r="E904" s="308"/>
      <c r="F904" s="319"/>
      <c r="G904" s="319"/>
      <c r="H904" s="319"/>
      <c r="I904" s="308"/>
      <c r="J904" s="308"/>
      <c r="K904" s="308"/>
      <c r="L904" s="308"/>
      <c r="M904" s="308"/>
      <c r="N904" s="308"/>
      <c r="O904" s="308"/>
      <c r="P904" s="308"/>
      <c r="Q904" s="308"/>
      <c r="R904" s="308"/>
      <c r="S904" s="308"/>
      <c r="T904" s="308"/>
      <c r="U904" s="308"/>
      <c r="V904" s="308"/>
      <c r="W904" s="308"/>
      <c r="X904" s="308"/>
      <c r="Y904" s="308"/>
      <c r="Z904" s="309"/>
      <c r="AA904" s="309"/>
      <c r="AB904" s="308"/>
      <c r="AC904" s="308"/>
    </row>
    <row r="905" hidden="1">
      <c r="A905" s="308"/>
      <c r="B905" s="308"/>
      <c r="C905" s="308"/>
      <c r="D905" s="308"/>
      <c r="E905" s="308"/>
      <c r="F905" s="319"/>
      <c r="G905" s="319"/>
      <c r="H905" s="319"/>
      <c r="I905" s="308"/>
      <c r="J905" s="308"/>
      <c r="K905" s="308"/>
      <c r="L905" s="308"/>
      <c r="M905" s="308"/>
      <c r="N905" s="308"/>
      <c r="O905" s="308"/>
      <c r="P905" s="308"/>
      <c r="Q905" s="308"/>
      <c r="R905" s="308"/>
      <c r="S905" s="308"/>
      <c r="T905" s="308"/>
      <c r="U905" s="308"/>
      <c r="V905" s="308"/>
      <c r="W905" s="308"/>
      <c r="X905" s="308"/>
      <c r="Y905" s="308"/>
      <c r="Z905" s="309"/>
      <c r="AA905" s="309"/>
      <c r="AB905" s="308"/>
      <c r="AC905" s="308"/>
    </row>
    <row r="906" hidden="1">
      <c r="A906" s="308"/>
      <c r="B906" s="308"/>
      <c r="C906" s="308"/>
      <c r="D906" s="308"/>
      <c r="E906" s="308"/>
      <c r="F906" s="319"/>
      <c r="G906" s="319"/>
      <c r="H906" s="319"/>
      <c r="I906" s="308"/>
      <c r="J906" s="308"/>
      <c r="K906" s="308"/>
      <c r="L906" s="308"/>
      <c r="M906" s="308"/>
      <c r="N906" s="308"/>
      <c r="O906" s="308"/>
      <c r="P906" s="308"/>
      <c r="Q906" s="308"/>
      <c r="R906" s="308"/>
      <c r="S906" s="308"/>
      <c r="T906" s="308"/>
      <c r="U906" s="308"/>
      <c r="V906" s="308"/>
      <c r="W906" s="308"/>
      <c r="X906" s="308"/>
      <c r="Y906" s="308"/>
      <c r="Z906" s="309"/>
      <c r="AA906" s="309"/>
      <c r="AB906" s="308"/>
      <c r="AC906" s="308"/>
    </row>
    <row r="907" hidden="1">
      <c r="A907" s="308"/>
      <c r="B907" s="308"/>
      <c r="C907" s="308"/>
      <c r="D907" s="308"/>
      <c r="E907" s="308"/>
      <c r="F907" s="319"/>
      <c r="G907" s="319"/>
      <c r="H907" s="319"/>
      <c r="I907" s="308"/>
      <c r="J907" s="308"/>
      <c r="K907" s="308"/>
      <c r="L907" s="308"/>
      <c r="M907" s="308"/>
      <c r="N907" s="308"/>
      <c r="O907" s="308"/>
      <c r="P907" s="308"/>
      <c r="Q907" s="308"/>
      <c r="R907" s="308"/>
      <c r="S907" s="308"/>
      <c r="T907" s="308"/>
      <c r="U907" s="308"/>
      <c r="V907" s="308"/>
      <c r="W907" s="308"/>
      <c r="X907" s="308"/>
      <c r="Y907" s="308"/>
      <c r="Z907" s="309"/>
      <c r="AA907" s="309"/>
      <c r="AB907" s="308"/>
      <c r="AC907" s="308"/>
    </row>
    <row r="908" hidden="1">
      <c r="A908" s="308"/>
      <c r="B908" s="308"/>
      <c r="C908" s="308"/>
      <c r="D908" s="308"/>
      <c r="E908" s="308"/>
      <c r="F908" s="319"/>
      <c r="G908" s="319"/>
      <c r="H908" s="319"/>
      <c r="I908" s="308"/>
      <c r="J908" s="308"/>
      <c r="K908" s="308"/>
      <c r="L908" s="308"/>
      <c r="M908" s="308"/>
      <c r="N908" s="308"/>
      <c r="O908" s="308"/>
      <c r="P908" s="308"/>
      <c r="Q908" s="308"/>
      <c r="R908" s="308"/>
      <c r="S908" s="308"/>
      <c r="T908" s="308"/>
      <c r="U908" s="308"/>
      <c r="V908" s="308"/>
      <c r="W908" s="308"/>
      <c r="X908" s="308"/>
      <c r="Y908" s="308"/>
      <c r="Z908" s="309"/>
      <c r="AA908" s="309"/>
      <c r="AB908" s="308"/>
      <c r="AC908" s="308"/>
    </row>
    <row r="909" hidden="1">
      <c r="A909" s="308"/>
      <c r="B909" s="308"/>
      <c r="C909" s="308"/>
      <c r="D909" s="308"/>
      <c r="E909" s="308"/>
      <c r="F909" s="319"/>
      <c r="G909" s="319"/>
      <c r="H909" s="319"/>
      <c r="I909" s="308"/>
      <c r="J909" s="308"/>
      <c r="K909" s="308"/>
      <c r="L909" s="308"/>
      <c r="M909" s="308"/>
      <c r="N909" s="308"/>
      <c r="O909" s="308"/>
      <c r="P909" s="308"/>
      <c r="Q909" s="308"/>
      <c r="R909" s="308"/>
      <c r="S909" s="308"/>
      <c r="T909" s="308"/>
      <c r="U909" s="308"/>
      <c r="V909" s="308"/>
      <c r="W909" s="308"/>
      <c r="X909" s="308"/>
      <c r="Y909" s="308"/>
      <c r="Z909" s="309"/>
      <c r="AA909" s="309"/>
      <c r="AB909" s="308"/>
      <c r="AC909" s="308"/>
    </row>
    <row r="910" hidden="1">
      <c r="A910" s="308"/>
      <c r="B910" s="308"/>
      <c r="C910" s="308"/>
      <c r="D910" s="308"/>
      <c r="E910" s="308"/>
      <c r="F910" s="319"/>
      <c r="G910" s="319"/>
      <c r="H910" s="319"/>
      <c r="I910" s="308"/>
      <c r="J910" s="308"/>
      <c r="K910" s="308"/>
      <c r="L910" s="308"/>
      <c r="M910" s="308"/>
      <c r="N910" s="308"/>
      <c r="O910" s="308"/>
      <c r="P910" s="308"/>
      <c r="Q910" s="308"/>
      <c r="R910" s="308"/>
      <c r="S910" s="308"/>
      <c r="T910" s="308"/>
      <c r="U910" s="308"/>
      <c r="V910" s="308"/>
      <c r="W910" s="308"/>
      <c r="X910" s="308"/>
      <c r="Y910" s="308"/>
      <c r="Z910" s="309"/>
      <c r="AA910" s="309"/>
      <c r="AB910" s="308"/>
      <c r="AC910" s="308"/>
    </row>
    <row r="911" hidden="1">
      <c r="A911" s="308"/>
      <c r="B911" s="308"/>
      <c r="C911" s="308"/>
      <c r="D911" s="308"/>
      <c r="E911" s="308"/>
      <c r="F911" s="319"/>
      <c r="G911" s="319"/>
      <c r="H911" s="319"/>
      <c r="I911" s="308"/>
      <c r="J911" s="308"/>
      <c r="K911" s="308"/>
      <c r="L911" s="308"/>
      <c r="M911" s="308"/>
      <c r="N911" s="308"/>
      <c r="O911" s="308"/>
      <c r="P911" s="308"/>
      <c r="Q911" s="308"/>
      <c r="R911" s="308"/>
      <c r="S911" s="308"/>
      <c r="T911" s="308"/>
      <c r="U911" s="308"/>
      <c r="V911" s="308"/>
      <c r="W911" s="308"/>
      <c r="X911" s="308"/>
      <c r="Y911" s="308"/>
      <c r="Z911" s="309"/>
      <c r="AA911" s="309"/>
      <c r="AB911" s="308"/>
      <c r="AC911" s="308"/>
    </row>
    <row r="912" hidden="1">
      <c r="A912" s="308"/>
      <c r="B912" s="308"/>
      <c r="C912" s="308"/>
      <c r="D912" s="308"/>
      <c r="E912" s="308"/>
      <c r="F912" s="319"/>
      <c r="G912" s="319"/>
      <c r="H912" s="319"/>
      <c r="I912" s="308"/>
      <c r="J912" s="308"/>
      <c r="K912" s="308"/>
      <c r="L912" s="308"/>
      <c r="M912" s="308"/>
      <c r="N912" s="308"/>
      <c r="O912" s="308"/>
      <c r="P912" s="308"/>
      <c r="Q912" s="308"/>
      <c r="R912" s="308"/>
      <c r="S912" s="308"/>
      <c r="T912" s="308"/>
      <c r="U912" s="308"/>
      <c r="V912" s="308"/>
      <c r="W912" s="308"/>
      <c r="X912" s="308"/>
      <c r="Y912" s="308"/>
      <c r="Z912" s="309"/>
      <c r="AA912" s="309"/>
      <c r="AB912" s="308"/>
      <c r="AC912" s="308"/>
    </row>
    <row r="913" hidden="1">
      <c r="A913" s="308"/>
      <c r="B913" s="308"/>
      <c r="C913" s="308"/>
      <c r="D913" s="308"/>
      <c r="E913" s="308"/>
      <c r="F913" s="319"/>
      <c r="G913" s="319"/>
      <c r="H913" s="319"/>
      <c r="I913" s="308"/>
      <c r="J913" s="308"/>
      <c r="K913" s="308"/>
      <c r="L913" s="308"/>
      <c r="M913" s="308"/>
      <c r="N913" s="308"/>
      <c r="O913" s="308"/>
      <c r="P913" s="308"/>
      <c r="Q913" s="308"/>
      <c r="R913" s="308"/>
      <c r="S913" s="308"/>
      <c r="T913" s="308"/>
      <c r="U913" s="308"/>
      <c r="V913" s="308"/>
      <c r="W913" s="308"/>
      <c r="X913" s="308"/>
      <c r="Y913" s="308"/>
      <c r="Z913" s="309"/>
      <c r="AA913" s="309"/>
      <c r="AB913" s="308"/>
      <c r="AC913" s="308"/>
    </row>
    <row r="914" hidden="1">
      <c r="A914" s="308"/>
      <c r="B914" s="308"/>
      <c r="C914" s="308"/>
      <c r="D914" s="308"/>
      <c r="E914" s="308"/>
      <c r="F914" s="319"/>
      <c r="G914" s="319"/>
      <c r="H914" s="319"/>
      <c r="I914" s="308"/>
      <c r="J914" s="308"/>
      <c r="K914" s="308"/>
      <c r="L914" s="308"/>
      <c r="M914" s="308"/>
      <c r="N914" s="308"/>
      <c r="O914" s="308"/>
      <c r="P914" s="308"/>
      <c r="Q914" s="308"/>
      <c r="R914" s="308"/>
      <c r="S914" s="308"/>
      <c r="T914" s="308"/>
      <c r="U914" s="308"/>
      <c r="V914" s="308"/>
      <c r="W914" s="308"/>
      <c r="X914" s="308"/>
      <c r="Y914" s="308"/>
      <c r="Z914" s="309"/>
      <c r="AA914" s="309"/>
      <c r="AB914" s="308"/>
      <c r="AC914" s="308"/>
    </row>
    <row r="915" hidden="1">
      <c r="A915" s="308"/>
      <c r="B915" s="308"/>
      <c r="C915" s="308"/>
      <c r="D915" s="308"/>
      <c r="E915" s="308"/>
      <c r="F915" s="319"/>
      <c r="G915" s="319"/>
      <c r="H915" s="319"/>
      <c r="I915" s="308"/>
      <c r="J915" s="308"/>
      <c r="K915" s="308"/>
      <c r="L915" s="308"/>
      <c r="M915" s="308"/>
      <c r="N915" s="308"/>
      <c r="O915" s="308"/>
      <c r="P915" s="308"/>
      <c r="Q915" s="308"/>
      <c r="R915" s="308"/>
      <c r="S915" s="308"/>
      <c r="T915" s="308"/>
      <c r="U915" s="308"/>
      <c r="V915" s="308"/>
      <c r="W915" s="308"/>
      <c r="X915" s="308"/>
      <c r="Y915" s="308"/>
      <c r="Z915" s="309"/>
      <c r="AA915" s="309"/>
      <c r="AB915" s="308"/>
      <c r="AC915" s="308"/>
    </row>
    <row r="916" hidden="1">
      <c r="A916" s="308"/>
      <c r="B916" s="308"/>
      <c r="C916" s="308"/>
      <c r="D916" s="308"/>
      <c r="E916" s="308"/>
      <c r="F916" s="319"/>
      <c r="G916" s="319"/>
      <c r="H916" s="319"/>
      <c r="I916" s="308"/>
      <c r="J916" s="308"/>
      <c r="K916" s="308"/>
      <c r="L916" s="308"/>
      <c r="M916" s="308"/>
      <c r="N916" s="308"/>
      <c r="O916" s="308"/>
      <c r="P916" s="308"/>
      <c r="Q916" s="308"/>
      <c r="R916" s="308"/>
      <c r="S916" s="308"/>
      <c r="T916" s="308"/>
      <c r="U916" s="308"/>
      <c r="V916" s="308"/>
      <c r="W916" s="308"/>
      <c r="X916" s="308"/>
      <c r="Y916" s="308"/>
      <c r="Z916" s="309"/>
      <c r="AA916" s="309"/>
      <c r="AB916" s="308"/>
      <c r="AC916" s="308"/>
    </row>
    <row r="917" hidden="1">
      <c r="A917" s="308"/>
      <c r="B917" s="308"/>
      <c r="C917" s="308"/>
      <c r="D917" s="308"/>
      <c r="E917" s="308"/>
      <c r="F917" s="319"/>
      <c r="G917" s="319"/>
      <c r="H917" s="319"/>
      <c r="I917" s="308"/>
      <c r="J917" s="308"/>
      <c r="K917" s="308"/>
      <c r="L917" s="308"/>
      <c r="M917" s="308"/>
      <c r="N917" s="308"/>
      <c r="O917" s="308"/>
      <c r="P917" s="308"/>
      <c r="Q917" s="308"/>
      <c r="R917" s="308"/>
      <c r="S917" s="308"/>
      <c r="T917" s="308"/>
      <c r="U917" s="308"/>
      <c r="V917" s="308"/>
      <c r="W917" s="308"/>
      <c r="X917" s="308"/>
      <c r="Y917" s="308"/>
      <c r="Z917" s="309"/>
      <c r="AA917" s="309"/>
      <c r="AB917" s="308"/>
      <c r="AC917" s="308"/>
    </row>
    <row r="918" hidden="1">
      <c r="A918" s="308"/>
      <c r="B918" s="308"/>
      <c r="C918" s="308"/>
      <c r="D918" s="308"/>
      <c r="E918" s="308"/>
      <c r="F918" s="319"/>
      <c r="G918" s="319"/>
      <c r="H918" s="319"/>
      <c r="I918" s="308"/>
      <c r="J918" s="308"/>
      <c r="K918" s="308"/>
      <c r="L918" s="308"/>
      <c r="M918" s="308"/>
      <c r="N918" s="308"/>
      <c r="O918" s="308"/>
      <c r="P918" s="308"/>
      <c r="Q918" s="308"/>
      <c r="R918" s="308"/>
      <c r="S918" s="308"/>
      <c r="T918" s="308"/>
      <c r="U918" s="308"/>
      <c r="V918" s="308"/>
      <c r="W918" s="308"/>
      <c r="X918" s="308"/>
      <c r="Y918" s="308"/>
      <c r="Z918" s="309"/>
      <c r="AA918" s="309"/>
      <c r="AB918" s="308"/>
      <c r="AC918" s="308"/>
    </row>
    <row r="919" hidden="1">
      <c r="A919" s="308"/>
      <c r="B919" s="308"/>
      <c r="C919" s="308"/>
      <c r="D919" s="308"/>
      <c r="E919" s="308"/>
      <c r="F919" s="319"/>
      <c r="G919" s="319"/>
      <c r="H919" s="319"/>
      <c r="I919" s="308"/>
      <c r="J919" s="308"/>
      <c r="K919" s="308"/>
      <c r="L919" s="308"/>
      <c r="M919" s="308"/>
      <c r="N919" s="308"/>
      <c r="O919" s="308"/>
      <c r="P919" s="308"/>
      <c r="Q919" s="308"/>
      <c r="R919" s="308"/>
      <c r="S919" s="308"/>
      <c r="T919" s="308"/>
      <c r="U919" s="308"/>
      <c r="V919" s="308"/>
      <c r="W919" s="308"/>
      <c r="X919" s="308"/>
      <c r="Y919" s="308"/>
      <c r="Z919" s="309"/>
      <c r="AA919" s="309"/>
      <c r="AB919" s="308"/>
      <c r="AC919" s="308"/>
    </row>
    <row r="920" hidden="1">
      <c r="A920" s="308"/>
      <c r="B920" s="308"/>
      <c r="C920" s="308"/>
      <c r="D920" s="308"/>
      <c r="E920" s="308"/>
      <c r="F920" s="319"/>
      <c r="G920" s="319"/>
      <c r="H920" s="319"/>
      <c r="I920" s="308"/>
      <c r="J920" s="308"/>
      <c r="K920" s="308"/>
      <c r="L920" s="308"/>
      <c r="M920" s="308"/>
      <c r="N920" s="308"/>
      <c r="O920" s="308"/>
      <c r="P920" s="308"/>
      <c r="Q920" s="308"/>
      <c r="R920" s="308"/>
      <c r="S920" s="308"/>
      <c r="T920" s="308"/>
      <c r="U920" s="308"/>
      <c r="V920" s="308"/>
      <c r="W920" s="308"/>
      <c r="X920" s="308"/>
      <c r="Y920" s="308"/>
      <c r="Z920" s="309"/>
      <c r="AA920" s="309"/>
      <c r="AB920" s="308"/>
      <c r="AC920" s="308"/>
    </row>
    <row r="921" hidden="1">
      <c r="A921" s="308"/>
      <c r="B921" s="308"/>
      <c r="C921" s="308"/>
      <c r="D921" s="308"/>
      <c r="E921" s="308"/>
      <c r="F921" s="319"/>
      <c r="G921" s="319"/>
      <c r="H921" s="319"/>
      <c r="I921" s="308"/>
      <c r="J921" s="308"/>
      <c r="K921" s="308"/>
      <c r="L921" s="308"/>
      <c r="M921" s="308"/>
      <c r="N921" s="308"/>
      <c r="O921" s="308"/>
      <c r="P921" s="308"/>
      <c r="Q921" s="308"/>
      <c r="R921" s="308"/>
      <c r="S921" s="308"/>
      <c r="T921" s="308"/>
      <c r="U921" s="308"/>
      <c r="V921" s="308"/>
      <c r="W921" s="308"/>
      <c r="X921" s="308"/>
      <c r="Y921" s="308"/>
      <c r="Z921" s="309"/>
      <c r="AA921" s="309"/>
      <c r="AB921" s="308"/>
      <c r="AC921" s="308"/>
    </row>
    <row r="922" hidden="1">
      <c r="A922" s="308"/>
      <c r="B922" s="308"/>
      <c r="C922" s="308"/>
      <c r="D922" s="308"/>
      <c r="E922" s="308"/>
      <c r="F922" s="319"/>
      <c r="G922" s="319"/>
      <c r="H922" s="319"/>
      <c r="I922" s="308"/>
      <c r="J922" s="308"/>
      <c r="K922" s="308"/>
      <c r="L922" s="308"/>
      <c r="M922" s="308"/>
      <c r="N922" s="308"/>
      <c r="O922" s="308"/>
      <c r="P922" s="308"/>
      <c r="Q922" s="308"/>
      <c r="R922" s="308"/>
      <c r="S922" s="308"/>
      <c r="T922" s="308"/>
      <c r="U922" s="308"/>
      <c r="V922" s="308"/>
      <c r="W922" s="308"/>
      <c r="X922" s="308"/>
      <c r="Y922" s="308"/>
      <c r="Z922" s="309"/>
      <c r="AA922" s="309"/>
      <c r="AB922" s="308"/>
      <c r="AC922" s="308"/>
    </row>
    <row r="923" hidden="1">
      <c r="A923" s="308"/>
      <c r="B923" s="308"/>
      <c r="C923" s="308"/>
      <c r="D923" s="308"/>
      <c r="E923" s="308"/>
      <c r="F923" s="319"/>
      <c r="G923" s="319"/>
      <c r="H923" s="319"/>
      <c r="I923" s="308"/>
      <c r="J923" s="308"/>
      <c r="K923" s="308"/>
      <c r="L923" s="308"/>
      <c r="M923" s="308"/>
      <c r="N923" s="308"/>
      <c r="O923" s="308"/>
      <c r="P923" s="308"/>
      <c r="Q923" s="308"/>
      <c r="R923" s="308"/>
      <c r="S923" s="308"/>
      <c r="T923" s="308"/>
      <c r="U923" s="308"/>
      <c r="V923" s="308"/>
      <c r="W923" s="308"/>
      <c r="X923" s="308"/>
      <c r="Y923" s="308"/>
      <c r="Z923" s="309"/>
      <c r="AA923" s="309"/>
      <c r="AB923" s="308"/>
      <c r="AC923" s="308"/>
    </row>
    <row r="924" hidden="1">
      <c r="A924" s="308"/>
      <c r="B924" s="308"/>
      <c r="C924" s="308"/>
      <c r="D924" s="308"/>
      <c r="E924" s="308"/>
      <c r="F924" s="319"/>
      <c r="G924" s="319"/>
      <c r="H924" s="319"/>
      <c r="I924" s="308"/>
      <c r="J924" s="308"/>
      <c r="K924" s="308"/>
      <c r="L924" s="308"/>
      <c r="M924" s="308"/>
      <c r="N924" s="308"/>
      <c r="O924" s="308"/>
      <c r="P924" s="308"/>
      <c r="Q924" s="308"/>
      <c r="R924" s="308"/>
      <c r="S924" s="308"/>
      <c r="T924" s="308"/>
      <c r="U924" s="308"/>
      <c r="V924" s="308"/>
      <c r="W924" s="308"/>
      <c r="X924" s="308"/>
      <c r="Y924" s="308"/>
      <c r="Z924" s="309"/>
      <c r="AA924" s="309"/>
      <c r="AB924" s="308"/>
      <c r="AC924" s="308"/>
    </row>
    <row r="925" hidden="1">
      <c r="A925" s="308"/>
      <c r="B925" s="308"/>
      <c r="C925" s="308"/>
      <c r="D925" s="308"/>
      <c r="E925" s="308"/>
      <c r="F925" s="319"/>
      <c r="G925" s="319"/>
      <c r="H925" s="319"/>
      <c r="I925" s="308"/>
      <c r="J925" s="308"/>
      <c r="K925" s="308"/>
      <c r="L925" s="308"/>
      <c r="M925" s="308"/>
      <c r="N925" s="308"/>
      <c r="O925" s="308"/>
      <c r="P925" s="308"/>
      <c r="Q925" s="308"/>
      <c r="R925" s="308"/>
      <c r="S925" s="308"/>
      <c r="T925" s="308"/>
      <c r="U925" s="308"/>
      <c r="V925" s="308"/>
      <c r="W925" s="308"/>
      <c r="X925" s="308"/>
      <c r="Y925" s="308"/>
      <c r="Z925" s="309"/>
      <c r="AA925" s="309"/>
      <c r="AB925" s="308"/>
      <c r="AC925" s="308"/>
    </row>
    <row r="926" hidden="1">
      <c r="A926" s="308"/>
      <c r="B926" s="308"/>
      <c r="C926" s="308"/>
      <c r="D926" s="308"/>
      <c r="E926" s="308"/>
      <c r="F926" s="319"/>
      <c r="G926" s="319"/>
      <c r="H926" s="319"/>
      <c r="I926" s="308"/>
      <c r="J926" s="308"/>
      <c r="K926" s="308"/>
      <c r="L926" s="308"/>
      <c r="M926" s="308"/>
      <c r="N926" s="308"/>
      <c r="O926" s="308"/>
      <c r="P926" s="308"/>
      <c r="Q926" s="308"/>
      <c r="R926" s="308"/>
      <c r="S926" s="308"/>
      <c r="T926" s="308"/>
      <c r="U926" s="308"/>
      <c r="V926" s="308"/>
      <c r="W926" s="308"/>
      <c r="X926" s="308"/>
      <c r="Y926" s="308"/>
      <c r="Z926" s="309"/>
      <c r="AA926" s="309"/>
      <c r="AB926" s="308"/>
      <c r="AC926" s="308"/>
    </row>
    <row r="927" hidden="1">
      <c r="A927" s="308"/>
      <c r="B927" s="308"/>
      <c r="C927" s="308"/>
      <c r="D927" s="308"/>
      <c r="E927" s="308"/>
      <c r="F927" s="319"/>
      <c r="G927" s="319"/>
      <c r="H927" s="319"/>
      <c r="I927" s="308"/>
      <c r="J927" s="308"/>
      <c r="K927" s="308"/>
      <c r="L927" s="308"/>
      <c r="M927" s="308"/>
      <c r="N927" s="308"/>
      <c r="O927" s="308"/>
      <c r="P927" s="308"/>
      <c r="Q927" s="308"/>
      <c r="R927" s="308"/>
      <c r="S927" s="308"/>
      <c r="T927" s="308"/>
      <c r="U927" s="308"/>
      <c r="V927" s="308"/>
      <c r="W927" s="308"/>
      <c r="X927" s="308"/>
      <c r="Y927" s="308"/>
      <c r="Z927" s="309"/>
      <c r="AA927" s="309"/>
      <c r="AB927" s="308"/>
      <c r="AC927" s="308"/>
    </row>
    <row r="928" hidden="1">
      <c r="A928" s="308"/>
      <c r="B928" s="308"/>
      <c r="C928" s="308"/>
      <c r="D928" s="308"/>
      <c r="E928" s="308"/>
      <c r="F928" s="319"/>
      <c r="G928" s="319"/>
      <c r="H928" s="319"/>
      <c r="I928" s="308"/>
      <c r="J928" s="308"/>
      <c r="K928" s="308"/>
      <c r="L928" s="308"/>
      <c r="M928" s="308"/>
      <c r="N928" s="308"/>
      <c r="O928" s="308"/>
      <c r="P928" s="308"/>
      <c r="Q928" s="308"/>
      <c r="R928" s="308"/>
      <c r="S928" s="308"/>
      <c r="T928" s="308"/>
      <c r="U928" s="308"/>
      <c r="V928" s="308"/>
      <c r="W928" s="308"/>
      <c r="X928" s="308"/>
      <c r="Y928" s="308"/>
      <c r="Z928" s="309"/>
      <c r="AA928" s="309"/>
      <c r="AB928" s="308"/>
      <c r="AC928" s="308"/>
    </row>
    <row r="929" hidden="1">
      <c r="A929" s="308"/>
      <c r="B929" s="308"/>
      <c r="C929" s="308"/>
      <c r="D929" s="308"/>
      <c r="E929" s="308"/>
      <c r="F929" s="319"/>
      <c r="G929" s="319"/>
      <c r="H929" s="319"/>
      <c r="I929" s="308"/>
      <c r="J929" s="308"/>
      <c r="K929" s="308"/>
      <c r="L929" s="308"/>
      <c r="M929" s="308"/>
      <c r="N929" s="308"/>
      <c r="O929" s="308"/>
      <c r="P929" s="308"/>
      <c r="Q929" s="308"/>
      <c r="R929" s="308"/>
      <c r="S929" s="308"/>
      <c r="T929" s="308"/>
      <c r="U929" s="308"/>
      <c r="V929" s="308"/>
      <c r="W929" s="308"/>
      <c r="X929" s="308"/>
      <c r="Y929" s="308"/>
      <c r="Z929" s="309"/>
      <c r="AA929" s="309"/>
      <c r="AB929" s="308"/>
      <c r="AC929" s="308"/>
    </row>
    <row r="930" hidden="1">
      <c r="A930" s="308"/>
      <c r="B930" s="308"/>
      <c r="C930" s="308"/>
      <c r="D930" s="308"/>
      <c r="E930" s="308"/>
      <c r="F930" s="319"/>
      <c r="G930" s="319"/>
      <c r="H930" s="319"/>
      <c r="I930" s="308"/>
      <c r="J930" s="308"/>
      <c r="K930" s="308"/>
      <c r="L930" s="308"/>
      <c r="M930" s="308"/>
      <c r="N930" s="308"/>
      <c r="O930" s="308"/>
      <c r="P930" s="308"/>
      <c r="Q930" s="308"/>
      <c r="R930" s="308"/>
      <c r="S930" s="308"/>
      <c r="T930" s="308"/>
      <c r="U930" s="308"/>
      <c r="V930" s="308"/>
      <c r="W930" s="308"/>
      <c r="X930" s="308"/>
      <c r="Y930" s="308"/>
      <c r="Z930" s="309"/>
      <c r="AA930" s="309"/>
      <c r="AB930" s="308"/>
      <c r="AC930" s="308"/>
    </row>
    <row r="931" hidden="1">
      <c r="A931" s="308"/>
      <c r="B931" s="308"/>
      <c r="C931" s="308"/>
      <c r="D931" s="308"/>
      <c r="E931" s="308"/>
      <c r="F931" s="319"/>
      <c r="G931" s="319"/>
      <c r="H931" s="319"/>
      <c r="I931" s="308"/>
      <c r="J931" s="308"/>
      <c r="K931" s="308"/>
      <c r="L931" s="308"/>
      <c r="M931" s="308"/>
      <c r="N931" s="308"/>
      <c r="O931" s="308"/>
      <c r="P931" s="308"/>
      <c r="Q931" s="308"/>
      <c r="R931" s="308"/>
      <c r="S931" s="308"/>
      <c r="T931" s="308"/>
      <c r="U931" s="308"/>
      <c r="V931" s="308"/>
      <c r="W931" s="308"/>
      <c r="X931" s="308"/>
      <c r="Y931" s="308"/>
      <c r="Z931" s="309"/>
      <c r="AA931" s="309"/>
      <c r="AB931" s="308"/>
      <c r="AC931" s="308"/>
    </row>
    <row r="932" hidden="1">
      <c r="A932" s="308"/>
      <c r="B932" s="308"/>
      <c r="C932" s="308"/>
      <c r="D932" s="308"/>
      <c r="E932" s="308"/>
      <c r="F932" s="319"/>
      <c r="G932" s="319"/>
      <c r="H932" s="319"/>
      <c r="I932" s="308"/>
      <c r="J932" s="308"/>
      <c r="K932" s="308"/>
      <c r="L932" s="308"/>
      <c r="M932" s="308"/>
      <c r="N932" s="308"/>
      <c r="O932" s="308"/>
      <c r="P932" s="308"/>
      <c r="Q932" s="308"/>
      <c r="R932" s="308"/>
      <c r="S932" s="308"/>
      <c r="T932" s="308"/>
      <c r="U932" s="308"/>
      <c r="V932" s="308"/>
      <c r="W932" s="308"/>
      <c r="X932" s="308"/>
      <c r="Y932" s="308"/>
      <c r="Z932" s="309"/>
      <c r="AA932" s="309"/>
      <c r="AB932" s="308"/>
      <c r="AC932" s="308"/>
    </row>
    <row r="933" hidden="1">
      <c r="A933" s="308"/>
      <c r="B933" s="308"/>
      <c r="C933" s="308"/>
      <c r="D933" s="308"/>
      <c r="E933" s="308"/>
      <c r="F933" s="319"/>
      <c r="G933" s="319"/>
      <c r="H933" s="319"/>
      <c r="I933" s="308"/>
      <c r="J933" s="308"/>
      <c r="K933" s="308"/>
      <c r="L933" s="308"/>
      <c r="M933" s="308"/>
      <c r="N933" s="308"/>
      <c r="O933" s="308"/>
      <c r="P933" s="308"/>
      <c r="Q933" s="308"/>
      <c r="R933" s="308"/>
      <c r="S933" s="308"/>
      <c r="T933" s="308"/>
      <c r="U933" s="308"/>
      <c r="V933" s="308"/>
      <c r="W933" s="308"/>
      <c r="X933" s="308"/>
      <c r="Y933" s="308"/>
      <c r="Z933" s="309"/>
      <c r="AA933" s="309"/>
      <c r="AB933" s="308"/>
      <c r="AC933" s="308"/>
    </row>
    <row r="934" hidden="1">
      <c r="A934" s="308"/>
      <c r="B934" s="308"/>
      <c r="C934" s="308"/>
      <c r="D934" s="308"/>
      <c r="E934" s="308"/>
      <c r="F934" s="319"/>
      <c r="G934" s="319"/>
      <c r="H934" s="319"/>
      <c r="I934" s="308"/>
      <c r="J934" s="308"/>
      <c r="K934" s="308"/>
      <c r="L934" s="308"/>
      <c r="M934" s="308"/>
      <c r="N934" s="308"/>
      <c r="O934" s="308"/>
      <c r="P934" s="308"/>
      <c r="Q934" s="308"/>
      <c r="R934" s="308"/>
      <c r="S934" s="308"/>
      <c r="T934" s="308"/>
      <c r="U934" s="308"/>
      <c r="V934" s="308"/>
      <c r="W934" s="308"/>
      <c r="X934" s="308"/>
      <c r="Y934" s="308"/>
      <c r="Z934" s="309"/>
      <c r="AA934" s="309"/>
      <c r="AB934" s="308"/>
      <c r="AC934" s="308"/>
    </row>
    <row r="935" hidden="1">
      <c r="A935" s="308"/>
      <c r="B935" s="308"/>
      <c r="C935" s="308"/>
      <c r="D935" s="308"/>
      <c r="E935" s="308"/>
      <c r="F935" s="319"/>
      <c r="G935" s="319"/>
      <c r="H935" s="319"/>
      <c r="I935" s="308"/>
      <c r="J935" s="308"/>
      <c r="K935" s="308"/>
      <c r="L935" s="308"/>
      <c r="M935" s="308"/>
      <c r="N935" s="308"/>
      <c r="O935" s="308"/>
      <c r="P935" s="308"/>
      <c r="Q935" s="308"/>
      <c r="R935" s="308"/>
      <c r="S935" s="308"/>
      <c r="T935" s="308"/>
      <c r="U935" s="308"/>
      <c r="V935" s="308"/>
      <c r="W935" s="308"/>
      <c r="X935" s="308"/>
      <c r="Y935" s="308"/>
      <c r="Z935" s="309"/>
      <c r="AA935" s="309"/>
      <c r="AB935" s="308"/>
      <c r="AC935" s="308"/>
    </row>
    <row r="936" hidden="1">
      <c r="A936" s="308"/>
      <c r="B936" s="308"/>
      <c r="C936" s="308"/>
      <c r="D936" s="308"/>
      <c r="E936" s="308"/>
      <c r="F936" s="319"/>
      <c r="G936" s="319"/>
      <c r="H936" s="319"/>
      <c r="I936" s="308"/>
      <c r="J936" s="308"/>
      <c r="K936" s="308"/>
      <c r="L936" s="308"/>
      <c r="M936" s="308"/>
      <c r="N936" s="308"/>
      <c r="O936" s="308"/>
      <c r="P936" s="308"/>
      <c r="Q936" s="308"/>
      <c r="R936" s="308"/>
      <c r="S936" s="308"/>
      <c r="T936" s="308"/>
      <c r="U936" s="308"/>
      <c r="V936" s="308"/>
      <c r="W936" s="308"/>
      <c r="X936" s="308"/>
      <c r="Y936" s="308"/>
      <c r="Z936" s="309"/>
      <c r="AA936" s="309"/>
      <c r="AB936" s="308"/>
      <c r="AC936" s="308"/>
    </row>
    <row r="937" hidden="1">
      <c r="A937" s="308"/>
      <c r="B937" s="308"/>
      <c r="C937" s="308"/>
      <c r="D937" s="308"/>
      <c r="E937" s="308"/>
      <c r="F937" s="319"/>
      <c r="G937" s="319"/>
      <c r="H937" s="319"/>
      <c r="I937" s="308"/>
      <c r="J937" s="308"/>
      <c r="K937" s="308"/>
      <c r="L937" s="308"/>
      <c r="M937" s="308"/>
      <c r="N937" s="308"/>
      <c r="O937" s="308"/>
      <c r="P937" s="308"/>
      <c r="Q937" s="308"/>
      <c r="R937" s="308"/>
      <c r="S937" s="308"/>
      <c r="T937" s="308"/>
      <c r="U937" s="308"/>
      <c r="V937" s="308"/>
      <c r="W937" s="308"/>
      <c r="X937" s="308"/>
      <c r="Y937" s="308"/>
      <c r="Z937" s="309"/>
      <c r="AA937" s="309"/>
      <c r="AB937" s="308"/>
      <c r="AC937" s="308"/>
    </row>
    <row r="938" hidden="1">
      <c r="A938" s="308"/>
      <c r="B938" s="308"/>
      <c r="C938" s="308"/>
      <c r="D938" s="308"/>
      <c r="E938" s="308"/>
      <c r="F938" s="319"/>
      <c r="G938" s="319"/>
      <c r="H938" s="319"/>
      <c r="I938" s="308"/>
      <c r="J938" s="308"/>
      <c r="K938" s="308"/>
      <c r="L938" s="308"/>
      <c r="M938" s="308"/>
      <c r="N938" s="308"/>
      <c r="O938" s="308"/>
      <c r="P938" s="308"/>
      <c r="Q938" s="308"/>
      <c r="R938" s="308"/>
      <c r="S938" s="308"/>
      <c r="T938" s="308"/>
      <c r="U938" s="308"/>
      <c r="V938" s="308"/>
      <c r="W938" s="308"/>
      <c r="X938" s="308"/>
      <c r="Y938" s="308"/>
      <c r="Z938" s="309"/>
      <c r="AA938" s="309"/>
      <c r="AB938" s="308"/>
      <c r="AC938" s="308"/>
    </row>
    <row r="939" hidden="1">
      <c r="A939" s="308"/>
      <c r="B939" s="308"/>
      <c r="C939" s="308"/>
      <c r="D939" s="308"/>
      <c r="E939" s="308"/>
      <c r="F939" s="319"/>
      <c r="G939" s="319"/>
      <c r="H939" s="319"/>
      <c r="I939" s="308"/>
      <c r="J939" s="308"/>
      <c r="K939" s="308"/>
      <c r="L939" s="308"/>
      <c r="M939" s="308"/>
      <c r="N939" s="308"/>
      <c r="O939" s="308"/>
      <c r="P939" s="308"/>
      <c r="Q939" s="308"/>
      <c r="R939" s="308"/>
      <c r="S939" s="308"/>
      <c r="T939" s="308"/>
      <c r="U939" s="308"/>
      <c r="V939" s="308"/>
      <c r="W939" s="308"/>
      <c r="X939" s="308"/>
      <c r="Y939" s="308"/>
      <c r="Z939" s="309"/>
      <c r="AA939" s="309"/>
      <c r="AB939" s="308"/>
      <c r="AC939" s="308"/>
    </row>
    <row r="940" hidden="1">
      <c r="A940" s="308"/>
      <c r="B940" s="308"/>
      <c r="C940" s="308"/>
      <c r="D940" s="308"/>
      <c r="E940" s="308"/>
      <c r="F940" s="319"/>
      <c r="G940" s="319"/>
      <c r="H940" s="319"/>
      <c r="I940" s="308"/>
      <c r="J940" s="308"/>
      <c r="K940" s="308"/>
      <c r="L940" s="308"/>
      <c r="M940" s="308"/>
      <c r="N940" s="308"/>
      <c r="O940" s="308"/>
      <c r="P940" s="308"/>
      <c r="Q940" s="308"/>
      <c r="R940" s="308"/>
      <c r="S940" s="308"/>
      <c r="T940" s="308"/>
      <c r="U940" s="308"/>
      <c r="V940" s="308"/>
      <c r="W940" s="308"/>
      <c r="X940" s="308"/>
      <c r="Y940" s="308"/>
      <c r="Z940" s="309"/>
      <c r="AA940" s="309"/>
      <c r="AB940" s="308"/>
      <c r="AC940" s="308"/>
    </row>
    <row r="941" hidden="1">
      <c r="A941" s="308"/>
      <c r="B941" s="308"/>
      <c r="C941" s="308"/>
      <c r="D941" s="308"/>
      <c r="E941" s="308"/>
      <c r="F941" s="319"/>
      <c r="G941" s="319"/>
      <c r="H941" s="319"/>
      <c r="I941" s="308"/>
      <c r="J941" s="308"/>
      <c r="K941" s="308"/>
      <c r="L941" s="308"/>
      <c r="M941" s="308"/>
      <c r="N941" s="308"/>
      <c r="O941" s="308"/>
      <c r="P941" s="308"/>
      <c r="Q941" s="308"/>
      <c r="R941" s="308"/>
      <c r="S941" s="308"/>
      <c r="T941" s="308"/>
      <c r="U941" s="308"/>
      <c r="V941" s="308"/>
      <c r="W941" s="308"/>
      <c r="X941" s="308"/>
      <c r="Y941" s="308"/>
      <c r="Z941" s="309"/>
      <c r="AA941" s="309"/>
      <c r="AB941" s="308"/>
      <c r="AC941" s="308"/>
    </row>
    <row r="942" hidden="1">
      <c r="A942" s="308"/>
      <c r="B942" s="308"/>
      <c r="C942" s="308"/>
      <c r="D942" s="308"/>
      <c r="E942" s="308"/>
      <c r="F942" s="319"/>
      <c r="G942" s="319"/>
      <c r="H942" s="319"/>
      <c r="I942" s="308"/>
      <c r="J942" s="308"/>
      <c r="K942" s="308"/>
      <c r="L942" s="308"/>
      <c r="M942" s="308"/>
      <c r="N942" s="308"/>
      <c r="O942" s="308"/>
      <c r="P942" s="308"/>
      <c r="Q942" s="308"/>
      <c r="R942" s="308"/>
      <c r="S942" s="308"/>
      <c r="T942" s="308"/>
      <c r="U942" s="308"/>
      <c r="V942" s="308"/>
      <c r="W942" s="308"/>
      <c r="X942" s="308"/>
      <c r="Y942" s="308"/>
      <c r="Z942" s="309"/>
      <c r="AA942" s="309"/>
      <c r="AB942" s="308"/>
      <c r="AC942" s="308"/>
    </row>
    <row r="943" hidden="1">
      <c r="A943" s="308"/>
      <c r="B943" s="308"/>
      <c r="C943" s="308"/>
      <c r="D943" s="308"/>
      <c r="E943" s="308"/>
      <c r="F943" s="319"/>
      <c r="G943" s="319"/>
      <c r="H943" s="319"/>
      <c r="I943" s="308"/>
      <c r="J943" s="308"/>
      <c r="K943" s="308"/>
      <c r="L943" s="308"/>
      <c r="M943" s="308"/>
      <c r="N943" s="308"/>
      <c r="O943" s="308"/>
      <c r="P943" s="308"/>
      <c r="Q943" s="308"/>
      <c r="R943" s="308"/>
      <c r="S943" s="308"/>
      <c r="T943" s="308"/>
      <c r="U943" s="308"/>
      <c r="V943" s="308"/>
      <c r="W943" s="308"/>
      <c r="X943" s="308"/>
      <c r="Y943" s="308"/>
      <c r="Z943" s="309"/>
      <c r="AA943" s="309"/>
      <c r="AB943" s="308"/>
      <c r="AC943" s="308"/>
    </row>
    <row r="944" hidden="1">
      <c r="A944" s="308"/>
      <c r="B944" s="308"/>
      <c r="C944" s="308"/>
      <c r="D944" s="308"/>
      <c r="E944" s="308"/>
      <c r="F944" s="319"/>
      <c r="G944" s="319"/>
      <c r="H944" s="319"/>
      <c r="I944" s="308"/>
      <c r="J944" s="308"/>
      <c r="K944" s="308"/>
      <c r="L944" s="308"/>
      <c r="M944" s="308"/>
      <c r="N944" s="308"/>
      <c r="O944" s="308"/>
      <c r="P944" s="308"/>
      <c r="Q944" s="308"/>
      <c r="R944" s="308"/>
      <c r="S944" s="308"/>
      <c r="T944" s="308"/>
      <c r="U944" s="308"/>
      <c r="V944" s="308"/>
      <c r="W944" s="308"/>
      <c r="X944" s="308"/>
      <c r="Y944" s="308"/>
      <c r="Z944" s="309"/>
      <c r="AA944" s="309"/>
      <c r="AB944" s="308"/>
      <c r="AC944" s="308"/>
    </row>
    <row r="945" hidden="1">
      <c r="A945" s="308"/>
      <c r="B945" s="308"/>
      <c r="C945" s="308"/>
      <c r="D945" s="308"/>
      <c r="E945" s="308"/>
      <c r="F945" s="319"/>
      <c r="G945" s="319"/>
      <c r="H945" s="319"/>
      <c r="I945" s="308"/>
      <c r="J945" s="308"/>
      <c r="K945" s="308"/>
      <c r="L945" s="308"/>
      <c r="M945" s="308"/>
      <c r="N945" s="308"/>
      <c r="O945" s="308"/>
      <c r="P945" s="308"/>
      <c r="Q945" s="308"/>
      <c r="R945" s="308"/>
      <c r="S945" s="308"/>
      <c r="T945" s="308"/>
      <c r="U945" s="308"/>
      <c r="V945" s="308"/>
      <c r="W945" s="308"/>
      <c r="X945" s="308"/>
      <c r="Y945" s="308"/>
      <c r="Z945" s="309"/>
      <c r="AA945" s="309"/>
      <c r="AB945" s="308"/>
      <c r="AC945" s="308"/>
    </row>
    <row r="946" hidden="1">
      <c r="A946" s="308"/>
      <c r="B946" s="308"/>
      <c r="C946" s="308"/>
      <c r="D946" s="308"/>
      <c r="E946" s="308"/>
      <c r="F946" s="319"/>
      <c r="G946" s="319"/>
      <c r="H946" s="319"/>
      <c r="I946" s="308"/>
      <c r="J946" s="308"/>
      <c r="K946" s="308"/>
      <c r="L946" s="308"/>
      <c r="M946" s="308"/>
      <c r="N946" s="308"/>
      <c r="O946" s="308"/>
      <c r="P946" s="308"/>
      <c r="Q946" s="308"/>
      <c r="R946" s="308"/>
      <c r="S946" s="308"/>
      <c r="T946" s="308"/>
      <c r="U946" s="308"/>
      <c r="V946" s="308"/>
      <c r="W946" s="308"/>
      <c r="X946" s="308"/>
      <c r="Y946" s="308"/>
      <c r="Z946" s="309"/>
      <c r="AA946" s="309"/>
      <c r="AB946" s="308"/>
      <c r="AC946" s="308"/>
    </row>
    <row r="947" hidden="1">
      <c r="A947" s="308"/>
      <c r="B947" s="308"/>
      <c r="C947" s="308"/>
      <c r="D947" s="308"/>
      <c r="E947" s="308"/>
      <c r="F947" s="319"/>
      <c r="G947" s="319"/>
      <c r="H947" s="319"/>
      <c r="I947" s="308"/>
      <c r="J947" s="308"/>
      <c r="K947" s="308"/>
      <c r="L947" s="308"/>
      <c r="M947" s="308"/>
      <c r="N947" s="308"/>
      <c r="O947" s="308"/>
      <c r="P947" s="308"/>
      <c r="Q947" s="308"/>
      <c r="R947" s="308"/>
      <c r="S947" s="308"/>
      <c r="T947" s="308"/>
      <c r="U947" s="308"/>
      <c r="V947" s="308"/>
      <c r="W947" s="308"/>
      <c r="X947" s="308"/>
      <c r="Y947" s="308"/>
      <c r="Z947" s="309"/>
      <c r="AA947" s="309"/>
      <c r="AB947" s="308"/>
      <c r="AC947" s="308"/>
    </row>
    <row r="948" hidden="1">
      <c r="A948" s="308"/>
      <c r="B948" s="308"/>
      <c r="C948" s="308"/>
      <c r="D948" s="308"/>
      <c r="E948" s="308"/>
      <c r="F948" s="319"/>
      <c r="G948" s="319"/>
      <c r="H948" s="319"/>
      <c r="I948" s="308"/>
      <c r="J948" s="308"/>
      <c r="K948" s="308"/>
      <c r="L948" s="308"/>
      <c r="M948" s="308"/>
      <c r="N948" s="308"/>
      <c r="O948" s="308"/>
      <c r="P948" s="308"/>
      <c r="Q948" s="308"/>
      <c r="R948" s="308"/>
      <c r="S948" s="308"/>
      <c r="T948" s="308"/>
      <c r="U948" s="308"/>
      <c r="V948" s="308"/>
      <c r="W948" s="308"/>
      <c r="X948" s="308"/>
      <c r="Y948" s="308"/>
      <c r="Z948" s="309"/>
      <c r="AA948" s="309"/>
      <c r="AB948" s="308"/>
      <c r="AC948" s="308"/>
    </row>
    <row r="949" hidden="1">
      <c r="A949" s="308"/>
      <c r="B949" s="308"/>
      <c r="C949" s="308"/>
      <c r="D949" s="308"/>
      <c r="E949" s="308"/>
      <c r="F949" s="319"/>
      <c r="G949" s="319"/>
      <c r="H949" s="319"/>
      <c r="I949" s="308"/>
      <c r="J949" s="308"/>
      <c r="K949" s="308"/>
      <c r="L949" s="308"/>
      <c r="M949" s="308"/>
      <c r="N949" s="308"/>
      <c r="O949" s="308"/>
      <c r="P949" s="308"/>
      <c r="Q949" s="308"/>
      <c r="R949" s="308"/>
      <c r="S949" s="308"/>
      <c r="T949" s="308"/>
      <c r="U949" s="308"/>
      <c r="V949" s="308"/>
      <c r="W949" s="308"/>
      <c r="X949" s="308"/>
      <c r="Y949" s="308"/>
      <c r="Z949" s="309"/>
      <c r="AA949" s="309"/>
      <c r="AB949" s="308"/>
      <c r="AC949" s="308"/>
    </row>
    <row r="950" hidden="1">
      <c r="A950" s="308"/>
      <c r="B950" s="308"/>
      <c r="C950" s="308"/>
      <c r="D950" s="308"/>
      <c r="E950" s="308"/>
      <c r="F950" s="319"/>
      <c r="G950" s="319"/>
      <c r="H950" s="319"/>
      <c r="I950" s="308"/>
      <c r="J950" s="308"/>
      <c r="K950" s="308"/>
      <c r="L950" s="308"/>
      <c r="M950" s="308"/>
      <c r="N950" s="308"/>
      <c r="O950" s="308"/>
      <c r="P950" s="308"/>
      <c r="Q950" s="308"/>
      <c r="R950" s="308"/>
      <c r="S950" s="308"/>
      <c r="T950" s="308"/>
      <c r="U950" s="308"/>
      <c r="V950" s="308"/>
      <c r="W950" s="308"/>
      <c r="X950" s="308"/>
      <c r="Y950" s="308"/>
      <c r="Z950" s="309"/>
      <c r="AA950" s="309"/>
      <c r="AB950" s="308"/>
      <c r="AC950" s="308"/>
    </row>
    <row r="951" hidden="1">
      <c r="A951" s="308"/>
      <c r="B951" s="308"/>
      <c r="C951" s="308"/>
      <c r="D951" s="308"/>
      <c r="E951" s="308"/>
      <c r="F951" s="319"/>
      <c r="G951" s="319"/>
      <c r="H951" s="319"/>
      <c r="I951" s="308"/>
      <c r="J951" s="308"/>
      <c r="K951" s="308"/>
      <c r="L951" s="308"/>
      <c r="M951" s="308"/>
      <c r="N951" s="308"/>
      <c r="O951" s="308"/>
      <c r="P951" s="308"/>
      <c r="Q951" s="308"/>
      <c r="R951" s="308"/>
      <c r="S951" s="308"/>
      <c r="T951" s="308"/>
      <c r="U951" s="308"/>
      <c r="V951" s="308"/>
      <c r="W951" s="308"/>
      <c r="X951" s="308"/>
      <c r="Y951" s="308"/>
      <c r="Z951" s="309"/>
      <c r="AA951" s="309"/>
      <c r="AB951" s="308"/>
      <c r="AC951" s="308"/>
    </row>
    <row r="952" hidden="1">
      <c r="A952" s="308"/>
      <c r="B952" s="308"/>
      <c r="C952" s="308"/>
      <c r="D952" s="308"/>
      <c r="E952" s="308"/>
      <c r="F952" s="319"/>
      <c r="G952" s="319"/>
      <c r="H952" s="319"/>
      <c r="I952" s="308"/>
      <c r="J952" s="308"/>
      <c r="K952" s="308"/>
      <c r="L952" s="308"/>
      <c r="M952" s="308"/>
      <c r="N952" s="308"/>
      <c r="O952" s="308"/>
      <c r="P952" s="308"/>
      <c r="Q952" s="308"/>
      <c r="R952" s="308"/>
      <c r="S952" s="308"/>
      <c r="T952" s="308"/>
      <c r="U952" s="308"/>
      <c r="V952" s="308"/>
      <c r="W952" s="308"/>
      <c r="X952" s="308"/>
      <c r="Y952" s="308"/>
      <c r="Z952" s="309"/>
      <c r="AA952" s="309"/>
      <c r="AB952" s="308"/>
      <c r="AC952" s="308"/>
    </row>
    <row r="953" hidden="1">
      <c r="A953" s="308"/>
      <c r="B953" s="308"/>
      <c r="C953" s="308"/>
      <c r="D953" s="308"/>
      <c r="E953" s="308"/>
      <c r="F953" s="319"/>
      <c r="G953" s="319"/>
      <c r="H953" s="319"/>
      <c r="I953" s="308"/>
      <c r="J953" s="308"/>
      <c r="K953" s="308"/>
      <c r="L953" s="308"/>
      <c r="M953" s="308"/>
      <c r="N953" s="308"/>
      <c r="O953" s="308"/>
      <c r="P953" s="308"/>
      <c r="Q953" s="308"/>
      <c r="R953" s="308"/>
      <c r="S953" s="308"/>
      <c r="T953" s="308"/>
      <c r="U953" s="308"/>
      <c r="V953" s="308"/>
      <c r="W953" s="308"/>
      <c r="X953" s="308"/>
      <c r="Y953" s="308"/>
      <c r="Z953" s="309"/>
      <c r="AA953" s="309"/>
      <c r="AB953" s="308"/>
      <c r="AC953" s="308"/>
    </row>
    <row r="954" hidden="1">
      <c r="A954" s="308"/>
      <c r="B954" s="308"/>
      <c r="C954" s="308"/>
      <c r="D954" s="308"/>
      <c r="E954" s="308"/>
      <c r="F954" s="319"/>
      <c r="G954" s="319"/>
      <c r="H954" s="319"/>
      <c r="I954" s="308"/>
      <c r="J954" s="308"/>
      <c r="K954" s="308"/>
      <c r="L954" s="308"/>
      <c r="M954" s="308"/>
      <c r="N954" s="308"/>
      <c r="O954" s="308"/>
      <c r="P954" s="308"/>
      <c r="Q954" s="308"/>
      <c r="R954" s="308"/>
      <c r="S954" s="308"/>
      <c r="T954" s="308"/>
      <c r="U954" s="308"/>
      <c r="V954" s="308"/>
      <c r="W954" s="308"/>
      <c r="X954" s="308"/>
      <c r="Y954" s="308"/>
      <c r="Z954" s="309"/>
      <c r="AA954" s="309"/>
      <c r="AB954" s="308"/>
      <c r="AC954" s="308"/>
    </row>
    <row r="955" hidden="1">
      <c r="A955" s="308"/>
      <c r="B955" s="308"/>
      <c r="C955" s="308"/>
      <c r="D955" s="308"/>
      <c r="E955" s="308"/>
      <c r="F955" s="319"/>
      <c r="G955" s="319"/>
      <c r="H955" s="319"/>
      <c r="I955" s="308"/>
      <c r="J955" s="308"/>
      <c r="K955" s="308"/>
      <c r="L955" s="308"/>
      <c r="M955" s="308"/>
      <c r="N955" s="308"/>
      <c r="O955" s="308"/>
      <c r="P955" s="308"/>
      <c r="Q955" s="308"/>
      <c r="R955" s="308"/>
      <c r="S955" s="308"/>
      <c r="T955" s="308"/>
      <c r="U955" s="308"/>
      <c r="V955" s="308"/>
      <c r="W955" s="308"/>
      <c r="X955" s="308"/>
      <c r="Y955" s="308"/>
      <c r="Z955" s="309"/>
      <c r="AA955" s="309"/>
      <c r="AB955" s="308"/>
      <c r="AC955" s="308"/>
    </row>
    <row r="956" hidden="1">
      <c r="A956" s="308"/>
      <c r="B956" s="308"/>
      <c r="C956" s="308"/>
      <c r="D956" s="308"/>
      <c r="E956" s="308"/>
      <c r="F956" s="319"/>
      <c r="G956" s="319"/>
      <c r="H956" s="319"/>
      <c r="I956" s="308"/>
      <c r="J956" s="308"/>
      <c r="K956" s="308"/>
      <c r="L956" s="308"/>
      <c r="M956" s="308"/>
      <c r="N956" s="308"/>
      <c r="O956" s="308"/>
      <c r="P956" s="308"/>
      <c r="Q956" s="308"/>
      <c r="R956" s="308"/>
      <c r="S956" s="308"/>
      <c r="T956" s="308"/>
      <c r="U956" s="308"/>
      <c r="V956" s="308"/>
      <c r="W956" s="308"/>
      <c r="X956" s="308"/>
      <c r="Y956" s="308"/>
      <c r="Z956" s="309"/>
      <c r="AA956" s="309"/>
      <c r="AB956" s="308"/>
      <c r="AC956" s="308"/>
    </row>
    <row r="957" hidden="1">
      <c r="A957" s="308"/>
      <c r="B957" s="308"/>
      <c r="C957" s="308"/>
      <c r="D957" s="308"/>
      <c r="E957" s="308"/>
      <c r="F957" s="319"/>
      <c r="G957" s="319"/>
      <c r="H957" s="319"/>
      <c r="I957" s="308"/>
      <c r="J957" s="308"/>
      <c r="K957" s="308"/>
      <c r="L957" s="308"/>
      <c r="M957" s="308"/>
      <c r="N957" s="308"/>
      <c r="O957" s="308"/>
      <c r="P957" s="308"/>
      <c r="Q957" s="308"/>
      <c r="R957" s="308"/>
      <c r="S957" s="308"/>
      <c r="T957" s="308"/>
      <c r="U957" s="308"/>
      <c r="V957" s="308"/>
      <c r="W957" s="308"/>
      <c r="X957" s="308"/>
      <c r="Y957" s="308"/>
      <c r="Z957" s="309"/>
      <c r="AA957" s="309"/>
      <c r="AB957" s="308"/>
      <c r="AC957" s="308"/>
    </row>
    <row r="958" hidden="1">
      <c r="A958" s="308"/>
      <c r="B958" s="308"/>
      <c r="C958" s="308"/>
      <c r="D958" s="308"/>
      <c r="E958" s="308"/>
      <c r="F958" s="319"/>
      <c r="G958" s="319"/>
      <c r="H958" s="319"/>
      <c r="I958" s="308"/>
      <c r="J958" s="308"/>
      <c r="K958" s="308"/>
      <c r="L958" s="308"/>
      <c r="M958" s="308"/>
      <c r="N958" s="308"/>
      <c r="O958" s="308"/>
      <c r="P958" s="308"/>
      <c r="Q958" s="308"/>
      <c r="R958" s="308"/>
      <c r="S958" s="308"/>
      <c r="T958" s="308"/>
      <c r="U958" s="308"/>
      <c r="V958" s="308"/>
      <c r="W958" s="308"/>
      <c r="X958" s="308"/>
      <c r="Y958" s="308"/>
      <c r="Z958" s="309"/>
      <c r="AA958" s="309"/>
      <c r="AB958" s="308"/>
      <c r="AC958" s="308"/>
    </row>
    <row r="959" hidden="1">
      <c r="A959" s="308"/>
      <c r="B959" s="308"/>
      <c r="C959" s="308"/>
      <c r="D959" s="308"/>
      <c r="E959" s="308"/>
      <c r="F959" s="319"/>
      <c r="G959" s="319"/>
      <c r="H959" s="319"/>
      <c r="I959" s="308"/>
      <c r="J959" s="308"/>
      <c r="K959" s="308"/>
      <c r="L959" s="308"/>
      <c r="M959" s="308"/>
      <c r="N959" s="308"/>
      <c r="O959" s="308"/>
      <c r="P959" s="308"/>
      <c r="Q959" s="308"/>
      <c r="R959" s="308"/>
      <c r="S959" s="308"/>
      <c r="T959" s="308"/>
      <c r="U959" s="308"/>
      <c r="V959" s="308"/>
      <c r="W959" s="308"/>
      <c r="X959" s="308"/>
      <c r="Y959" s="308"/>
      <c r="Z959" s="309"/>
      <c r="AA959" s="309"/>
      <c r="AB959" s="308"/>
      <c r="AC959" s="308"/>
    </row>
    <row r="960" hidden="1">
      <c r="A960" s="308"/>
      <c r="B960" s="308"/>
      <c r="C960" s="308"/>
      <c r="D960" s="308"/>
      <c r="E960" s="308"/>
      <c r="F960" s="319"/>
      <c r="G960" s="319"/>
      <c r="H960" s="319"/>
      <c r="I960" s="308"/>
      <c r="J960" s="308"/>
      <c r="K960" s="308"/>
      <c r="L960" s="308"/>
      <c r="M960" s="308"/>
      <c r="N960" s="308"/>
      <c r="O960" s="308"/>
      <c r="P960" s="308"/>
      <c r="Q960" s="308"/>
      <c r="R960" s="308"/>
      <c r="S960" s="308"/>
      <c r="T960" s="308"/>
      <c r="U960" s="308"/>
      <c r="V960" s="308"/>
      <c r="W960" s="308"/>
      <c r="X960" s="308"/>
      <c r="Y960" s="308"/>
      <c r="Z960" s="309"/>
      <c r="AA960" s="309"/>
      <c r="AB960" s="308"/>
      <c r="AC960" s="308"/>
    </row>
    <row r="961" hidden="1">
      <c r="A961" s="308"/>
      <c r="B961" s="308"/>
      <c r="C961" s="308"/>
      <c r="D961" s="308"/>
      <c r="E961" s="308"/>
      <c r="F961" s="319"/>
      <c r="G961" s="319"/>
      <c r="H961" s="319"/>
      <c r="I961" s="308"/>
      <c r="J961" s="308"/>
      <c r="K961" s="308"/>
      <c r="L961" s="308"/>
      <c r="M961" s="308"/>
      <c r="N961" s="308"/>
      <c r="O961" s="308"/>
      <c r="P961" s="308"/>
      <c r="Q961" s="308"/>
      <c r="R961" s="308"/>
      <c r="S961" s="308"/>
      <c r="T961" s="308"/>
      <c r="U961" s="308"/>
      <c r="V961" s="308"/>
      <c r="W961" s="308"/>
      <c r="X961" s="308"/>
      <c r="Y961" s="308"/>
      <c r="Z961" s="309"/>
      <c r="AA961" s="309"/>
      <c r="AB961" s="308"/>
      <c r="AC961" s="308"/>
    </row>
    <row r="962" hidden="1">
      <c r="A962" s="308"/>
      <c r="B962" s="308"/>
      <c r="C962" s="308"/>
      <c r="D962" s="308"/>
      <c r="E962" s="308"/>
      <c r="F962" s="319"/>
      <c r="G962" s="319"/>
      <c r="H962" s="319"/>
      <c r="I962" s="308"/>
      <c r="J962" s="308"/>
      <c r="K962" s="308"/>
      <c r="L962" s="308"/>
      <c r="M962" s="308"/>
      <c r="N962" s="308"/>
      <c r="O962" s="308"/>
      <c r="P962" s="308"/>
      <c r="Q962" s="308"/>
      <c r="R962" s="308"/>
      <c r="S962" s="308"/>
      <c r="T962" s="308"/>
      <c r="U962" s="308"/>
      <c r="V962" s="308"/>
      <c r="W962" s="308"/>
      <c r="X962" s="308"/>
      <c r="Y962" s="308"/>
      <c r="Z962" s="309"/>
      <c r="AA962" s="309"/>
      <c r="AB962" s="308"/>
      <c r="AC962" s="308"/>
    </row>
    <row r="963" hidden="1">
      <c r="A963" s="308"/>
      <c r="B963" s="308"/>
      <c r="C963" s="308"/>
      <c r="D963" s="308"/>
      <c r="E963" s="308"/>
      <c r="F963" s="319"/>
      <c r="G963" s="319"/>
      <c r="H963" s="319"/>
      <c r="I963" s="308"/>
      <c r="J963" s="308"/>
      <c r="K963" s="308"/>
      <c r="L963" s="308"/>
      <c r="M963" s="308"/>
      <c r="N963" s="308"/>
      <c r="O963" s="308"/>
      <c r="P963" s="308"/>
      <c r="Q963" s="308"/>
      <c r="R963" s="308"/>
      <c r="S963" s="308"/>
      <c r="T963" s="308"/>
      <c r="U963" s="308"/>
      <c r="V963" s="308"/>
      <c r="W963" s="308"/>
      <c r="X963" s="308"/>
      <c r="Y963" s="308"/>
      <c r="Z963" s="309"/>
      <c r="AA963" s="309"/>
      <c r="AB963" s="308"/>
      <c r="AC963" s="308"/>
    </row>
    <row r="964" hidden="1">
      <c r="A964" s="308"/>
      <c r="B964" s="308"/>
      <c r="C964" s="308"/>
      <c r="D964" s="308"/>
      <c r="E964" s="308"/>
      <c r="F964" s="319"/>
      <c r="G964" s="319"/>
      <c r="H964" s="319"/>
      <c r="I964" s="308"/>
      <c r="J964" s="308"/>
      <c r="K964" s="308"/>
      <c r="L964" s="308"/>
      <c r="M964" s="308"/>
      <c r="N964" s="308"/>
      <c r="O964" s="308"/>
      <c r="P964" s="308"/>
      <c r="Q964" s="308"/>
      <c r="R964" s="308"/>
      <c r="S964" s="308"/>
      <c r="T964" s="308"/>
      <c r="U964" s="308"/>
      <c r="V964" s="308"/>
      <c r="W964" s="308"/>
      <c r="X964" s="308"/>
      <c r="Y964" s="308"/>
      <c r="Z964" s="309"/>
      <c r="AA964" s="309"/>
      <c r="AB964" s="308"/>
      <c r="AC964" s="308"/>
    </row>
    <row r="965" hidden="1">
      <c r="A965" s="308"/>
      <c r="B965" s="308"/>
      <c r="C965" s="308"/>
      <c r="D965" s="308"/>
      <c r="E965" s="308"/>
      <c r="F965" s="319"/>
      <c r="G965" s="319"/>
      <c r="H965" s="319"/>
      <c r="I965" s="308"/>
      <c r="J965" s="308"/>
      <c r="K965" s="308"/>
      <c r="L965" s="308"/>
      <c r="M965" s="308"/>
      <c r="N965" s="308"/>
      <c r="O965" s="308"/>
      <c r="P965" s="308"/>
      <c r="Q965" s="308"/>
      <c r="R965" s="308"/>
      <c r="S965" s="308"/>
      <c r="T965" s="308"/>
      <c r="U965" s="308"/>
      <c r="V965" s="308"/>
      <c r="W965" s="308"/>
      <c r="X965" s="308"/>
      <c r="Y965" s="308"/>
      <c r="Z965" s="309"/>
      <c r="AA965" s="309"/>
      <c r="AB965" s="308"/>
      <c r="AC965" s="308"/>
    </row>
    <row r="966" hidden="1">
      <c r="A966" s="308"/>
      <c r="B966" s="308"/>
      <c r="C966" s="308"/>
      <c r="D966" s="308"/>
      <c r="E966" s="308"/>
      <c r="F966" s="319"/>
      <c r="G966" s="319"/>
      <c r="H966" s="319"/>
      <c r="I966" s="308"/>
      <c r="J966" s="308"/>
      <c r="K966" s="308"/>
      <c r="L966" s="308"/>
      <c r="M966" s="308"/>
      <c r="N966" s="308"/>
      <c r="O966" s="308"/>
      <c r="P966" s="308"/>
      <c r="Q966" s="308"/>
      <c r="R966" s="308"/>
      <c r="S966" s="308"/>
      <c r="T966" s="308"/>
      <c r="U966" s="308"/>
      <c r="V966" s="308"/>
      <c r="W966" s="308"/>
      <c r="X966" s="308"/>
      <c r="Y966" s="308"/>
      <c r="Z966" s="309"/>
      <c r="AA966" s="309"/>
      <c r="AB966" s="308"/>
      <c r="AC966" s="308"/>
    </row>
    <row r="967" hidden="1">
      <c r="A967" s="308"/>
      <c r="B967" s="308"/>
      <c r="C967" s="308"/>
      <c r="D967" s="308"/>
      <c r="E967" s="308"/>
      <c r="F967" s="319"/>
      <c r="G967" s="319"/>
      <c r="H967" s="319"/>
      <c r="I967" s="308"/>
      <c r="J967" s="308"/>
      <c r="K967" s="308"/>
      <c r="L967" s="308"/>
      <c r="M967" s="308"/>
      <c r="N967" s="308"/>
      <c r="O967" s="308"/>
      <c r="P967" s="308"/>
      <c r="Q967" s="308"/>
      <c r="R967" s="308"/>
      <c r="S967" s="308"/>
      <c r="T967" s="308"/>
      <c r="U967" s="308"/>
      <c r="V967" s="308"/>
      <c r="W967" s="308"/>
      <c r="X967" s="308"/>
      <c r="Y967" s="308"/>
      <c r="Z967" s="309"/>
      <c r="AA967" s="309"/>
      <c r="AB967" s="308"/>
      <c r="AC967" s="308"/>
    </row>
    <row r="968" hidden="1">
      <c r="A968" s="308"/>
      <c r="B968" s="308"/>
      <c r="C968" s="308"/>
      <c r="D968" s="308"/>
      <c r="E968" s="308"/>
      <c r="F968" s="319"/>
      <c r="G968" s="319"/>
      <c r="H968" s="319"/>
      <c r="I968" s="308"/>
      <c r="J968" s="308"/>
      <c r="K968" s="308"/>
      <c r="L968" s="308"/>
      <c r="M968" s="308"/>
      <c r="N968" s="308"/>
      <c r="O968" s="308"/>
      <c r="P968" s="308"/>
      <c r="Q968" s="308"/>
      <c r="R968" s="308"/>
      <c r="S968" s="308"/>
      <c r="T968" s="308"/>
      <c r="U968" s="308"/>
      <c r="V968" s="308"/>
      <c r="W968" s="308"/>
      <c r="X968" s="308"/>
      <c r="Y968" s="308"/>
      <c r="Z968" s="309"/>
      <c r="AA968" s="309"/>
      <c r="AB968" s="308"/>
      <c r="AC968" s="308"/>
    </row>
    <row r="969" hidden="1">
      <c r="A969" s="308"/>
      <c r="B969" s="308"/>
      <c r="C969" s="308"/>
      <c r="D969" s="308"/>
      <c r="E969" s="308"/>
      <c r="F969" s="319"/>
      <c r="G969" s="319"/>
      <c r="H969" s="319"/>
      <c r="I969" s="308"/>
      <c r="J969" s="308"/>
      <c r="K969" s="308"/>
      <c r="L969" s="308"/>
      <c r="M969" s="308"/>
      <c r="N969" s="308"/>
      <c r="O969" s="308"/>
      <c r="P969" s="308"/>
      <c r="Q969" s="308"/>
      <c r="R969" s="308"/>
      <c r="S969" s="308"/>
      <c r="T969" s="308"/>
      <c r="U969" s="308"/>
      <c r="V969" s="308"/>
      <c r="W969" s="308"/>
      <c r="X969" s="308"/>
      <c r="Y969" s="308"/>
      <c r="Z969" s="309"/>
      <c r="AA969" s="309"/>
      <c r="AB969" s="308"/>
      <c r="AC969" s="308"/>
    </row>
    <row r="970" hidden="1">
      <c r="A970" s="308"/>
      <c r="B970" s="308"/>
      <c r="C970" s="308"/>
      <c r="D970" s="308"/>
      <c r="E970" s="308"/>
      <c r="F970" s="319"/>
      <c r="G970" s="319"/>
      <c r="H970" s="319"/>
      <c r="I970" s="308"/>
      <c r="J970" s="308"/>
      <c r="K970" s="308"/>
      <c r="L970" s="308"/>
      <c r="M970" s="308"/>
      <c r="N970" s="308"/>
      <c r="O970" s="308"/>
      <c r="P970" s="308"/>
      <c r="Q970" s="308"/>
      <c r="R970" s="308"/>
      <c r="S970" s="308"/>
      <c r="T970" s="308"/>
      <c r="U970" s="308"/>
      <c r="V970" s="308"/>
      <c r="W970" s="308"/>
      <c r="X970" s="308"/>
      <c r="Y970" s="308"/>
      <c r="Z970" s="309"/>
      <c r="AA970" s="309"/>
      <c r="AB970" s="308"/>
      <c r="AC970" s="308"/>
    </row>
    <row r="971" hidden="1">
      <c r="A971" s="308"/>
      <c r="B971" s="308"/>
      <c r="C971" s="308"/>
      <c r="D971" s="308"/>
      <c r="E971" s="308"/>
      <c r="F971" s="319"/>
      <c r="G971" s="319"/>
      <c r="H971" s="319"/>
      <c r="I971" s="308"/>
      <c r="J971" s="308"/>
      <c r="K971" s="308"/>
      <c r="L971" s="308"/>
      <c r="M971" s="308"/>
      <c r="N971" s="308"/>
      <c r="O971" s="308"/>
      <c r="P971" s="308"/>
      <c r="Q971" s="308"/>
      <c r="R971" s="308"/>
      <c r="S971" s="308"/>
      <c r="T971" s="308"/>
      <c r="U971" s="308"/>
      <c r="V971" s="308"/>
      <c r="W971" s="308"/>
      <c r="X971" s="308"/>
      <c r="Y971" s="308"/>
      <c r="Z971" s="309"/>
      <c r="AA971" s="309"/>
      <c r="AB971" s="308"/>
      <c r="AC971" s="308"/>
    </row>
    <row r="972" hidden="1">
      <c r="A972" s="308"/>
      <c r="B972" s="308"/>
      <c r="C972" s="308"/>
      <c r="D972" s="308"/>
      <c r="E972" s="308"/>
      <c r="F972" s="319"/>
      <c r="G972" s="319"/>
      <c r="H972" s="319"/>
      <c r="I972" s="308"/>
      <c r="J972" s="308"/>
      <c r="K972" s="308"/>
      <c r="L972" s="308"/>
      <c r="M972" s="308"/>
      <c r="N972" s="308"/>
      <c r="O972" s="308"/>
      <c r="P972" s="308"/>
      <c r="Q972" s="308"/>
      <c r="R972" s="308"/>
      <c r="S972" s="308"/>
      <c r="T972" s="308"/>
      <c r="U972" s="308"/>
      <c r="V972" s="308"/>
      <c r="W972" s="308"/>
      <c r="X972" s="308"/>
      <c r="Y972" s="308"/>
      <c r="Z972" s="309"/>
      <c r="AA972" s="309"/>
      <c r="AB972" s="308"/>
      <c r="AC972" s="308"/>
    </row>
    <row r="973" hidden="1">
      <c r="A973" s="308"/>
      <c r="B973" s="308"/>
      <c r="C973" s="308"/>
      <c r="D973" s="308"/>
      <c r="E973" s="308"/>
      <c r="F973" s="319"/>
      <c r="G973" s="319"/>
      <c r="H973" s="319"/>
      <c r="I973" s="308"/>
      <c r="J973" s="308"/>
      <c r="K973" s="308"/>
      <c r="L973" s="308"/>
      <c r="M973" s="308"/>
      <c r="N973" s="308"/>
      <c r="O973" s="308"/>
      <c r="P973" s="308"/>
      <c r="Q973" s="308"/>
      <c r="R973" s="308"/>
      <c r="S973" s="308"/>
      <c r="T973" s="308"/>
      <c r="U973" s="308"/>
      <c r="V973" s="308"/>
      <c r="W973" s="308"/>
      <c r="X973" s="308"/>
      <c r="Y973" s="308"/>
      <c r="Z973" s="309"/>
      <c r="AA973" s="309"/>
      <c r="AB973" s="308"/>
      <c r="AC973" s="308"/>
    </row>
    <row r="974" hidden="1">
      <c r="A974" s="308"/>
      <c r="B974" s="308"/>
      <c r="C974" s="308"/>
      <c r="D974" s="308"/>
      <c r="E974" s="308"/>
      <c r="F974" s="319"/>
      <c r="G974" s="319"/>
      <c r="H974" s="319"/>
      <c r="I974" s="308"/>
      <c r="J974" s="308"/>
      <c r="K974" s="308"/>
      <c r="L974" s="308"/>
      <c r="M974" s="308"/>
      <c r="N974" s="308"/>
      <c r="O974" s="308"/>
      <c r="P974" s="308"/>
      <c r="Q974" s="308"/>
      <c r="R974" s="308"/>
      <c r="S974" s="308"/>
      <c r="T974" s="308"/>
      <c r="U974" s="308"/>
      <c r="V974" s="308"/>
      <c r="W974" s="308"/>
      <c r="X974" s="308"/>
      <c r="Y974" s="308"/>
      <c r="Z974" s="309"/>
      <c r="AA974" s="309"/>
      <c r="AB974" s="308"/>
      <c r="AC974" s="308"/>
    </row>
    <row r="975" hidden="1">
      <c r="A975" s="308"/>
      <c r="B975" s="308"/>
      <c r="C975" s="308"/>
      <c r="D975" s="308"/>
      <c r="E975" s="308"/>
      <c r="F975" s="319"/>
      <c r="G975" s="319"/>
      <c r="H975" s="319"/>
      <c r="I975" s="308"/>
      <c r="J975" s="308"/>
      <c r="K975" s="308"/>
      <c r="L975" s="308"/>
      <c r="M975" s="308"/>
      <c r="N975" s="308"/>
      <c r="O975" s="308"/>
      <c r="P975" s="308"/>
      <c r="Q975" s="308"/>
      <c r="R975" s="308"/>
      <c r="S975" s="308"/>
      <c r="T975" s="308"/>
      <c r="U975" s="308"/>
      <c r="V975" s="308"/>
      <c r="W975" s="308"/>
      <c r="X975" s="308"/>
      <c r="Y975" s="308"/>
      <c r="Z975" s="309"/>
      <c r="AA975" s="309"/>
      <c r="AB975" s="308"/>
      <c r="AC975" s="308"/>
    </row>
    <row r="976" hidden="1">
      <c r="A976" s="308"/>
      <c r="B976" s="308"/>
      <c r="C976" s="308"/>
      <c r="D976" s="308"/>
      <c r="E976" s="308"/>
      <c r="F976" s="319"/>
      <c r="G976" s="319"/>
      <c r="H976" s="319"/>
      <c r="I976" s="308"/>
      <c r="J976" s="308"/>
      <c r="K976" s="308"/>
      <c r="L976" s="308"/>
      <c r="M976" s="308"/>
      <c r="N976" s="308"/>
      <c r="O976" s="308"/>
      <c r="P976" s="308"/>
      <c r="Q976" s="308"/>
      <c r="R976" s="308"/>
      <c r="S976" s="308"/>
      <c r="T976" s="308"/>
      <c r="U976" s="308"/>
      <c r="V976" s="308"/>
      <c r="W976" s="308"/>
      <c r="X976" s="308"/>
      <c r="Y976" s="308"/>
      <c r="Z976" s="309"/>
      <c r="AA976" s="309"/>
      <c r="AB976" s="308"/>
      <c r="AC976" s="308"/>
    </row>
    <row r="977" hidden="1">
      <c r="A977" s="308"/>
      <c r="B977" s="308"/>
      <c r="C977" s="308"/>
      <c r="D977" s="308"/>
      <c r="E977" s="308"/>
      <c r="F977" s="319"/>
      <c r="G977" s="319"/>
      <c r="H977" s="319"/>
      <c r="I977" s="308"/>
      <c r="J977" s="308"/>
      <c r="K977" s="308"/>
      <c r="L977" s="308"/>
      <c r="M977" s="308"/>
      <c r="N977" s="308"/>
      <c r="O977" s="308"/>
      <c r="P977" s="308"/>
      <c r="Q977" s="308"/>
      <c r="R977" s="308"/>
      <c r="S977" s="308"/>
      <c r="T977" s="308"/>
      <c r="U977" s="308"/>
      <c r="V977" s="308"/>
      <c r="W977" s="308"/>
      <c r="X977" s="308"/>
      <c r="Y977" s="308"/>
      <c r="Z977" s="309"/>
      <c r="AA977" s="309"/>
      <c r="AB977" s="308"/>
      <c r="AC977" s="308"/>
    </row>
    <row r="978" hidden="1">
      <c r="A978" s="308"/>
      <c r="B978" s="308"/>
      <c r="C978" s="308"/>
      <c r="D978" s="308"/>
      <c r="E978" s="308"/>
      <c r="F978" s="319"/>
      <c r="G978" s="319"/>
      <c r="H978" s="319"/>
      <c r="I978" s="308"/>
      <c r="J978" s="308"/>
      <c r="K978" s="308"/>
      <c r="L978" s="308"/>
      <c r="M978" s="308"/>
      <c r="N978" s="308"/>
      <c r="O978" s="308"/>
      <c r="P978" s="308"/>
      <c r="Q978" s="308"/>
      <c r="R978" s="308"/>
      <c r="S978" s="308"/>
      <c r="T978" s="308"/>
      <c r="U978" s="308"/>
      <c r="V978" s="308"/>
      <c r="W978" s="308"/>
      <c r="X978" s="308"/>
      <c r="Y978" s="308"/>
      <c r="Z978" s="309"/>
      <c r="AA978" s="309"/>
      <c r="AB978" s="308"/>
      <c r="AC978" s="308"/>
    </row>
    <row r="979" hidden="1">
      <c r="A979" s="308"/>
      <c r="B979" s="308"/>
      <c r="C979" s="308"/>
      <c r="D979" s="308"/>
      <c r="E979" s="308"/>
      <c r="F979" s="319"/>
      <c r="G979" s="319"/>
      <c r="H979" s="319"/>
      <c r="I979" s="308"/>
      <c r="J979" s="308"/>
      <c r="K979" s="308"/>
      <c r="L979" s="308"/>
      <c r="M979" s="308"/>
      <c r="N979" s="308"/>
      <c r="O979" s="308"/>
      <c r="P979" s="308"/>
      <c r="Q979" s="308"/>
      <c r="R979" s="308"/>
      <c r="S979" s="308"/>
      <c r="T979" s="308"/>
      <c r="U979" s="308"/>
      <c r="V979" s="308"/>
      <c r="W979" s="308"/>
      <c r="X979" s="308"/>
      <c r="Y979" s="308"/>
      <c r="Z979" s="309"/>
      <c r="AA979" s="309"/>
      <c r="AB979" s="308"/>
      <c r="AC979" s="308"/>
    </row>
    <row r="980" hidden="1">
      <c r="A980" s="308"/>
      <c r="B980" s="308"/>
      <c r="C980" s="308"/>
      <c r="D980" s="308"/>
      <c r="E980" s="308"/>
      <c r="F980" s="319"/>
      <c r="G980" s="319"/>
      <c r="H980" s="319"/>
      <c r="I980" s="308"/>
      <c r="J980" s="308"/>
      <c r="K980" s="308"/>
      <c r="L980" s="308"/>
      <c r="M980" s="308"/>
      <c r="N980" s="308"/>
      <c r="O980" s="308"/>
      <c r="P980" s="308"/>
      <c r="Q980" s="308"/>
      <c r="R980" s="308"/>
      <c r="S980" s="308"/>
      <c r="T980" s="308"/>
      <c r="U980" s="308"/>
      <c r="V980" s="308"/>
      <c r="W980" s="308"/>
      <c r="X980" s="308"/>
      <c r="Y980" s="308"/>
      <c r="Z980" s="309"/>
      <c r="AA980" s="309"/>
      <c r="AB980" s="308"/>
      <c r="AC980" s="308"/>
    </row>
    <row r="981" hidden="1">
      <c r="A981" s="308"/>
      <c r="B981" s="308"/>
      <c r="C981" s="308"/>
      <c r="D981" s="308"/>
      <c r="E981" s="308"/>
      <c r="F981" s="319"/>
      <c r="G981" s="319"/>
      <c r="H981" s="319"/>
      <c r="I981" s="308"/>
      <c r="J981" s="308"/>
      <c r="K981" s="308"/>
      <c r="L981" s="308"/>
      <c r="M981" s="308"/>
      <c r="N981" s="308"/>
      <c r="O981" s="308"/>
      <c r="P981" s="308"/>
      <c r="Q981" s="308"/>
      <c r="R981" s="308"/>
      <c r="S981" s="308"/>
      <c r="T981" s="308"/>
      <c r="U981" s="308"/>
      <c r="V981" s="308"/>
      <c r="W981" s="308"/>
      <c r="X981" s="308"/>
      <c r="Y981" s="308"/>
      <c r="Z981" s="309"/>
      <c r="AA981" s="309"/>
      <c r="AB981" s="308"/>
      <c r="AC981" s="308"/>
    </row>
    <row r="982" hidden="1">
      <c r="A982" s="308"/>
      <c r="B982" s="308"/>
      <c r="C982" s="308"/>
      <c r="D982" s="308"/>
      <c r="E982" s="308"/>
      <c r="F982" s="319"/>
      <c r="G982" s="319"/>
      <c r="H982" s="319"/>
      <c r="I982" s="308"/>
      <c r="J982" s="308"/>
      <c r="K982" s="308"/>
      <c r="L982" s="308"/>
      <c r="M982" s="308"/>
      <c r="N982" s="308"/>
      <c r="O982" s="308"/>
      <c r="P982" s="308"/>
      <c r="Q982" s="308"/>
      <c r="R982" s="308"/>
      <c r="S982" s="308"/>
      <c r="T982" s="308"/>
      <c r="U982" s="308"/>
      <c r="V982" s="308"/>
      <c r="W982" s="308"/>
      <c r="X982" s="308"/>
      <c r="Y982" s="308"/>
      <c r="Z982" s="309"/>
      <c r="AA982" s="309"/>
      <c r="AB982" s="308"/>
      <c r="AC982" s="308"/>
    </row>
    <row r="983" hidden="1">
      <c r="A983" s="308"/>
      <c r="B983" s="308"/>
      <c r="C983" s="308"/>
      <c r="D983" s="308"/>
      <c r="E983" s="308"/>
      <c r="F983" s="319"/>
      <c r="G983" s="319"/>
      <c r="H983" s="319"/>
      <c r="I983" s="308"/>
      <c r="J983" s="308"/>
      <c r="K983" s="308"/>
      <c r="L983" s="308"/>
      <c r="M983" s="308"/>
      <c r="N983" s="308"/>
      <c r="O983" s="308"/>
      <c r="P983" s="308"/>
      <c r="Q983" s="308"/>
      <c r="R983" s="308"/>
      <c r="S983" s="308"/>
      <c r="T983" s="308"/>
      <c r="U983" s="308"/>
      <c r="V983" s="308"/>
      <c r="W983" s="308"/>
      <c r="X983" s="308"/>
      <c r="Y983" s="308"/>
      <c r="Z983" s="309"/>
      <c r="AA983" s="309"/>
      <c r="AB983" s="308"/>
      <c r="AC983" s="308"/>
    </row>
    <row r="984" hidden="1">
      <c r="A984" s="308"/>
      <c r="B984" s="308"/>
      <c r="C984" s="308"/>
      <c r="D984" s="308"/>
      <c r="E984" s="308"/>
      <c r="F984" s="319"/>
      <c r="G984" s="319"/>
      <c r="H984" s="319"/>
      <c r="I984" s="308"/>
      <c r="J984" s="308"/>
      <c r="K984" s="308"/>
      <c r="L984" s="308"/>
      <c r="M984" s="308"/>
      <c r="N984" s="308"/>
      <c r="O984" s="308"/>
      <c r="P984" s="308"/>
      <c r="Q984" s="308"/>
      <c r="R984" s="308"/>
      <c r="S984" s="308"/>
      <c r="T984" s="308"/>
      <c r="U984" s="308"/>
      <c r="V984" s="308"/>
      <c r="W984" s="308"/>
      <c r="X984" s="308"/>
      <c r="Y984" s="308"/>
      <c r="Z984" s="309"/>
      <c r="AA984" s="309"/>
      <c r="AB984" s="308"/>
      <c r="AC984" s="308"/>
    </row>
    <row r="985" hidden="1">
      <c r="A985" s="308"/>
      <c r="B985" s="308"/>
      <c r="C985" s="308"/>
      <c r="D985" s="308"/>
      <c r="E985" s="308"/>
      <c r="F985" s="319"/>
      <c r="G985" s="319"/>
      <c r="H985" s="319"/>
      <c r="I985" s="308"/>
      <c r="J985" s="308"/>
      <c r="K985" s="308"/>
      <c r="L985" s="308"/>
      <c r="M985" s="308"/>
      <c r="N985" s="308"/>
      <c r="O985" s="308"/>
      <c r="P985" s="308"/>
      <c r="Q985" s="308"/>
      <c r="R985" s="308"/>
      <c r="S985" s="308"/>
      <c r="T985" s="308"/>
      <c r="U985" s="308"/>
      <c r="V985" s="308"/>
      <c r="W985" s="308"/>
      <c r="X985" s="308"/>
      <c r="Y985" s="308"/>
      <c r="Z985" s="309"/>
      <c r="AA985" s="309"/>
      <c r="AB985" s="308"/>
      <c r="AC985" s="308"/>
    </row>
    <row r="986" hidden="1">
      <c r="A986" s="308"/>
      <c r="B986" s="308"/>
      <c r="C986" s="308"/>
      <c r="D986" s="308"/>
      <c r="E986" s="308"/>
      <c r="F986" s="319"/>
      <c r="G986" s="319"/>
      <c r="H986" s="319"/>
      <c r="I986" s="308"/>
      <c r="J986" s="308"/>
      <c r="K986" s="308"/>
      <c r="L986" s="308"/>
      <c r="M986" s="308"/>
      <c r="N986" s="308"/>
      <c r="O986" s="308"/>
      <c r="P986" s="308"/>
      <c r="Q986" s="308"/>
      <c r="R986" s="308"/>
      <c r="S986" s="308"/>
      <c r="T986" s="308"/>
      <c r="U986" s="308"/>
      <c r="V986" s="308"/>
      <c r="W986" s="308"/>
      <c r="X986" s="308"/>
      <c r="Y986" s="308"/>
      <c r="Z986" s="309"/>
      <c r="AA986" s="309"/>
      <c r="AB986" s="308"/>
      <c r="AC986" s="308"/>
    </row>
    <row r="987" hidden="1">
      <c r="A987" s="308"/>
      <c r="B987" s="308"/>
      <c r="C987" s="308"/>
      <c r="D987" s="308"/>
      <c r="E987" s="308"/>
      <c r="F987" s="319"/>
      <c r="G987" s="319"/>
      <c r="H987" s="319"/>
      <c r="I987" s="308"/>
      <c r="J987" s="308"/>
      <c r="K987" s="308"/>
      <c r="L987" s="308"/>
      <c r="M987" s="308"/>
      <c r="N987" s="308"/>
      <c r="O987" s="308"/>
      <c r="P987" s="308"/>
      <c r="Q987" s="308"/>
      <c r="R987" s="308"/>
      <c r="S987" s="308"/>
      <c r="T987" s="308"/>
      <c r="U987" s="308"/>
      <c r="V987" s="308"/>
      <c r="W987" s="308"/>
      <c r="X987" s="308"/>
      <c r="Y987" s="308"/>
      <c r="Z987" s="309"/>
      <c r="AA987" s="309"/>
      <c r="AB987" s="308"/>
      <c r="AC987" s="308"/>
    </row>
    <row r="988" hidden="1">
      <c r="A988" s="308"/>
      <c r="B988" s="308"/>
      <c r="C988" s="308"/>
      <c r="D988" s="308"/>
      <c r="E988" s="308"/>
      <c r="F988" s="319"/>
      <c r="G988" s="319"/>
      <c r="H988" s="319"/>
      <c r="I988" s="308"/>
      <c r="J988" s="308"/>
      <c r="K988" s="308"/>
      <c r="L988" s="308"/>
      <c r="M988" s="308"/>
      <c r="N988" s="308"/>
      <c r="O988" s="308"/>
      <c r="P988" s="308"/>
      <c r="Q988" s="308"/>
      <c r="R988" s="308"/>
      <c r="S988" s="308"/>
      <c r="T988" s="308"/>
      <c r="U988" s="308"/>
      <c r="V988" s="308"/>
      <c r="W988" s="308"/>
      <c r="X988" s="308"/>
      <c r="Y988" s="308"/>
      <c r="Z988" s="309"/>
      <c r="AA988" s="309"/>
      <c r="AB988" s="308"/>
      <c r="AC988" s="308"/>
    </row>
    <row r="989" hidden="1">
      <c r="A989" s="308"/>
      <c r="B989" s="308"/>
      <c r="C989" s="308"/>
      <c r="D989" s="308"/>
      <c r="E989" s="308"/>
      <c r="F989" s="319"/>
      <c r="G989" s="319"/>
      <c r="H989" s="319"/>
      <c r="I989" s="308"/>
      <c r="J989" s="308"/>
      <c r="K989" s="308"/>
      <c r="L989" s="308"/>
      <c r="M989" s="308"/>
      <c r="N989" s="308"/>
      <c r="O989" s="308"/>
      <c r="P989" s="308"/>
      <c r="Q989" s="308"/>
      <c r="R989" s="308"/>
      <c r="S989" s="308"/>
      <c r="T989" s="308"/>
      <c r="U989" s="308"/>
      <c r="V989" s="308"/>
      <c r="W989" s="308"/>
      <c r="X989" s="308"/>
      <c r="Y989" s="308"/>
      <c r="Z989" s="309"/>
      <c r="AA989" s="309"/>
      <c r="AB989" s="308"/>
      <c r="AC989" s="308"/>
    </row>
    <row r="990" hidden="1">
      <c r="A990" s="308"/>
      <c r="B990" s="308"/>
      <c r="C990" s="308"/>
      <c r="D990" s="308"/>
      <c r="E990" s="308"/>
      <c r="F990" s="319"/>
      <c r="G990" s="319"/>
      <c r="H990" s="319"/>
      <c r="I990" s="308"/>
      <c r="J990" s="308"/>
      <c r="K990" s="308"/>
      <c r="L990" s="308"/>
      <c r="M990" s="308"/>
      <c r="N990" s="308"/>
      <c r="O990" s="308"/>
      <c r="P990" s="308"/>
      <c r="Q990" s="308"/>
      <c r="R990" s="308"/>
      <c r="S990" s="308"/>
      <c r="T990" s="308"/>
      <c r="U990" s="308"/>
      <c r="V990" s="308"/>
      <c r="W990" s="308"/>
      <c r="X990" s="308"/>
      <c r="Y990" s="308"/>
      <c r="Z990" s="309"/>
      <c r="AA990" s="309"/>
      <c r="AB990" s="308"/>
      <c r="AC990" s="308"/>
    </row>
    <row r="991" hidden="1">
      <c r="A991" s="308"/>
      <c r="B991" s="308"/>
      <c r="C991" s="308"/>
      <c r="D991" s="308"/>
      <c r="E991" s="308"/>
      <c r="F991" s="319"/>
      <c r="G991" s="319"/>
      <c r="H991" s="319"/>
      <c r="I991" s="308"/>
      <c r="J991" s="308"/>
      <c r="K991" s="308"/>
      <c r="L991" s="308"/>
      <c r="M991" s="308"/>
      <c r="N991" s="308"/>
      <c r="O991" s="308"/>
      <c r="P991" s="308"/>
      <c r="Q991" s="308"/>
      <c r="R991" s="308"/>
      <c r="S991" s="308"/>
      <c r="T991" s="308"/>
      <c r="U991" s="308"/>
      <c r="V991" s="308"/>
      <c r="W991" s="308"/>
      <c r="X991" s="308"/>
      <c r="Y991" s="308"/>
      <c r="Z991" s="309"/>
      <c r="AA991" s="309"/>
      <c r="AB991" s="308"/>
      <c r="AC991" s="308"/>
    </row>
    <row r="992" hidden="1">
      <c r="A992" s="308"/>
      <c r="B992" s="308"/>
      <c r="C992" s="308"/>
      <c r="D992" s="308"/>
      <c r="E992" s="308"/>
      <c r="F992" s="319"/>
      <c r="G992" s="319"/>
      <c r="H992" s="319"/>
      <c r="I992" s="308"/>
      <c r="J992" s="308"/>
      <c r="K992" s="308"/>
      <c r="L992" s="308"/>
      <c r="M992" s="308"/>
      <c r="N992" s="308"/>
      <c r="O992" s="308"/>
      <c r="P992" s="308"/>
      <c r="Q992" s="308"/>
      <c r="R992" s="308"/>
      <c r="S992" s="308"/>
      <c r="T992" s="308"/>
      <c r="U992" s="308"/>
      <c r="V992" s="308"/>
      <c r="W992" s="308"/>
      <c r="X992" s="308"/>
      <c r="Y992" s="308"/>
      <c r="Z992" s="309"/>
      <c r="AA992" s="309"/>
      <c r="AB992" s="308"/>
      <c r="AC992" s="308"/>
    </row>
    <row r="993" hidden="1">
      <c r="A993" s="308"/>
      <c r="B993" s="308"/>
      <c r="C993" s="308"/>
      <c r="D993" s="308"/>
      <c r="E993" s="308"/>
      <c r="F993" s="319"/>
      <c r="G993" s="319"/>
      <c r="H993" s="319"/>
      <c r="I993" s="308"/>
      <c r="J993" s="308"/>
      <c r="K993" s="308"/>
      <c r="L993" s="308"/>
      <c r="M993" s="308"/>
      <c r="N993" s="308"/>
      <c r="O993" s="308"/>
      <c r="P993" s="308"/>
      <c r="Q993" s="308"/>
      <c r="R993" s="308"/>
      <c r="S993" s="308"/>
      <c r="T993" s="308"/>
      <c r="U993" s="308"/>
      <c r="V993" s="308"/>
      <c r="W993" s="308"/>
      <c r="X993" s="308"/>
      <c r="Y993" s="308"/>
      <c r="Z993" s="309"/>
      <c r="AA993" s="309"/>
      <c r="AB993" s="308"/>
      <c r="AC993" s="308"/>
    </row>
    <row r="994" hidden="1">
      <c r="A994" s="308"/>
      <c r="B994" s="308"/>
      <c r="C994" s="308"/>
      <c r="D994" s="308"/>
      <c r="E994" s="308"/>
      <c r="F994" s="319"/>
      <c r="G994" s="319"/>
      <c r="H994" s="319"/>
      <c r="I994" s="308"/>
      <c r="J994" s="308"/>
      <c r="K994" s="308"/>
      <c r="L994" s="308"/>
      <c r="M994" s="308"/>
      <c r="N994" s="308"/>
      <c r="O994" s="308"/>
      <c r="P994" s="308"/>
      <c r="Q994" s="308"/>
      <c r="R994" s="308"/>
      <c r="S994" s="308"/>
      <c r="T994" s="308"/>
      <c r="U994" s="308"/>
      <c r="V994" s="308"/>
      <c r="W994" s="308"/>
      <c r="X994" s="308"/>
      <c r="Y994" s="308"/>
      <c r="Z994" s="309"/>
      <c r="AA994" s="309"/>
      <c r="AB994" s="308"/>
      <c r="AC994" s="308"/>
    </row>
    <row r="995" hidden="1">
      <c r="A995" s="308"/>
      <c r="B995" s="308"/>
      <c r="C995" s="308"/>
      <c r="D995" s="308"/>
      <c r="E995" s="308"/>
      <c r="F995" s="319"/>
      <c r="G995" s="319"/>
      <c r="H995" s="319"/>
      <c r="I995" s="308"/>
      <c r="J995" s="308"/>
      <c r="K995" s="308"/>
      <c r="L995" s="308"/>
      <c r="M995" s="308"/>
      <c r="N995" s="308"/>
      <c r="O995" s="308"/>
      <c r="P995" s="308"/>
      <c r="Q995" s="308"/>
      <c r="R995" s="308"/>
      <c r="S995" s="308"/>
      <c r="T995" s="308"/>
      <c r="U995" s="308"/>
      <c r="V995" s="308"/>
      <c r="W995" s="308"/>
      <c r="X995" s="308"/>
      <c r="Y995" s="308"/>
      <c r="Z995" s="309"/>
      <c r="AA995" s="309"/>
      <c r="AB995" s="308"/>
      <c r="AC995" s="308"/>
    </row>
    <row r="996" hidden="1">
      <c r="A996" s="308"/>
      <c r="B996" s="308"/>
      <c r="C996" s="308"/>
      <c r="D996" s="308"/>
      <c r="E996" s="308"/>
      <c r="F996" s="319"/>
      <c r="G996" s="319"/>
      <c r="H996" s="319"/>
      <c r="I996" s="308"/>
      <c r="J996" s="308"/>
      <c r="K996" s="308"/>
      <c r="L996" s="308"/>
      <c r="M996" s="308"/>
      <c r="N996" s="308"/>
      <c r="O996" s="308"/>
      <c r="P996" s="308"/>
      <c r="Q996" s="308"/>
      <c r="R996" s="308"/>
      <c r="S996" s="308"/>
      <c r="T996" s="308"/>
      <c r="U996" s="308"/>
      <c r="V996" s="308"/>
      <c r="W996" s="308"/>
      <c r="X996" s="308"/>
      <c r="Y996" s="308"/>
      <c r="Z996" s="309"/>
      <c r="AA996" s="309"/>
      <c r="AB996" s="308"/>
      <c r="AC996" s="308"/>
    </row>
    <row r="997" hidden="1">
      <c r="A997" s="308"/>
      <c r="B997" s="308"/>
      <c r="C997" s="308"/>
      <c r="D997" s="308"/>
      <c r="E997" s="308"/>
      <c r="F997" s="319"/>
      <c r="G997" s="319"/>
      <c r="H997" s="319"/>
      <c r="I997" s="308"/>
      <c r="J997" s="308"/>
      <c r="K997" s="308"/>
      <c r="L997" s="308"/>
      <c r="M997" s="308"/>
      <c r="N997" s="308"/>
      <c r="O997" s="308"/>
      <c r="P997" s="308"/>
      <c r="Q997" s="308"/>
      <c r="R997" s="308"/>
      <c r="S997" s="308"/>
      <c r="T997" s="308"/>
      <c r="U997" s="308"/>
      <c r="V997" s="308"/>
      <c r="W997" s="308"/>
      <c r="X997" s="308"/>
      <c r="Y997" s="308"/>
      <c r="Z997" s="309"/>
      <c r="AA997" s="309"/>
      <c r="AB997" s="308"/>
      <c r="AC997" s="308"/>
    </row>
    <row r="998" hidden="1">
      <c r="A998" s="308"/>
      <c r="B998" s="308"/>
      <c r="C998" s="308"/>
      <c r="D998" s="308"/>
      <c r="E998" s="308"/>
      <c r="F998" s="319"/>
      <c r="G998" s="319"/>
      <c r="H998" s="319"/>
      <c r="I998" s="308"/>
      <c r="J998" s="308"/>
      <c r="K998" s="308"/>
      <c r="L998" s="308"/>
      <c r="M998" s="308"/>
      <c r="N998" s="308"/>
      <c r="O998" s="308"/>
      <c r="P998" s="308"/>
      <c r="Q998" s="308"/>
      <c r="R998" s="308"/>
      <c r="S998" s="308"/>
      <c r="T998" s="308"/>
      <c r="U998" s="308"/>
      <c r="V998" s="308"/>
      <c r="W998" s="308"/>
      <c r="X998" s="308"/>
      <c r="Y998" s="308"/>
      <c r="Z998" s="309"/>
      <c r="AA998" s="309"/>
      <c r="AB998" s="308"/>
      <c r="AC998" s="308"/>
    </row>
    <row r="999" hidden="1">
      <c r="A999" s="308"/>
      <c r="B999" s="308"/>
      <c r="C999" s="308"/>
      <c r="D999" s="308"/>
      <c r="E999" s="308"/>
      <c r="F999" s="319"/>
      <c r="G999" s="319"/>
      <c r="H999" s="319"/>
      <c r="I999" s="308"/>
      <c r="J999" s="308"/>
      <c r="K999" s="308"/>
      <c r="L999" s="308"/>
      <c r="M999" s="308"/>
      <c r="N999" s="308"/>
      <c r="O999" s="308"/>
      <c r="P999" s="308"/>
      <c r="Q999" s="308"/>
      <c r="R999" s="308"/>
      <c r="S999" s="308"/>
      <c r="T999" s="308"/>
      <c r="U999" s="308"/>
      <c r="V999" s="308"/>
      <c r="W999" s="308"/>
      <c r="X999" s="308"/>
      <c r="Y999" s="308"/>
      <c r="Z999" s="309"/>
      <c r="AA999" s="309"/>
      <c r="AB999" s="308"/>
      <c r="AC999" s="308"/>
    </row>
    <row r="1000" hidden="1">
      <c r="A1000" s="308"/>
      <c r="B1000" s="308"/>
      <c r="C1000" s="308"/>
      <c r="D1000" s="308"/>
      <c r="E1000" s="308"/>
      <c r="F1000" s="319"/>
      <c r="G1000" s="319"/>
      <c r="H1000" s="319"/>
      <c r="I1000" s="308"/>
      <c r="J1000" s="308"/>
      <c r="K1000" s="308"/>
      <c r="L1000" s="308"/>
      <c r="M1000" s="308"/>
      <c r="N1000" s="308"/>
      <c r="O1000" s="308"/>
      <c r="P1000" s="308"/>
      <c r="Q1000" s="308"/>
      <c r="R1000" s="308"/>
      <c r="S1000" s="308"/>
      <c r="T1000" s="308"/>
      <c r="U1000" s="308"/>
      <c r="V1000" s="308"/>
      <c r="W1000" s="308"/>
      <c r="X1000" s="308"/>
      <c r="Y1000" s="308"/>
      <c r="Z1000" s="309"/>
      <c r="AA1000" s="309"/>
      <c r="AB1000" s="308"/>
      <c r="AC1000" s="308"/>
    </row>
    <row r="1001" hidden="1">
      <c r="A1001" s="308"/>
      <c r="B1001" s="308"/>
      <c r="C1001" s="308"/>
      <c r="D1001" s="308"/>
      <c r="E1001" s="308"/>
      <c r="F1001" s="319"/>
      <c r="G1001" s="319"/>
      <c r="H1001" s="319"/>
      <c r="I1001" s="308"/>
      <c r="J1001" s="308"/>
      <c r="K1001" s="308"/>
      <c r="L1001" s="308"/>
      <c r="M1001" s="308"/>
      <c r="N1001" s="308"/>
      <c r="O1001" s="308"/>
      <c r="P1001" s="308"/>
      <c r="Q1001" s="308"/>
      <c r="R1001" s="308"/>
      <c r="S1001" s="308"/>
      <c r="T1001" s="308"/>
      <c r="U1001" s="308"/>
      <c r="V1001" s="308"/>
      <c r="W1001" s="308"/>
      <c r="X1001" s="308"/>
      <c r="Y1001" s="308"/>
      <c r="Z1001" s="309"/>
      <c r="AA1001" s="309"/>
      <c r="AB1001" s="308"/>
      <c r="AC1001" s="308"/>
    </row>
    <row r="1002" hidden="1">
      <c r="A1002" s="308"/>
      <c r="B1002" s="308"/>
      <c r="C1002" s="308"/>
      <c r="D1002" s="308"/>
      <c r="E1002" s="308"/>
      <c r="F1002" s="319"/>
      <c r="G1002" s="319"/>
      <c r="H1002" s="319"/>
      <c r="I1002" s="308"/>
      <c r="J1002" s="308"/>
      <c r="K1002" s="308"/>
      <c r="L1002" s="308"/>
      <c r="M1002" s="308"/>
      <c r="N1002" s="308"/>
      <c r="O1002" s="308"/>
      <c r="P1002" s="308"/>
      <c r="Q1002" s="308"/>
      <c r="R1002" s="308"/>
      <c r="S1002" s="308"/>
      <c r="T1002" s="308"/>
      <c r="U1002" s="308"/>
      <c r="V1002" s="308"/>
      <c r="W1002" s="308"/>
      <c r="X1002" s="308"/>
      <c r="Y1002" s="308"/>
      <c r="Z1002" s="309"/>
      <c r="AA1002" s="309"/>
      <c r="AB1002" s="308"/>
      <c r="AC1002" s="308"/>
    </row>
    <row r="1003" hidden="1">
      <c r="A1003" s="330"/>
      <c r="B1003" s="308"/>
      <c r="C1003" s="308"/>
      <c r="D1003" s="308"/>
      <c r="E1003" s="308"/>
      <c r="F1003" s="319"/>
      <c r="G1003" s="319"/>
      <c r="H1003" s="319"/>
      <c r="I1003" s="308"/>
      <c r="J1003" s="308"/>
      <c r="K1003" s="308"/>
      <c r="L1003" s="308"/>
      <c r="M1003" s="308"/>
      <c r="N1003" s="308"/>
      <c r="O1003" s="308"/>
      <c r="P1003" s="308"/>
      <c r="Q1003" s="308"/>
      <c r="R1003" s="308"/>
      <c r="S1003" s="308"/>
      <c r="T1003" s="308"/>
      <c r="U1003" s="308"/>
      <c r="V1003" s="308"/>
      <c r="W1003" s="308"/>
      <c r="X1003" s="308"/>
      <c r="Y1003" s="308"/>
      <c r="Z1003" s="309"/>
      <c r="AA1003" s="309"/>
      <c r="AB1003" s="308"/>
      <c r="AC1003" s="308"/>
    </row>
  </sheetData>
  <autoFilter ref="$D$1:$D$1003">
    <filterColumn colId="0">
      <filters>
        <filter val="Part time internships"/>
        <filter val="CANCELLED"/>
        <filter val="Clinical Supervision - staff $ for EXTERNAL supervisor"/>
      </filters>
    </filterColumn>
  </autoFilter>
  <customSheetViews>
    <customSheetView guid="{4651BDDA-D392-40FE-A539-522420F37C81}" filter="1" showAutoFilter="1">
      <autoFilter ref="$D$1:$D$1003">
        <filterColumn colId="0">
          <filters>
            <filter val="Part time internships"/>
            <filter val="CANCELLED"/>
            <filter val="Clinical Supervision - staff $ for EXTERNAL supervisor"/>
          </filters>
        </filterColumn>
      </autoFilter>
    </customSheetView>
  </customSheetViews>
  <mergeCells count="13">
    <mergeCell ref="M3:N3"/>
    <mergeCell ref="O3:P3"/>
    <mergeCell ref="F4:H4"/>
    <mergeCell ref="I4:L4"/>
    <mergeCell ref="M4:N4"/>
    <mergeCell ref="O4:P4"/>
    <mergeCell ref="I1:S1"/>
    <mergeCell ref="F2:H2"/>
    <mergeCell ref="I2:L2"/>
    <mergeCell ref="M2:N2"/>
    <mergeCell ref="O2:P2"/>
    <mergeCell ref="F3:H3"/>
    <mergeCell ref="I3:L3"/>
  </mergeCells>
  <dataValidations>
    <dataValidation type="list" allowBlank="1" showErrorMessage="1" sqref="C7:C449">
      <formula1>"Represented,Non-Represented"</formula1>
    </dataValidation>
    <dataValidation type="list" allowBlank="1" showErrorMessage="1" sqref="D7:D999">
      <formula1>"Relocation &amp; Housing Stipend,Part Time Internships,Staff Training Subsidies,Tuition Assistance,Recognition/wellness Awards,Clinical Supervision - Staff BECOMING a supervisor,Clinical Supervision - staff $ for EXTERNAL supervisor,Recruiting ,Cancelled"</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1" max="1" width="12.63"/>
    <col customWidth="1" hidden="1" min="2" max="2" width="25.63"/>
    <col customWidth="1" min="3" max="3" width="11.63"/>
    <col customWidth="1" min="4" max="4" width="28.13"/>
    <col customWidth="1" min="11" max="11" width="33.0"/>
  </cols>
  <sheetData>
    <row r="1">
      <c r="A1" s="406" t="s">
        <v>2</v>
      </c>
      <c r="B1" s="407" t="s">
        <v>3034</v>
      </c>
      <c r="C1" s="407"/>
      <c r="D1" s="408" t="s">
        <v>3035</v>
      </c>
      <c r="E1" s="407" t="s">
        <v>3036</v>
      </c>
      <c r="F1" s="407" t="s">
        <v>3037</v>
      </c>
      <c r="G1" s="407" t="s">
        <v>3038</v>
      </c>
      <c r="H1" s="407" t="s">
        <v>3039</v>
      </c>
      <c r="I1" s="407" t="s">
        <v>3040</v>
      </c>
      <c r="J1" s="409"/>
      <c r="K1" s="407" t="s">
        <v>31</v>
      </c>
      <c r="L1" s="409"/>
      <c r="M1" s="409"/>
      <c r="N1" s="409"/>
      <c r="O1" s="409"/>
      <c r="P1" s="409"/>
      <c r="Q1" s="409"/>
      <c r="R1" s="409"/>
      <c r="S1" s="409"/>
      <c r="T1" s="409"/>
      <c r="U1" s="409"/>
      <c r="V1" s="409"/>
      <c r="W1" s="409"/>
      <c r="X1" s="409"/>
      <c r="Y1" s="409"/>
      <c r="Z1" s="409"/>
      <c r="AA1" s="409"/>
      <c r="AB1" s="409"/>
      <c r="AC1" s="409"/>
    </row>
    <row r="2">
      <c r="A2" s="200" t="s">
        <v>382</v>
      </c>
      <c r="C2" s="410"/>
      <c r="D2" s="410" t="s">
        <v>650</v>
      </c>
      <c r="E2" s="411" t="s">
        <v>3041</v>
      </c>
      <c r="F2" s="412" t="str">
        <f t="shared" ref="F2:F218" si="1">LEFT(D2,LEN(D2)-10)</f>
        <v>scott.vu</v>
      </c>
      <c r="G2" s="413" t="str">
        <f t="shared" ref="G2:G218" si="2">SUBSTITUTE(F2,".", " ")</f>
        <v>scott vu</v>
      </c>
      <c r="H2" s="413" t="str">
        <f t="shared" ref="H2:H218" si="3">SUBSTITUTE(SUBSTITUTE(SUBSTITUTE(SUBSTITUTE(SUBSTITUTE(SUBSTITUTE(SUBSTITUTE(SUBSTITUTE(SUBSTITUTE(SUBSTITUTE(G2,"0",""),"1",""),"2",""),"3",""),"4",""),"5",""),"6",""),"7",""),"8",""),"9","")</f>
        <v>scott vu</v>
      </c>
      <c r="I2" s="413" t="str">
        <f t="shared" ref="I2:I218" si="4">MID(H2,FIND(" ",H2)+1,LEN(H2))&amp;" "&amp;LEFT(H2,FIND(" ",H2)-1)</f>
        <v>vu scott</v>
      </c>
    </row>
    <row r="3">
      <c r="A3" s="200"/>
      <c r="C3" s="410"/>
      <c r="D3" s="384" t="s">
        <v>72</v>
      </c>
      <c r="E3" s="411" t="s">
        <v>3041</v>
      </c>
      <c r="F3" s="413" t="str">
        <f t="shared" si="1"/>
        <v>shari.kliewer</v>
      </c>
      <c r="G3" s="413" t="str">
        <f t="shared" si="2"/>
        <v>shari kliewer</v>
      </c>
      <c r="H3" s="413" t="str">
        <f t="shared" si="3"/>
        <v>shari kliewer</v>
      </c>
      <c r="I3" s="413" t="str">
        <f t="shared" si="4"/>
        <v>kliewer shari</v>
      </c>
    </row>
    <row r="4">
      <c r="A4" s="200" t="s">
        <v>427</v>
      </c>
      <c r="C4" s="410"/>
      <c r="D4" s="410" t="s">
        <v>733</v>
      </c>
      <c r="E4" s="411" t="s">
        <v>3041</v>
      </c>
      <c r="F4" s="413" t="str">
        <f t="shared" si="1"/>
        <v>tamaradl</v>
      </c>
      <c r="G4" s="413" t="str">
        <f t="shared" si="2"/>
        <v>tamaradl</v>
      </c>
      <c r="H4" s="413" t="str">
        <f t="shared" si="3"/>
        <v>tamaradl</v>
      </c>
      <c r="I4" s="413" t="str">
        <f t="shared" si="4"/>
        <v>#VALUE!</v>
      </c>
    </row>
    <row r="5">
      <c r="A5" s="200" t="s">
        <v>589</v>
      </c>
      <c r="C5" s="410"/>
      <c r="D5" s="410" t="s">
        <v>1489</v>
      </c>
      <c r="E5" s="411" t="s">
        <v>3041</v>
      </c>
      <c r="F5" s="413" t="str">
        <f t="shared" si="1"/>
        <v>emily.heideman</v>
      </c>
      <c r="G5" s="413" t="str">
        <f t="shared" si="2"/>
        <v>emily heideman</v>
      </c>
      <c r="H5" s="413" t="str">
        <f t="shared" si="3"/>
        <v>emily heideman</v>
      </c>
      <c r="I5" s="413" t="str">
        <f t="shared" si="4"/>
        <v>heideman emily</v>
      </c>
    </row>
    <row r="6">
      <c r="A6" s="200" t="s">
        <v>72</v>
      </c>
      <c r="C6" s="410"/>
      <c r="D6" s="410" t="s">
        <v>78</v>
      </c>
      <c r="E6" s="411" t="s">
        <v>3041</v>
      </c>
      <c r="F6" s="413" t="str">
        <f t="shared" si="1"/>
        <v>laurel.s.b.wonder</v>
      </c>
      <c r="G6" s="413" t="str">
        <f t="shared" si="2"/>
        <v>laurel s b wonder</v>
      </c>
      <c r="H6" s="413" t="str">
        <f t="shared" si="3"/>
        <v>laurel s b wonder</v>
      </c>
      <c r="I6" s="413" t="str">
        <f t="shared" si="4"/>
        <v>s b wonder laurel</v>
      </c>
    </row>
    <row r="7">
      <c r="A7" s="200" t="s">
        <v>72</v>
      </c>
      <c r="C7" s="410"/>
      <c r="D7" s="410" t="s">
        <v>85</v>
      </c>
      <c r="E7" s="411" t="s">
        <v>3041</v>
      </c>
      <c r="F7" s="413" t="str">
        <f t="shared" si="1"/>
        <v>jennifer.evans</v>
      </c>
      <c r="G7" s="413" t="str">
        <f t="shared" si="2"/>
        <v>jennifer evans</v>
      </c>
      <c r="H7" s="413" t="str">
        <f t="shared" si="3"/>
        <v>jennifer evans</v>
      </c>
      <c r="I7" s="413" t="str">
        <f t="shared" si="4"/>
        <v>evans jennifer</v>
      </c>
    </row>
    <row r="8">
      <c r="A8" s="200" t="s">
        <v>78</v>
      </c>
      <c r="C8" s="410"/>
      <c r="D8" s="410" t="s">
        <v>88</v>
      </c>
      <c r="E8" s="411" t="s">
        <v>3041</v>
      </c>
      <c r="F8" s="413" t="str">
        <f t="shared" si="1"/>
        <v>maggie.manning</v>
      </c>
      <c r="G8" s="413" t="str">
        <f t="shared" si="2"/>
        <v>maggie manning</v>
      </c>
      <c r="H8" s="413" t="str">
        <f t="shared" si="3"/>
        <v>maggie manning</v>
      </c>
      <c r="I8" s="413" t="str">
        <f t="shared" si="4"/>
        <v>manning maggie</v>
      </c>
    </row>
    <row r="9">
      <c r="A9" s="200" t="s">
        <v>88</v>
      </c>
      <c r="C9" s="410"/>
      <c r="D9" s="410" t="s">
        <v>98</v>
      </c>
      <c r="E9" s="411" t="s">
        <v>3041</v>
      </c>
      <c r="F9" s="413" t="str">
        <f t="shared" si="1"/>
        <v>cheryl.lemley</v>
      </c>
      <c r="G9" s="413" t="str">
        <f t="shared" si="2"/>
        <v>cheryl lemley</v>
      </c>
      <c r="H9" s="413" t="str">
        <f t="shared" si="3"/>
        <v>cheryl lemley</v>
      </c>
      <c r="I9" s="413" t="str">
        <f t="shared" si="4"/>
        <v>lemley cheryl</v>
      </c>
    </row>
    <row r="10">
      <c r="A10" s="414" t="s">
        <v>78</v>
      </c>
      <c r="C10" s="410"/>
      <c r="D10" s="410" t="s">
        <v>101</v>
      </c>
      <c r="E10" s="411" t="s">
        <v>3041</v>
      </c>
      <c r="F10" s="413" t="str">
        <f t="shared" si="1"/>
        <v>julie.glover-walsh</v>
      </c>
      <c r="G10" s="413" t="str">
        <f t="shared" si="2"/>
        <v>julie glover-walsh</v>
      </c>
      <c r="H10" s="413" t="str">
        <f t="shared" si="3"/>
        <v>julie glover-walsh</v>
      </c>
      <c r="I10" s="413" t="str">
        <f t="shared" si="4"/>
        <v>glover-walsh julie</v>
      </c>
    </row>
    <row r="11">
      <c r="A11" s="200" t="s">
        <v>78</v>
      </c>
      <c r="C11" s="410"/>
      <c r="D11" s="410" t="s">
        <v>104</v>
      </c>
      <c r="E11" s="411" t="s">
        <v>3041</v>
      </c>
      <c r="F11" s="413" t="str">
        <f t="shared" si="1"/>
        <v>maira.blum</v>
      </c>
      <c r="G11" s="413" t="str">
        <f t="shared" si="2"/>
        <v>maira blum</v>
      </c>
      <c r="H11" s="413" t="str">
        <f t="shared" si="3"/>
        <v>maira blum</v>
      </c>
      <c r="I11" s="413" t="str">
        <f t="shared" si="4"/>
        <v>blum maira</v>
      </c>
      <c r="K11" s="411" t="s">
        <v>3042</v>
      </c>
    </row>
    <row r="12">
      <c r="A12" s="200" t="s">
        <v>94</v>
      </c>
      <c r="C12" s="410"/>
      <c r="D12" s="410" t="s">
        <v>108</v>
      </c>
      <c r="E12" s="411" t="s">
        <v>3041</v>
      </c>
      <c r="F12" s="413" t="str">
        <f t="shared" si="1"/>
        <v>chanel.walker-harris</v>
      </c>
      <c r="G12" s="413" t="str">
        <f t="shared" si="2"/>
        <v>chanel walker-harris</v>
      </c>
      <c r="H12" s="413" t="str">
        <f t="shared" si="3"/>
        <v>chanel walker-harris</v>
      </c>
      <c r="I12" s="413" t="str">
        <f t="shared" si="4"/>
        <v>walker-harris chanel</v>
      </c>
    </row>
    <row r="13">
      <c r="A13" s="415" t="s">
        <v>98</v>
      </c>
      <c r="C13" s="410"/>
      <c r="D13" s="410" t="s">
        <v>111</v>
      </c>
      <c r="E13" s="411" t="s">
        <v>3041</v>
      </c>
      <c r="F13" s="413" t="str">
        <f t="shared" si="1"/>
        <v>rachel.orourke</v>
      </c>
      <c r="G13" s="413" t="str">
        <f t="shared" si="2"/>
        <v>rachel orourke</v>
      </c>
      <c r="H13" s="413" t="str">
        <f t="shared" si="3"/>
        <v>rachel orourke</v>
      </c>
      <c r="I13" s="413" t="str">
        <f t="shared" si="4"/>
        <v>orourke rachel</v>
      </c>
    </row>
    <row r="14">
      <c r="A14" s="200" t="s">
        <v>101</v>
      </c>
      <c r="C14" s="410"/>
      <c r="D14" s="410" t="s">
        <v>117</v>
      </c>
      <c r="E14" s="411" t="s">
        <v>3041</v>
      </c>
      <c r="F14" s="413" t="str">
        <f t="shared" si="1"/>
        <v>barbara.snow</v>
      </c>
      <c r="G14" s="413" t="str">
        <f t="shared" si="2"/>
        <v>barbara snow</v>
      </c>
      <c r="H14" s="413" t="str">
        <f t="shared" si="3"/>
        <v>barbara snow</v>
      </c>
      <c r="I14" s="413" t="str">
        <f t="shared" si="4"/>
        <v>snow barbara</v>
      </c>
    </row>
    <row r="15">
      <c r="A15" s="414" t="s">
        <v>104</v>
      </c>
      <c r="C15" s="410"/>
      <c r="D15" s="410" t="s">
        <v>123</v>
      </c>
      <c r="E15" s="411" t="s">
        <v>3041</v>
      </c>
      <c r="F15" s="413" t="str">
        <f t="shared" si="1"/>
        <v>ana.hristic</v>
      </c>
      <c r="G15" s="413" t="str">
        <f t="shared" si="2"/>
        <v>ana hristic</v>
      </c>
      <c r="H15" s="413" t="str">
        <f t="shared" si="3"/>
        <v>ana hristic</v>
      </c>
      <c r="I15" s="413" t="str">
        <f t="shared" si="4"/>
        <v>hristic ana</v>
      </c>
    </row>
    <row r="16">
      <c r="A16" s="414" t="s">
        <v>108</v>
      </c>
      <c r="C16" s="410"/>
      <c r="D16" s="410" t="s">
        <v>130</v>
      </c>
      <c r="E16" s="411" t="s">
        <v>3041</v>
      </c>
      <c r="F16" s="413" t="str">
        <f t="shared" si="1"/>
        <v>jessica.ramirez-pichette</v>
      </c>
      <c r="G16" s="413" t="str">
        <f t="shared" si="2"/>
        <v>jessica ramirez-pichette</v>
      </c>
      <c r="H16" s="413" t="str">
        <f t="shared" si="3"/>
        <v>jessica ramirez-pichette</v>
      </c>
      <c r="I16" s="413" t="str">
        <f t="shared" si="4"/>
        <v>ramirez-pichette jessica</v>
      </c>
    </row>
    <row r="17">
      <c r="A17" s="200" t="s">
        <v>111</v>
      </c>
      <c r="C17" s="410"/>
      <c r="D17" s="410" t="s">
        <v>134</v>
      </c>
      <c r="E17" s="411" t="s">
        <v>3041</v>
      </c>
      <c r="F17" s="413" t="str">
        <f t="shared" si="1"/>
        <v>amy.solt</v>
      </c>
      <c r="G17" s="413" t="str">
        <f t="shared" si="2"/>
        <v>amy solt</v>
      </c>
      <c r="H17" s="413" t="str">
        <f t="shared" si="3"/>
        <v>amy solt</v>
      </c>
      <c r="I17" s="413" t="str">
        <f t="shared" si="4"/>
        <v>solt amy</v>
      </c>
    </row>
    <row r="18">
      <c r="A18" s="200" t="s">
        <v>98</v>
      </c>
      <c r="C18" s="410"/>
      <c r="D18" s="410" t="s">
        <v>137</v>
      </c>
      <c r="E18" s="411" t="s">
        <v>3041</v>
      </c>
      <c r="F18" s="413" t="str">
        <f t="shared" si="1"/>
        <v>stephen.p.dunlevy</v>
      </c>
      <c r="G18" s="413" t="str">
        <f t="shared" si="2"/>
        <v>stephen p dunlevy</v>
      </c>
      <c r="H18" s="413" t="str">
        <f t="shared" si="3"/>
        <v>stephen p dunlevy</v>
      </c>
      <c r="I18" s="413" t="str">
        <f t="shared" si="4"/>
        <v>p dunlevy stephen</v>
      </c>
    </row>
    <row r="19">
      <c r="A19" s="200" t="s">
        <v>120</v>
      </c>
      <c r="C19" s="410"/>
      <c r="D19" s="410" t="s">
        <v>148</v>
      </c>
      <c r="E19" s="411" t="s">
        <v>3041</v>
      </c>
      <c r="F19" s="413" t="str">
        <f t="shared" si="1"/>
        <v>ember.vonletkemann</v>
      </c>
      <c r="G19" s="413" t="str">
        <f t="shared" si="2"/>
        <v>ember vonletkemann</v>
      </c>
      <c r="H19" s="413" t="str">
        <f t="shared" si="3"/>
        <v>ember vonletkemann</v>
      </c>
      <c r="I19" s="413" t="str">
        <f t="shared" si="4"/>
        <v>vonletkemann ember</v>
      </c>
    </row>
    <row r="20">
      <c r="A20" s="200" t="s">
        <v>123</v>
      </c>
      <c r="C20" s="410"/>
      <c r="D20" s="410" t="s">
        <v>150</v>
      </c>
      <c r="E20" s="411" t="s">
        <v>3041</v>
      </c>
      <c r="F20" s="413" t="str">
        <f t="shared" si="1"/>
        <v>erin.fisher7</v>
      </c>
      <c r="G20" s="413" t="str">
        <f t="shared" si="2"/>
        <v>erin fisher7</v>
      </c>
      <c r="H20" s="413" t="str">
        <f t="shared" si="3"/>
        <v>erin fisher</v>
      </c>
      <c r="I20" s="413" t="str">
        <f t="shared" si="4"/>
        <v>fisher erin</v>
      </c>
    </row>
    <row r="21">
      <c r="A21" s="200" t="s">
        <v>37</v>
      </c>
      <c r="C21" s="410"/>
      <c r="D21" s="410" t="s">
        <v>153</v>
      </c>
      <c r="E21" s="411" t="s">
        <v>3041</v>
      </c>
      <c r="F21" s="413" t="str">
        <f t="shared" si="1"/>
        <v>mayra.hernandez8</v>
      </c>
      <c r="G21" s="413" t="str">
        <f t="shared" si="2"/>
        <v>mayra hernandez8</v>
      </c>
      <c r="H21" s="413" t="str">
        <f t="shared" si="3"/>
        <v>mayra hernandez</v>
      </c>
      <c r="I21" s="413" t="str">
        <f t="shared" si="4"/>
        <v>hernandez mayra</v>
      </c>
    </row>
    <row r="22">
      <c r="A22" s="200" t="s">
        <v>130</v>
      </c>
      <c r="C22" s="410"/>
      <c r="D22" s="410" t="s">
        <v>155</v>
      </c>
      <c r="E22" s="411" t="s">
        <v>3041</v>
      </c>
      <c r="F22" s="413" t="str">
        <f t="shared" si="1"/>
        <v>gianna.solomon</v>
      </c>
      <c r="G22" s="413" t="str">
        <f t="shared" si="2"/>
        <v>gianna solomon</v>
      </c>
      <c r="H22" s="413" t="str">
        <f t="shared" si="3"/>
        <v>gianna solomon</v>
      </c>
      <c r="I22" s="413" t="str">
        <f t="shared" si="4"/>
        <v>solomon gianna</v>
      </c>
    </row>
    <row r="23">
      <c r="A23" s="415" t="s">
        <v>134</v>
      </c>
      <c r="C23" s="410"/>
      <c r="D23" s="410" t="s">
        <v>160</v>
      </c>
      <c r="E23" s="411" t="s">
        <v>3041</v>
      </c>
      <c r="F23" s="413" t="str">
        <f t="shared" si="1"/>
        <v>darcell.dance</v>
      </c>
      <c r="G23" s="413" t="str">
        <f t="shared" si="2"/>
        <v>darcell dance</v>
      </c>
      <c r="H23" s="413" t="str">
        <f t="shared" si="3"/>
        <v>darcell dance</v>
      </c>
      <c r="I23" s="413" t="str">
        <f t="shared" si="4"/>
        <v>dance darcell</v>
      </c>
    </row>
    <row r="24">
      <c r="A24" s="200" t="s">
        <v>130</v>
      </c>
      <c r="C24" s="410"/>
      <c r="D24" s="410" t="s">
        <v>162</v>
      </c>
      <c r="E24" s="411" t="s">
        <v>3041</v>
      </c>
      <c r="F24" s="413" t="str">
        <f t="shared" si="1"/>
        <v>darcy.kennedy</v>
      </c>
      <c r="G24" s="413" t="str">
        <f t="shared" si="2"/>
        <v>darcy kennedy</v>
      </c>
      <c r="H24" s="413" t="str">
        <f t="shared" si="3"/>
        <v>darcy kennedy</v>
      </c>
      <c r="I24" s="413" t="str">
        <f t="shared" si="4"/>
        <v>kennedy darcy</v>
      </c>
    </row>
    <row r="25">
      <c r="A25" s="415" t="s">
        <v>88</v>
      </c>
      <c r="C25" s="410"/>
      <c r="D25" s="410" t="s">
        <v>166</v>
      </c>
      <c r="E25" s="411" t="s">
        <v>3041</v>
      </c>
      <c r="F25" s="413" t="str">
        <f t="shared" si="1"/>
        <v>jessica.hall</v>
      </c>
      <c r="G25" s="413" t="str">
        <f t="shared" si="2"/>
        <v>jessica hall</v>
      </c>
      <c r="H25" s="413" t="str">
        <f t="shared" si="3"/>
        <v>jessica hall</v>
      </c>
      <c r="I25" s="413" t="str">
        <f t="shared" si="4"/>
        <v>hall jessica</v>
      </c>
    </row>
    <row r="26">
      <c r="A26" s="200" t="s">
        <v>137</v>
      </c>
      <c r="C26" s="410"/>
      <c r="D26" s="410" t="s">
        <v>168</v>
      </c>
      <c r="E26" s="411" t="s">
        <v>3041</v>
      </c>
      <c r="F26" s="413" t="str">
        <f t="shared" si="1"/>
        <v>carmen.butcher-houston8</v>
      </c>
      <c r="G26" s="413" t="str">
        <f t="shared" si="2"/>
        <v>carmen butcher-houston8</v>
      </c>
      <c r="H26" s="413" t="str">
        <f t="shared" si="3"/>
        <v>carmen butcher-houston</v>
      </c>
      <c r="I26" s="413" t="str">
        <f t="shared" si="4"/>
        <v>butcher-houston carmen</v>
      </c>
    </row>
    <row r="27">
      <c r="A27" s="414" t="s">
        <v>141</v>
      </c>
      <c r="C27" s="410"/>
      <c r="D27" s="410" t="s">
        <v>171</v>
      </c>
      <c r="E27" s="411" t="s">
        <v>3041</v>
      </c>
      <c r="F27" s="413" t="str">
        <f t="shared" si="1"/>
        <v>anne.saraceno</v>
      </c>
      <c r="G27" s="413" t="str">
        <f t="shared" si="2"/>
        <v>anne saraceno</v>
      </c>
      <c r="H27" s="413" t="str">
        <f t="shared" si="3"/>
        <v>anne saraceno</v>
      </c>
      <c r="I27" s="413" t="str">
        <f t="shared" si="4"/>
        <v>saraceno anne</v>
      </c>
    </row>
    <row r="28">
      <c r="A28" s="200" t="s">
        <v>141</v>
      </c>
      <c r="C28" s="410"/>
      <c r="D28" s="410" t="s">
        <v>174</v>
      </c>
      <c r="E28" s="411" t="s">
        <v>3041</v>
      </c>
      <c r="F28" s="413" t="str">
        <f t="shared" si="1"/>
        <v>dylan.thompson</v>
      </c>
      <c r="G28" s="413" t="str">
        <f t="shared" si="2"/>
        <v>dylan thompson</v>
      </c>
      <c r="H28" s="413" t="str">
        <f t="shared" si="3"/>
        <v>dylan thompson</v>
      </c>
      <c r="I28" s="413" t="str">
        <f t="shared" si="4"/>
        <v>thompson dylan</v>
      </c>
    </row>
    <row r="29">
      <c r="A29" s="200" t="s">
        <v>150</v>
      </c>
      <c r="C29" s="410"/>
      <c r="D29" s="410" t="s">
        <v>188</v>
      </c>
      <c r="E29" s="411" t="s">
        <v>3041</v>
      </c>
      <c r="F29" s="413" t="str">
        <f t="shared" si="1"/>
        <v>yolanda.gonzalez</v>
      </c>
      <c r="G29" s="413" t="str">
        <f t="shared" si="2"/>
        <v>yolanda gonzalez</v>
      </c>
      <c r="H29" s="413" t="str">
        <f t="shared" si="3"/>
        <v>yolanda gonzalez</v>
      </c>
      <c r="I29" s="413" t="str">
        <f t="shared" si="4"/>
        <v>gonzalez yolanda</v>
      </c>
    </row>
    <row r="30">
      <c r="A30" s="200" t="s">
        <v>155</v>
      </c>
      <c r="C30" s="410"/>
      <c r="D30" s="410" t="s">
        <v>195</v>
      </c>
      <c r="E30" s="411" t="s">
        <v>3041</v>
      </c>
      <c r="F30" s="413" t="str">
        <f t="shared" si="1"/>
        <v>cee.bondurant</v>
      </c>
      <c r="G30" s="413" t="str">
        <f t="shared" si="2"/>
        <v>cee bondurant</v>
      </c>
      <c r="H30" s="413" t="str">
        <f t="shared" si="3"/>
        <v>cee bondurant</v>
      </c>
      <c r="I30" s="413" t="str">
        <f t="shared" si="4"/>
        <v>bondurant cee</v>
      </c>
    </row>
    <row r="31">
      <c r="A31" s="200" t="s">
        <v>160</v>
      </c>
      <c r="C31" s="410"/>
      <c r="D31" s="410" t="s">
        <v>209</v>
      </c>
      <c r="E31" s="411" t="s">
        <v>3041</v>
      </c>
      <c r="F31" s="413" t="str">
        <f t="shared" si="1"/>
        <v>erica.gilliland</v>
      </c>
      <c r="G31" s="413" t="str">
        <f t="shared" si="2"/>
        <v>erica gilliland</v>
      </c>
      <c r="H31" s="413" t="str">
        <f t="shared" si="3"/>
        <v>erica gilliland</v>
      </c>
      <c r="I31" s="413" t="str">
        <f t="shared" si="4"/>
        <v>gilliland erica</v>
      </c>
    </row>
    <row r="32">
      <c r="A32" s="200" t="s">
        <v>162</v>
      </c>
      <c r="C32" s="410"/>
      <c r="D32" s="410" t="s">
        <v>213</v>
      </c>
      <c r="E32" s="411" t="s">
        <v>3041</v>
      </c>
      <c r="F32" s="413" t="str">
        <f t="shared" si="1"/>
        <v>abrianna.williams</v>
      </c>
      <c r="G32" s="413" t="str">
        <f t="shared" si="2"/>
        <v>abrianna williams</v>
      </c>
      <c r="H32" s="413" t="str">
        <f t="shared" si="3"/>
        <v>abrianna williams</v>
      </c>
      <c r="I32" s="413" t="str">
        <f t="shared" si="4"/>
        <v>williams abrianna</v>
      </c>
    </row>
    <row r="33">
      <c r="A33" s="200" t="s">
        <v>153</v>
      </c>
      <c r="C33" s="410"/>
      <c r="D33" s="410" t="s">
        <v>219</v>
      </c>
      <c r="E33" s="411" t="s">
        <v>3041</v>
      </c>
      <c r="F33" s="413" t="str">
        <f t="shared" si="1"/>
        <v>angela.petrjanos</v>
      </c>
      <c r="G33" s="413" t="str">
        <f t="shared" si="2"/>
        <v>angela petrjanos</v>
      </c>
      <c r="H33" s="413" t="str">
        <f t="shared" si="3"/>
        <v>angela petrjanos</v>
      </c>
      <c r="I33" s="413" t="str">
        <f t="shared" si="4"/>
        <v>petrjanos angela</v>
      </c>
    </row>
    <row r="34">
      <c r="A34" s="200" t="s">
        <v>168</v>
      </c>
      <c r="C34" s="410"/>
      <c r="D34" s="410" t="s">
        <v>225</v>
      </c>
      <c r="E34" s="411" t="s">
        <v>3041</v>
      </c>
      <c r="F34" s="413" t="str">
        <f t="shared" si="1"/>
        <v>charli.isidro</v>
      </c>
      <c r="G34" s="413" t="str">
        <f t="shared" si="2"/>
        <v>charli isidro</v>
      </c>
      <c r="H34" s="413" t="str">
        <f t="shared" si="3"/>
        <v>charli isidro</v>
      </c>
      <c r="I34" s="413" t="str">
        <f t="shared" si="4"/>
        <v>isidro charli</v>
      </c>
    </row>
    <row r="35">
      <c r="A35" s="200" t="s">
        <v>171</v>
      </c>
      <c r="C35" s="410"/>
      <c r="D35" s="410" t="s">
        <v>231</v>
      </c>
      <c r="E35" s="411" t="s">
        <v>3041</v>
      </c>
      <c r="F35" s="413" t="str">
        <f t="shared" si="1"/>
        <v>alexandra.rieman</v>
      </c>
      <c r="G35" s="413" t="str">
        <f t="shared" si="2"/>
        <v>alexandra rieman</v>
      </c>
      <c r="H35" s="413" t="str">
        <f t="shared" si="3"/>
        <v>alexandra rieman</v>
      </c>
      <c r="I35" s="413" t="str">
        <f t="shared" si="4"/>
        <v>rieman alexandra</v>
      </c>
    </row>
    <row r="36">
      <c r="A36" s="200" t="s">
        <v>174</v>
      </c>
      <c r="C36" s="410"/>
      <c r="D36" s="410" t="s">
        <v>234</v>
      </c>
      <c r="E36" s="411" t="s">
        <v>3041</v>
      </c>
      <c r="F36" s="413" t="str">
        <f t="shared" si="1"/>
        <v>elizabeth.loving</v>
      </c>
      <c r="G36" s="413" t="str">
        <f t="shared" si="2"/>
        <v>elizabeth loving</v>
      </c>
      <c r="H36" s="413" t="str">
        <f t="shared" si="3"/>
        <v>elizabeth loving</v>
      </c>
      <c r="I36" s="413" t="str">
        <f t="shared" si="4"/>
        <v>loving elizabeth</v>
      </c>
    </row>
    <row r="37">
      <c r="A37" s="200" t="s">
        <v>37</v>
      </c>
      <c r="C37" s="410"/>
      <c r="D37" s="410" t="s">
        <v>237</v>
      </c>
      <c r="E37" s="411" t="s">
        <v>3041</v>
      </c>
      <c r="F37" s="413" t="str">
        <f t="shared" si="1"/>
        <v>miranda.shapiro</v>
      </c>
      <c r="G37" s="413" t="str">
        <f t="shared" si="2"/>
        <v>miranda shapiro</v>
      </c>
      <c r="H37" s="413" t="str">
        <f t="shared" si="3"/>
        <v>miranda shapiro</v>
      </c>
      <c r="I37" s="413" t="str">
        <f t="shared" si="4"/>
        <v>shapiro miranda</v>
      </c>
    </row>
    <row r="38">
      <c r="A38" s="414" t="s">
        <v>183</v>
      </c>
      <c r="C38" s="410"/>
      <c r="D38" s="410" t="s">
        <v>240</v>
      </c>
      <c r="E38" s="411" t="s">
        <v>3041</v>
      </c>
      <c r="F38" s="413" t="str">
        <f t="shared" si="1"/>
        <v>otoniel.calderon</v>
      </c>
      <c r="G38" s="413" t="str">
        <f t="shared" si="2"/>
        <v>otoniel calderon</v>
      </c>
      <c r="H38" s="413" t="str">
        <f t="shared" si="3"/>
        <v>otoniel calderon</v>
      </c>
      <c r="I38" s="413" t="str">
        <f t="shared" si="4"/>
        <v>calderon otoniel</v>
      </c>
    </row>
    <row r="39">
      <c r="A39" s="415" t="s">
        <v>188</v>
      </c>
      <c r="C39" s="410"/>
      <c r="D39" s="410" t="s">
        <v>243</v>
      </c>
      <c r="E39" s="411" t="s">
        <v>3041</v>
      </c>
      <c r="F39" s="413" t="str">
        <f t="shared" si="1"/>
        <v>linda.hudson</v>
      </c>
      <c r="G39" s="413" t="str">
        <f t="shared" si="2"/>
        <v>linda hudson</v>
      </c>
      <c r="H39" s="413" t="str">
        <f t="shared" si="3"/>
        <v>linda hudson</v>
      </c>
      <c r="I39" s="413" t="str">
        <f t="shared" si="4"/>
        <v>hudson linda</v>
      </c>
    </row>
    <row r="40">
      <c r="A40" s="416" t="s">
        <v>188</v>
      </c>
      <c r="C40" s="410"/>
      <c r="D40" s="410" t="s">
        <v>245</v>
      </c>
      <c r="E40" s="411" t="s">
        <v>3041</v>
      </c>
      <c r="F40" s="413" t="str">
        <f t="shared" si="1"/>
        <v>carmen.carreras</v>
      </c>
      <c r="G40" s="413" t="str">
        <f t="shared" si="2"/>
        <v>carmen carreras</v>
      </c>
      <c r="H40" s="413" t="str">
        <f t="shared" si="3"/>
        <v>carmen carreras</v>
      </c>
      <c r="I40" s="413" t="str">
        <f t="shared" si="4"/>
        <v>carreras carmen</v>
      </c>
    </row>
    <row r="41">
      <c r="A41" s="417" t="s">
        <v>195</v>
      </c>
      <c r="C41" s="410"/>
      <c r="D41" s="410" t="s">
        <v>251</v>
      </c>
      <c r="E41" s="411" t="s">
        <v>3041</v>
      </c>
      <c r="F41" s="413" t="str">
        <f t="shared" si="1"/>
        <v>andrea.chiotti</v>
      </c>
      <c r="G41" s="413" t="str">
        <f t="shared" si="2"/>
        <v>andrea chiotti</v>
      </c>
      <c r="H41" s="413" t="str">
        <f t="shared" si="3"/>
        <v>andrea chiotti</v>
      </c>
      <c r="I41" s="413" t="str">
        <f t="shared" si="4"/>
        <v>chiotti andrea</v>
      </c>
      <c r="K41" s="411" t="s">
        <v>3043</v>
      </c>
    </row>
    <row r="42">
      <c r="A42" s="417" t="s">
        <v>195</v>
      </c>
      <c r="C42" s="410"/>
      <c r="D42" s="410" t="s">
        <v>259</v>
      </c>
      <c r="E42" s="411" t="s">
        <v>3041</v>
      </c>
      <c r="F42" s="413" t="str">
        <f t="shared" si="1"/>
        <v>canada.taylor.parker</v>
      </c>
      <c r="G42" s="413" t="str">
        <f t="shared" si="2"/>
        <v>canada taylor parker</v>
      </c>
      <c r="H42" s="413" t="str">
        <f t="shared" si="3"/>
        <v>canada taylor parker</v>
      </c>
      <c r="I42" s="413" t="str">
        <f t="shared" si="4"/>
        <v>taylor parker canada</v>
      </c>
    </row>
    <row r="43">
      <c r="A43" s="200" t="s">
        <v>209</v>
      </c>
      <c r="C43" s="410"/>
      <c r="D43" s="410" t="s">
        <v>264</v>
      </c>
      <c r="E43" s="411" t="s">
        <v>3041</v>
      </c>
      <c r="F43" s="413" t="str">
        <f t="shared" si="1"/>
        <v>kit.oboyle</v>
      </c>
      <c r="G43" s="413" t="str">
        <f t="shared" si="2"/>
        <v>kit oboyle</v>
      </c>
      <c r="H43" s="413" t="str">
        <f t="shared" si="3"/>
        <v>kit oboyle</v>
      </c>
      <c r="I43" s="413" t="str">
        <f t="shared" si="4"/>
        <v>oboyle kit</v>
      </c>
    </row>
    <row r="44">
      <c r="A44" s="200" t="s">
        <v>213</v>
      </c>
      <c r="C44" s="410"/>
      <c r="D44" s="410" t="s">
        <v>272</v>
      </c>
      <c r="E44" s="411" t="s">
        <v>3041</v>
      </c>
      <c r="F44" s="413" t="str">
        <f t="shared" si="1"/>
        <v>hilary.gray</v>
      </c>
      <c r="G44" s="413" t="str">
        <f t="shared" si="2"/>
        <v>hilary gray</v>
      </c>
      <c r="H44" s="413" t="str">
        <f t="shared" si="3"/>
        <v>hilary gray</v>
      </c>
      <c r="I44" s="413" t="str">
        <f t="shared" si="4"/>
        <v>gray hilary</v>
      </c>
    </row>
    <row r="45">
      <c r="A45" s="200" t="s">
        <v>141</v>
      </c>
      <c r="C45" s="410"/>
      <c r="D45" s="410" t="s">
        <v>276</v>
      </c>
      <c r="E45" s="411" t="s">
        <v>3041</v>
      </c>
      <c r="F45" s="413" t="str">
        <f t="shared" si="1"/>
        <v>astra.dao</v>
      </c>
      <c r="G45" s="413" t="str">
        <f t="shared" si="2"/>
        <v>astra dao</v>
      </c>
      <c r="H45" s="413" t="str">
        <f t="shared" si="3"/>
        <v>astra dao</v>
      </c>
      <c r="I45" s="413" t="str">
        <f t="shared" si="4"/>
        <v>dao astra</v>
      </c>
    </row>
    <row r="46">
      <c r="A46" s="200" t="s">
        <v>222</v>
      </c>
      <c r="C46" s="410"/>
      <c r="D46" s="410" t="s">
        <v>284</v>
      </c>
      <c r="E46" s="411" t="s">
        <v>3041</v>
      </c>
      <c r="F46" s="413" t="str">
        <f t="shared" si="1"/>
        <v>galen.cohen</v>
      </c>
      <c r="G46" s="413" t="str">
        <f t="shared" si="2"/>
        <v>galen cohen</v>
      </c>
      <c r="H46" s="413" t="str">
        <f t="shared" si="3"/>
        <v>galen cohen</v>
      </c>
      <c r="I46" s="413" t="str">
        <f t="shared" si="4"/>
        <v>cohen galen</v>
      </c>
    </row>
    <row r="47">
      <c r="A47" s="200" t="s">
        <v>225</v>
      </c>
      <c r="C47" s="410"/>
      <c r="D47" s="410" t="s">
        <v>293</v>
      </c>
      <c r="E47" s="411" t="s">
        <v>3041</v>
      </c>
      <c r="F47" s="413" t="str">
        <f t="shared" si="1"/>
        <v>brianna.nunez-webb</v>
      </c>
      <c r="G47" s="413" t="str">
        <f t="shared" si="2"/>
        <v>brianna nunez-webb</v>
      </c>
      <c r="H47" s="413" t="str">
        <f t="shared" si="3"/>
        <v>brianna nunez-webb</v>
      </c>
      <c r="I47" s="413" t="str">
        <f t="shared" si="4"/>
        <v>nunez-webb brianna</v>
      </c>
    </row>
    <row r="48">
      <c r="A48" s="414" t="s">
        <v>117</v>
      </c>
      <c r="C48" s="410"/>
      <c r="D48" s="410" t="s">
        <v>305</v>
      </c>
      <c r="E48" s="411" t="s">
        <v>3041</v>
      </c>
      <c r="F48" s="413" t="str">
        <f t="shared" si="1"/>
        <v>kelerie.heiser</v>
      </c>
      <c r="G48" s="413" t="str">
        <f t="shared" si="2"/>
        <v>kelerie heiser</v>
      </c>
      <c r="H48" s="413" t="str">
        <f t="shared" si="3"/>
        <v>kelerie heiser</v>
      </c>
      <c r="I48" s="413" t="str">
        <f t="shared" si="4"/>
        <v>heiser kelerie</v>
      </c>
    </row>
    <row r="49">
      <c r="A49" s="200" t="s">
        <v>231</v>
      </c>
      <c r="C49" s="410"/>
      <c r="D49" s="410" t="s">
        <v>308</v>
      </c>
      <c r="E49" s="411" t="s">
        <v>3041</v>
      </c>
      <c r="F49" s="413" t="str">
        <f t="shared" si="1"/>
        <v>brandt.rigby</v>
      </c>
      <c r="G49" s="413" t="str">
        <f t="shared" si="2"/>
        <v>brandt rigby</v>
      </c>
      <c r="H49" s="413" t="str">
        <f t="shared" si="3"/>
        <v>brandt rigby</v>
      </c>
      <c r="I49" s="413" t="str">
        <f t="shared" si="4"/>
        <v>rigby brandt</v>
      </c>
    </row>
    <row r="50">
      <c r="A50" s="200" t="s">
        <v>234</v>
      </c>
      <c r="C50" s="410"/>
      <c r="D50" s="410" t="s">
        <v>311</v>
      </c>
      <c r="E50" s="411" t="s">
        <v>3041</v>
      </c>
      <c r="F50" s="413" t="str">
        <f t="shared" si="1"/>
        <v>madonna.wells</v>
      </c>
      <c r="G50" s="413" t="str">
        <f t="shared" si="2"/>
        <v>madonna wells</v>
      </c>
      <c r="H50" s="413" t="str">
        <f t="shared" si="3"/>
        <v>madonna wells</v>
      </c>
      <c r="I50" s="413" t="str">
        <f t="shared" si="4"/>
        <v>wells madonna</v>
      </c>
    </row>
    <row r="51">
      <c r="A51" s="200" t="s">
        <v>234</v>
      </c>
      <c r="C51" s="410"/>
      <c r="D51" s="410" t="s">
        <v>314</v>
      </c>
      <c r="E51" s="411" t="s">
        <v>3041</v>
      </c>
      <c r="F51" s="413" t="str">
        <f t="shared" si="1"/>
        <v>natasha.archer</v>
      </c>
      <c r="G51" s="413" t="str">
        <f t="shared" si="2"/>
        <v>natasha archer</v>
      </c>
      <c r="H51" s="413" t="str">
        <f t="shared" si="3"/>
        <v>natasha archer</v>
      </c>
      <c r="I51" s="413" t="str">
        <f t="shared" si="4"/>
        <v>archer natasha</v>
      </c>
    </row>
    <row r="52">
      <c r="A52" s="200" t="s">
        <v>237</v>
      </c>
      <c r="C52" s="410"/>
      <c r="D52" s="410" t="s">
        <v>320</v>
      </c>
      <c r="E52" s="411" t="s">
        <v>3041</v>
      </c>
      <c r="F52" s="413" t="str">
        <f t="shared" si="1"/>
        <v>austin.burres</v>
      </c>
      <c r="G52" s="413" t="str">
        <f t="shared" si="2"/>
        <v>austin burres</v>
      </c>
      <c r="H52" s="413" t="str">
        <f t="shared" si="3"/>
        <v>austin burres</v>
      </c>
      <c r="I52" s="413" t="str">
        <f t="shared" si="4"/>
        <v>burres austin</v>
      </c>
    </row>
    <row r="53">
      <c r="A53" s="200" t="s">
        <v>240</v>
      </c>
      <c r="C53" s="410"/>
      <c r="D53" s="410" t="s">
        <v>323</v>
      </c>
      <c r="E53" s="411" t="s">
        <v>3041</v>
      </c>
      <c r="F53" s="413" t="str">
        <f t="shared" si="1"/>
        <v>glen.lafollette</v>
      </c>
      <c r="G53" s="413" t="str">
        <f t="shared" si="2"/>
        <v>glen lafollette</v>
      </c>
      <c r="H53" s="413" t="str">
        <f t="shared" si="3"/>
        <v>glen lafollette</v>
      </c>
      <c r="I53" s="413" t="str">
        <f t="shared" si="4"/>
        <v>lafollette glen</v>
      </c>
    </row>
    <row r="54">
      <c r="A54" s="200" t="s">
        <v>243</v>
      </c>
      <c r="C54" s="410"/>
      <c r="D54" s="410" t="s">
        <v>325</v>
      </c>
      <c r="E54" s="411" t="s">
        <v>3041</v>
      </c>
      <c r="F54" s="413" t="str">
        <f t="shared" si="1"/>
        <v>alex.garcia</v>
      </c>
      <c r="G54" s="413" t="str">
        <f t="shared" si="2"/>
        <v>alex garcia</v>
      </c>
      <c r="H54" s="413" t="str">
        <f t="shared" si="3"/>
        <v>alex garcia</v>
      </c>
      <c r="I54" s="413" t="str">
        <f t="shared" si="4"/>
        <v>garcia alex</v>
      </c>
    </row>
    <row r="55">
      <c r="A55" s="415" t="s">
        <v>120</v>
      </c>
      <c r="C55" s="410"/>
      <c r="D55" s="410" t="s">
        <v>333</v>
      </c>
      <c r="E55" s="411" t="s">
        <v>3041</v>
      </c>
      <c r="F55" s="413" t="str">
        <f t="shared" si="1"/>
        <v>erika.mosqueda.franco</v>
      </c>
      <c r="G55" s="413" t="str">
        <f t="shared" si="2"/>
        <v>erika mosqueda franco</v>
      </c>
      <c r="H55" s="413" t="str">
        <f t="shared" si="3"/>
        <v>erika mosqueda franco</v>
      </c>
      <c r="I55" s="413" t="str">
        <f t="shared" si="4"/>
        <v>mosqueda franco erika</v>
      </c>
    </row>
    <row r="56">
      <c r="A56" s="200" t="s">
        <v>251</v>
      </c>
      <c r="C56" s="410"/>
      <c r="D56" s="410" t="s">
        <v>357</v>
      </c>
      <c r="E56" s="411" t="s">
        <v>3041</v>
      </c>
      <c r="F56" s="413" t="str">
        <f t="shared" si="1"/>
        <v>daniela.evangelista</v>
      </c>
      <c r="G56" s="413" t="str">
        <f t="shared" si="2"/>
        <v>daniela evangelista</v>
      </c>
      <c r="H56" s="413" t="str">
        <f t="shared" si="3"/>
        <v>daniela evangelista</v>
      </c>
      <c r="I56" s="413" t="str">
        <f t="shared" si="4"/>
        <v>evangelista daniela</v>
      </c>
    </row>
    <row r="57">
      <c r="A57" s="200" t="s">
        <v>259</v>
      </c>
      <c r="C57" s="410"/>
      <c r="D57" s="410" t="s">
        <v>366</v>
      </c>
      <c r="E57" s="411" t="s">
        <v>3041</v>
      </c>
      <c r="F57" s="413" t="str">
        <f t="shared" si="1"/>
        <v>erika.larson</v>
      </c>
      <c r="G57" s="413" t="str">
        <f t="shared" si="2"/>
        <v>erika larson</v>
      </c>
      <c r="H57" s="413" t="str">
        <f t="shared" si="3"/>
        <v>erika larson</v>
      </c>
      <c r="I57" s="413" t="str">
        <f t="shared" si="4"/>
        <v>larson erika</v>
      </c>
    </row>
    <row r="58">
      <c r="A58" s="200" t="s">
        <v>264</v>
      </c>
      <c r="C58" s="410"/>
      <c r="D58" s="410" t="s">
        <v>368</v>
      </c>
      <c r="E58" s="411" t="s">
        <v>3041</v>
      </c>
      <c r="F58" s="413" t="str">
        <f t="shared" si="1"/>
        <v>susana.gomora</v>
      </c>
      <c r="G58" s="413" t="str">
        <f t="shared" si="2"/>
        <v>susana gomora</v>
      </c>
      <c r="H58" s="413" t="str">
        <f t="shared" si="3"/>
        <v>susana gomora</v>
      </c>
      <c r="I58" s="413" t="str">
        <f t="shared" si="4"/>
        <v>gomora susana</v>
      </c>
    </row>
    <row r="59">
      <c r="A59" s="200" t="s">
        <v>117</v>
      </c>
      <c r="C59" s="410"/>
      <c r="D59" s="410" t="s">
        <v>374</v>
      </c>
      <c r="E59" s="411" t="s">
        <v>3041</v>
      </c>
      <c r="F59" s="413" t="str">
        <f t="shared" si="1"/>
        <v>frances.flores</v>
      </c>
      <c r="G59" s="413" t="str">
        <f t="shared" si="2"/>
        <v>frances flores</v>
      </c>
      <c r="H59" s="413" t="str">
        <f t="shared" si="3"/>
        <v>frances flores</v>
      </c>
      <c r="I59" s="413" t="str">
        <f t="shared" si="4"/>
        <v>flores frances</v>
      </c>
    </row>
    <row r="60">
      <c r="A60" s="200" t="s">
        <v>272</v>
      </c>
      <c r="C60" s="410"/>
      <c r="D60" s="410" t="s">
        <v>382</v>
      </c>
      <c r="E60" s="411" t="s">
        <v>3041</v>
      </c>
      <c r="F60" s="413" t="str">
        <f t="shared" si="1"/>
        <v>anita.bailey-huff</v>
      </c>
      <c r="G60" s="413" t="str">
        <f t="shared" si="2"/>
        <v>anita bailey-huff</v>
      </c>
      <c r="H60" s="413" t="str">
        <f t="shared" si="3"/>
        <v>anita bailey-huff</v>
      </c>
      <c r="I60" s="413" t="str">
        <f t="shared" si="4"/>
        <v>bailey-huff anita</v>
      </c>
    </row>
    <row r="61">
      <c r="A61" s="200" t="s">
        <v>264</v>
      </c>
      <c r="C61" s="410"/>
      <c r="D61" s="410" t="s">
        <v>385</v>
      </c>
      <c r="E61" s="411" t="s">
        <v>3041</v>
      </c>
      <c r="F61" s="413" t="str">
        <f t="shared" si="1"/>
        <v>misao.eliahim</v>
      </c>
      <c r="G61" s="413" t="str">
        <f t="shared" si="2"/>
        <v>misao eliahim</v>
      </c>
      <c r="H61" s="413" t="str">
        <f t="shared" si="3"/>
        <v>misao eliahim</v>
      </c>
      <c r="I61" s="413" t="str">
        <f t="shared" si="4"/>
        <v>eliahim misao</v>
      </c>
    </row>
    <row r="62">
      <c r="A62" s="414" t="s">
        <v>276</v>
      </c>
      <c r="C62" s="410"/>
      <c r="D62" s="410" t="s">
        <v>396</v>
      </c>
      <c r="E62" s="411" t="s">
        <v>3041</v>
      </c>
      <c r="F62" s="413" t="str">
        <f t="shared" si="1"/>
        <v>jazmin.munoz</v>
      </c>
      <c r="G62" s="413" t="str">
        <f t="shared" si="2"/>
        <v>jazmin munoz</v>
      </c>
      <c r="H62" s="413" t="str">
        <f t="shared" si="3"/>
        <v>jazmin munoz</v>
      </c>
      <c r="I62" s="413" t="str">
        <f t="shared" si="4"/>
        <v>munoz jazmin</v>
      </c>
    </row>
    <row r="63">
      <c r="A63" s="200" t="s">
        <v>280</v>
      </c>
      <c r="C63" s="410"/>
      <c r="D63" s="410" t="s">
        <v>407</v>
      </c>
      <c r="E63" s="411" t="s">
        <v>3041</v>
      </c>
      <c r="F63" s="413" t="str">
        <f t="shared" si="1"/>
        <v>hezekiah.rinn</v>
      </c>
      <c r="G63" s="413" t="str">
        <f t="shared" si="2"/>
        <v>hezekiah rinn</v>
      </c>
      <c r="H63" s="413" t="str">
        <f t="shared" si="3"/>
        <v>hezekiah rinn</v>
      </c>
      <c r="I63" s="413" t="str">
        <f t="shared" si="4"/>
        <v>rinn hezekiah</v>
      </c>
    </row>
    <row r="64">
      <c r="A64" s="200" t="s">
        <v>64</v>
      </c>
      <c r="C64" s="410"/>
      <c r="D64" s="410" t="s">
        <v>414</v>
      </c>
      <c r="E64" s="411" t="s">
        <v>3041</v>
      </c>
      <c r="F64" s="413" t="str">
        <f t="shared" si="1"/>
        <v>april.taylor</v>
      </c>
      <c r="G64" s="413" t="str">
        <f t="shared" si="2"/>
        <v>april taylor</v>
      </c>
      <c r="H64" s="413" t="str">
        <f t="shared" si="3"/>
        <v>april taylor</v>
      </c>
      <c r="I64" s="413" t="str">
        <f t="shared" si="4"/>
        <v>taylor april</v>
      </c>
    </row>
    <row r="65">
      <c r="A65" s="414" t="s">
        <v>293</v>
      </c>
      <c r="C65" s="410"/>
      <c r="D65" s="410" t="s">
        <v>416</v>
      </c>
      <c r="E65" s="411" t="s">
        <v>3041</v>
      </c>
      <c r="F65" s="413" t="str">
        <f t="shared" si="1"/>
        <v>jerome.sloan.ii</v>
      </c>
      <c r="G65" s="413" t="str">
        <f t="shared" si="2"/>
        <v>jerome sloan ii</v>
      </c>
      <c r="H65" s="413" t="str">
        <f t="shared" si="3"/>
        <v>jerome sloan ii</v>
      </c>
      <c r="I65" s="413" t="str">
        <f t="shared" si="4"/>
        <v>sloan ii jerome</v>
      </c>
    </row>
    <row r="66">
      <c r="A66" s="414" t="s">
        <v>168</v>
      </c>
      <c r="C66" s="410"/>
      <c r="D66" s="410" t="s">
        <v>424</v>
      </c>
      <c r="E66" s="411" t="s">
        <v>3041</v>
      </c>
      <c r="F66" s="413" t="str">
        <f t="shared" si="1"/>
        <v>anthony.jordan</v>
      </c>
      <c r="G66" s="413" t="str">
        <f t="shared" si="2"/>
        <v>anthony jordan</v>
      </c>
      <c r="H66" s="413" t="str">
        <f t="shared" si="3"/>
        <v>anthony jordan</v>
      </c>
      <c r="I66" s="413" t="str">
        <f t="shared" si="4"/>
        <v>jordan anthony</v>
      </c>
    </row>
    <row r="67">
      <c r="A67" s="200" t="s">
        <v>168</v>
      </c>
      <c r="C67" s="410"/>
      <c r="D67" s="410" t="s">
        <v>427</v>
      </c>
      <c r="E67" s="411" t="s">
        <v>3041</v>
      </c>
      <c r="F67" s="413" t="str">
        <f t="shared" si="1"/>
        <v>marrissa.gottlob</v>
      </c>
      <c r="G67" s="413" t="str">
        <f t="shared" si="2"/>
        <v>marrissa gottlob</v>
      </c>
      <c r="H67" s="413" t="str">
        <f t="shared" si="3"/>
        <v>marrissa gottlob</v>
      </c>
      <c r="I67" s="413" t="str">
        <f t="shared" si="4"/>
        <v>gottlob marrissa</v>
      </c>
    </row>
    <row r="68">
      <c r="A68" s="200" t="s">
        <v>168</v>
      </c>
      <c r="C68" s="410"/>
      <c r="D68" s="410" t="s">
        <v>431</v>
      </c>
      <c r="E68" s="411" t="s">
        <v>3041</v>
      </c>
      <c r="F68" s="413" t="str">
        <f t="shared" si="1"/>
        <v>jessica.jacobsen</v>
      </c>
      <c r="G68" s="413" t="str">
        <f t="shared" si="2"/>
        <v>jessica jacobsen</v>
      </c>
      <c r="H68" s="413" t="str">
        <f t="shared" si="3"/>
        <v>jessica jacobsen</v>
      </c>
      <c r="I68" s="413" t="str">
        <f t="shared" si="4"/>
        <v>jacobsen jessica</v>
      </c>
    </row>
    <row r="69">
      <c r="A69" s="418" t="s">
        <v>284</v>
      </c>
      <c r="C69" s="410"/>
      <c r="D69" s="410" t="s">
        <v>436</v>
      </c>
      <c r="E69" s="411" t="s">
        <v>3041</v>
      </c>
      <c r="F69" s="413" t="str">
        <f t="shared" si="1"/>
        <v>jennifer.kotley</v>
      </c>
      <c r="G69" s="413" t="str">
        <f t="shared" si="2"/>
        <v>jennifer kotley</v>
      </c>
      <c r="H69" s="413" t="str">
        <f t="shared" si="3"/>
        <v>jennifer kotley</v>
      </c>
      <c r="I69" s="413" t="str">
        <f t="shared" si="4"/>
        <v>kotley jennifer</v>
      </c>
    </row>
    <row r="70">
      <c r="A70" s="200" t="s">
        <v>305</v>
      </c>
      <c r="C70" s="410"/>
      <c r="D70" s="410" t="s">
        <v>201</v>
      </c>
      <c r="E70" s="411" t="s">
        <v>3041</v>
      </c>
      <c r="F70" s="413" t="str">
        <f t="shared" si="1"/>
        <v>susan.yoon</v>
      </c>
      <c r="G70" s="413" t="str">
        <f t="shared" si="2"/>
        <v>susan yoon</v>
      </c>
      <c r="H70" s="413" t="str">
        <f t="shared" si="3"/>
        <v>susan yoon</v>
      </c>
      <c r="I70" s="413" t="str">
        <f t="shared" si="4"/>
        <v>yoon susan</v>
      </c>
    </row>
    <row r="71">
      <c r="A71" s="414" t="s">
        <v>308</v>
      </c>
      <c r="C71" s="410"/>
      <c r="D71" s="410" t="s">
        <v>445</v>
      </c>
      <c r="E71" s="411" t="s">
        <v>3041</v>
      </c>
      <c r="F71" s="413" t="str">
        <f t="shared" si="1"/>
        <v>robert.lizardy</v>
      </c>
      <c r="G71" s="413" t="str">
        <f t="shared" si="2"/>
        <v>robert lizardy</v>
      </c>
      <c r="H71" s="413" t="str">
        <f t="shared" si="3"/>
        <v>robert lizardy</v>
      </c>
      <c r="I71" s="413" t="str">
        <f t="shared" si="4"/>
        <v>lizardy robert</v>
      </c>
    </row>
    <row r="72">
      <c r="A72" s="200" t="s">
        <v>311</v>
      </c>
      <c r="C72" s="410"/>
      <c r="D72" s="410" t="s">
        <v>449</v>
      </c>
      <c r="E72" s="411" t="s">
        <v>3041</v>
      </c>
      <c r="F72" s="413" t="str">
        <f t="shared" si="1"/>
        <v>sadie.campbell</v>
      </c>
      <c r="G72" s="413" t="str">
        <f t="shared" si="2"/>
        <v>sadie campbell</v>
      </c>
      <c r="H72" s="413" t="str">
        <f t="shared" si="3"/>
        <v>sadie campbell</v>
      </c>
      <c r="I72" s="413" t="str">
        <f t="shared" si="4"/>
        <v>campbell sadie</v>
      </c>
    </row>
    <row r="73">
      <c r="A73" s="414" t="s">
        <v>314</v>
      </c>
      <c r="C73" s="410"/>
      <c r="D73" s="410" t="s">
        <v>459</v>
      </c>
      <c r="E73" s="411" t="s">
        <v>3041</v>
      </c>
      <c r="F73" s="413" t="str">
        <f t="shared" si="1"/>
        <v>bill.osborne</v>
      </c>
      <c r="G73" s="413" t="str">
        <f t="shared" si="2"/>
        <v>bill osborne</v>
      </c>
      <c r="H73" s="413" t="str">
        <f t="shared" si="3"/>
        <v>bill osborne</v>
      </c>
      <c r="I73" s="413" t="str">
        <f t="shared" si="4"/>
        <v>osborne bill</v>
      </c>
    </row>
    <row r="74">
      <c r="A74" s="200" t="s">
        <v>311</v>
      </c>
      <c r="C74" s="410"/>
      <c r="D74" s="410" t="s">
        <v>461</v>
      </c>
      <c r="E74" s="411" t="s">
        <v>3041</v>
      </c>
      <c r="F74" s="413" t="str">
        <f t="shared" si="1"/>
        <v>ykirshia.davis</v>
      </c>
      <c r="G74" s="413" t="str">
        <f t="shared" si="2"/>
        <v>ykirshia davis</v>
      </c>
      <c r="H74" s="413" t="str">
        <f t="shared" si="3"/>
        <v>ykirshia davis</v>
      </c>
      <c r="I74" s="413" t="str">
        <f t="shared" si="4"/>
        <v>davis ykirshia</v>
      </c>
    </row>
    <row r="75">
      <c r="A75" s="419" t="s">
        <v>193</v>
      </c>
      <c r="C75" s="410"/>
      <c r="D75" s="410" t="s">
        <v>479</v>
      </c>
      <c r="E75" s="411" t="s">
        <v>3041</v>
      </c>
      <c r="F75" s="413" t="str">
        <f t="shared" si="1"/>
        <v>ramon.benton</v>
      </c>
      <c r="G75" s="413" t="str">
        <f t="shared" si="2"/>
        <v>ramon benton</v>
      </c>
      <c r="H75" s="413" t="str">
        <f t="shared" si="3"/>
        <v>ramon benton</v>
      </c>
      <c r="I75" s="413" t="str">
        <f t="shared" si="4"/>
        <v>benton ramon</v>
      </c>
    </row>
    <row r="76">
      <c r="A76" s="200" t="s">
        <v>320</v>
      </c>
      <c r="C76" s="410"/>
      <c r="D76" s="410" t="s">
        <v>482</v>
      </c>
      <c r="E76" s="411" t="s">
        <v>3041</v>
      </c>
      <c r="F76" s="413" t="str">
        <f t="shared" si="1"/>
        <v>christopher.jenkins</v>
      </c>
      <c r="G76" s="413" t="str">
        <f t="shared" si="2"/>
        <v>christopher jenkins</v>
      </c>
      <c r="H76" s="413" t="str">
        <f t="shared" si="3"/>
        <v>christopher jenkins</v>
      </c>
      <c r="I76" s="413" t="str">
        <f t="shared" si="4"/>
        <v>jenkins christopher</v>
      </c>
    </row>
    <row r="77">
      <c r="A77" s="415" t="s">
        <v>323</v>
      </c>
      <c r="C77" s="410"/>
      <c r="D77" s="410" t="s">
        <v>487</v>
      </c>
      <c r="E77" s="411" t="s">
        <v>3041</v>
      </c>
      <c r="F77" s="413" t="str">
        <f t="shared" si="1"/>
        <v>nancy.flores.peterson</v>
      </c>
      <c r="G77" s="413" t="str">
        <f t="shared" si="2"/>
        <v>nancy flores peterson</v>
      </c>
      <c r="H77" s="413" t="str">
        <f t="shared" si="3"/>
        <v>nancy flores peterson</v>
      </c>
      <c r="I77" s="413" t="str">
        <f t="shared" si="4"/>
        <v>flores peterson nancy</v>
      </c>
    </row>
    <row r="78">
      <c r="A78" s="200" t="s">
        <v>50</v>
      </c>
      <c r="C78" s="410"/>
      <c r="D78" s="410" t="s">
        <v>494</v>
      </c>
      <c r="E78" s="411" t="s">
        <v>3041</v>
      </c>
      <c r="F78" s="413" t="str">
        <f t="shared" si="1"/>
        <v>saray.brito.santa.fe</v>
      </c>
      <c r="G78" s="413" t="str">
        <f t="shared" si="2"/>
        <v>saray brito santa fe</v>
      </c>
      <c r="H78" s="413" t="str">
        <f t="shared" si="3"/>
        <v>saray brito santa fe</v>
      </c>
      <c r="I78" s="413" t="str">
        <f t="shared" si="4"/>
        <v>brito santa fe saray</v>
      </c>
    </row>
    <row r="79">
      <c r="A79" s="200" t="s">
        <v>330</v>
      </c>
      <c r="C79" s="410"/>
      <c r="D79" s="410" t="s">
        <v>500</v>
      </c>
      <c r="E79" s="411" t="s">
        <v>3041</v>
      </c>
      <c r="F79" s="413" t="str">
        <f t="shared" si="1"/>
        <v>zahra.abukar2</v>
      </c>
      <c r="G79" s="413" t="str">
        <f t="shared" si="2"/>
        <v>zahra abukar2</v>
      </c>
      <c r="H79" s="413" t="str">
        <f t="shared" si="3"/>
        <v>zahra abukar</v>
      </c>
      <c r="I79" s="413" t="str">
        <f t="shared" si="4"/>
        <v>abukar zahra</v>
      </c>
    </row>
    <row r="80">
      <c r="A80" s="200" t="s">
        <v>333</v>
      </c>
      <c r="C80" s="410"/>
      <c r="D80" s="410" t="s">
        <v>512</v>
      </c>
      <c r="E80" s="411" t="s">
        <v>3041</v>
      </c>
      <c r="F80" s="413" t="str">
        <f t="shared" si="1"/>
        <v>antonio.centurion</v>
      </c>
      <c r="G80" s="413" t="str">
        <f t="shared" si="2"/>
        <v>antonio centurion</v>
      </c>
      <c r="H80" s="413" t="str">
        <f t="shared" si="3"/>
        <v>antonio centurion</v>
      </c>
      <c r="I80" s="413" t="str">
        <f t="shared" si="4"/>
        <v>centurion antonio</v>
      </c>
    </row>
    <row r="81">
      <c r="A81" s="415" t="s">
        <v>123</v>
      </c>
      <c r="C81" s="410"/>
      <c r="D81" s="410" t="s">
        <v>516</v>
      </c>
      <c r="E81" s="411" t="s">
        <v>3041</v>
      </c>
      <c r="F81" s="413" t="str">
        <f t="shared" si="1"/>
        <v>ayla.terry-mitchell</v>
      </c>
      <c r="G81" s="413" t="str">
        <f t="shared" si="2"/>
        <v>ayla terry-mitchell</v>
      </c>
      <c r="H81" s="413" t="str">
        <f t="shared" si="3"/>
        <v>ayla terry-mitchell</v>
      </c>
      <c r="I81" s="413" t="str">
        <f t="shared" si="4"/>
        <v>terry-mitchell ayla</v>
      </c>
    </row>
    <row r="82">
      <c r="A82" s="415" t="s">
        <v>64</v>
      </c>
      <c r="C82" s="410"/>
      <c r="D82" s="410" t="s">
        <v>522</v>
      </c>
      <c r="E82" s="411" t="s">
        <v>3041</v>
      </c>
      <c r="F82" s="413" t="str">
        <f t="shared" si="1"/>
        <v>eloise.holdship</v>
      </c>
      <c r="G82" s="413" t="str">
        <f t="shared" si="2"/>
        <v>eloise holdship</v>
      </c>
      <c r="H82" s="413" t="str">
        <f t="shared" si="3"/>
        <v>eloise holdship</v>
      </c>
      <c r="I82" s="413" t="str">
        <f t="shared" si="4"/>
        <v>holdship eloise</v>
      </c>
    </row>
    <row r="83">
      <c r="A83" s="200" t="s">
        <v>141</v>
      </c>
      <c r="C83" s="410"/>
      <c r="D83" s="410" t="s">
        <v>530</v>
      </c>
      <c r="E83" s="411" t="s">
        <v>3041</v>
      </c>
      <c r="F83" s="413" t="str">
        <f t="shared" si="1"/>
        <v>linda.santos-martinez</v>
      </c>
      <c r="G83" s="413" t="str">
        <f t="shared" si="2"/>
        <v>linda santos-martinez</v>
      </c>
      <c r="H83" s="413" t="str">
        <f t="shared" si="3"/>
        <v>linda santos-martinez</v>
      </c>
      <c r="I83" s="413" t="str">
        <f t="shared" si="4"/>
        <v>santos-martinez linda</v>
      </c>
    </row>
    <row r="84">
      <c r="A84" s="200" t="s">
        <v>141</v>
      </c>
      <c r="C84" s="410"/>
      <c r="D84" s="410" t="s">
        <v>536</v>
      </c>
      <c r="E84" s="411" t="s">
        <v>3041</v>
      </c>
      <c r="F84" s="413" t="str">
        <f t="shared" si="1"/>
        <v>carlos.benitez</v>
      </c>
      <c r="G84" s="413" t="str">
        <f t="shared" si="2"/>
        <v>carlos benitez</v>
      </c>
      <c r="H84" s="413" t="str">
        <f t="shared" si="3"/>
        <v>carlos benitez</v>
      </c>
      <c r="I84" s="413" t="str">
        <f t="shared" si="4"/>
        <v>benitez carlos</v>
      </c>
    </row>
    <row r="85">
      <c r="A85" s="200" t="s">
        <v>141</v>
      </c>
      <c r="C85" s="410"/>
      <c r="D85" s="410" t="s">
        <v>541</v>
      </c>
      <c r="E85" s="411" t="s">
        <v>3041</v>
      </c>
      <c r="F85" s="413" t="str">
        <f t="shared" si="1"/>
        <v>andrea.casey</v>
      </c>
      <c r="G85" s="413" t="str">
        <f t="shared" si="2"/>
        <v>andrea casey</v>
      </c>
      <c r="H85" s="413" t="str">
        <f t="shared" si="3"/>
        <v>andrea casey</v>
      </c>
      <c r="I85" s="413" t="str">
        <f t="shared" si="4"/>
        <v>casey andrea</v>
      </c>
    </row>
    <row r="86">
      <c r="A86" s="200" t="s">
        <v>37</v>
      </c>
      <c r="C86" s="410"/>
      <c r="D86" s="410" t="s">
        <v>545</v>
      </c>
      <c r="E86" s="411" t="s">
        <v>3041</v>
      </c>
      <c r="F86" s="413" t="str">
        <f t="shared" si="1"/>
        <v>christine.arrington</v>
      </c>
      <c r="G86" s="413" t="str">
        <f t="shared" si="2"/>
        <v>christine arrington</v>
      </c>
      <c r="H86" s="413" t="str">
        <f t="shared" si="3"/>
        <v>christine arrington</v>
      </c>
      <c r="I86" s="413" t="str">
        <f t="shared" si="4"/>
        <v>arrington christine</v>
      </c>
    </row>
    <row r="87">
      <c r="A87" s="415" t="s">
        <v>347</v>
      </c>
      <c r="C87" s="410"/>
      <c r="D87" s="410" t="s">
        <v>558</v>
      </c>
      <c r="E87" s="411" t="s">
        <v>3041</v>
      </c>
      <c r="F87" s="413" t="str">
        <f t="shared" si="1"/>
        <v>kelly.fitzpatrick</v>
      </c>
      <c r="G87" s="413" t="str">
        <f t="shared" si="2"/>
        <v>kelly fitzpatrick</v>
      </c>
      <c r="H87" s="413" t="str">
        <f t="shared" si="3"/>
        <v>kelly fitzpatrick</v>
      </c>
      <c r="I87" s="413" t="str">
        <f t="shared" si="4"/>
        <v>fitzpatrick kelly</v>
      </c>
    </row>
    <row r="88">
      <c r="A88" s="414" t="s">
        <v>350</v>
      </c>
      <c r="C88" s="410"/>
      <c r="D88" s="410" t="s">
        <v>569</v>
      </c>
      <c r="E88" s="411" t="s">
        <v>3041</v>
      </c>
      <c r="F88" s="413" t="str">
        <f t="shared" si="1"/>
        <v>miles.richmond</v>
      </c>
      <c r="G88" s="413" t="str">
        <f t="shared" si="2"/>
        <v>miles richmond</v>
      </c>
      <c r="H88" s="413" t="str">
        <f t="shared" si="3"/>
        <v>miles richmond</v>
      </c>
      <c r="I88" s="413" t="str">
        <f t="shared" si="4"/>
        <v>richmond miles</v>
      </c>
    </row>
    <row r="89">
      <c r="A89" s="200" t="s">
        <v>123</v>
      </c>
      <c r="C89" s="410"/>
      <c r="D89" s="410" t="s">
        <v>574</v>
      </c>
      <c r="E89" s="411" t="s">
        <v>3041</v>
      </c>
      <c r="F89" s="413" t="str">
        <f t="shared" si="1"/>
        <v>leticia.ochoa</v>
      </c>
      <c r="G89" s="413" t="str">
        <f t="shared" si="2"/>
        <v>leticia ochoa</v>
      </c>
      <c r="H89" s="413" t="str">
        <f t="shared" si="3"/>
        <v>leticia ochoa</v>
      </c>
      <c r="I89" s="413" t="str">
        <f t="shared" si="4"/>
        <v>ochoa leticia</v>
      </c>
    </row>
    <row r="90">
      <c r="A90" s="200" t="s">
        <v>153</v>
      </c>
      <c r="C90" s="410"/>
      <c r="D90" s="410" t="s">
        <v>2934</v>
      </c>
      <c r="E90" s="411" t="s">
        <v>3041</v>
      </c>
      <c r="F90" s="413" t="str">
        <f t="shared" si="1"/>
        <v>savannah.paz</v>
      </c>
      <c r="G90" s="413" t="str">
        <f t="shared" si="2"/>
        <v>savannah paz</v>
      </c>
      <c r="H90" s="413" t="str">
        <f t="shared" si="3"/>
        <v>savannah paz</v>
      </c>
      <c r="I90" s="413" t="str">
        <f t="shared" si="4"/>
        <v>paz savannah</v>
      </c>
    </row>
    <row r="91">
      <c r="A91" s="200" t="s">
        <v>357</v>
      </c>
      <c r="C91" s="410"/>
      <c r="D91" s="410" t="s">
        <v>586</v>
      </c>
      <c r="E91" s="411" t="s">
        <v>3041</v>
      </c>
      <c r="F91" s="413" t="str">
        <f t="shared" si="1"/>
        <v>kate.thomas</v>
      </c>
      <c r="G91" s="413" t="str">
        <f t="shared" si="2"/>
        <v>kate thomas</v>
      </c>
      <c r="H91" s="413" t="str">
        <f t="shared" si="3"/>
        <v>kate thomas</v>
      </c>
      <c r="I91" s="413" t="str">
        <f t="shared" si="4"/>
        <v>thomas kate</v>
      </c>
    </row>
    <row r="92">
      <c r="A92" s="200" t="s">
        <v>37</v>
      </c>
      <c r="C92" s="410"/>
      <c r="D92" s="410" t="s">
        <v>589</v>
      </c>
      <c r="E92" s="411" t="s">
        <v>3041</v>
      </c>
      <c r="F92" s="413" t="str">
        <f t="shared" si="1"/>
        <v>jonathan.hankins</v>
      </c>
      <c r="G92" s="413" t="str">
        <f t="shared" si="2"/>
        <v>jonathan hankins</v>
      </c>
      <c r="H92" s="413" t="str">
        <f t="shared" si="3"/>
        <v>jonathan hankins</v>
      </c>
      <c r="I92" s="413" t="str">
        <f t="shared" si="4"/>
        <v>hankins jonathan</v>
      </c>
    </row>
    <row r="93">
      <c r="A93" s="200" t="s">
        <v>98</v>
      </c>
      <c r="C93" s="410"/>
      <c r="D93" s="410" t="s">
        <v>595</v>
      </c>
      <c r="E93" s="411" t="s">
        <v>3041</v>
      </c>
      <c r="F93" s="413" t="str">
        <f t="shared" si="1"/>
        <v>scott.williams</v>
      </c>
      <c r="G93" s="413" t="str">
        <f t="shared" si="2"/>
        <v>scott williams</v>
      </c>
      <c r="H93" s="413" t="str">
        <f t="shared" si="3"/>
        <v>scott williams</v>
      </c>
      <c r="I93" s="413" t="str">
        <f t="shared" si="4"/>
        <v>williams scott</v>
      </c>
    </row>
    <row r="94">
      <c r="A94" s="200" t="s">
        <v>314</v>
      </c>
      <c r="C94" s="410"/>
      <c r="D94" s="410" t="s">
        <v>600</v>
      </c>
      <c r="E94" s="411" t="s">
        <v>3041</v>
      </c>
      <c r="F94" s="413" t="str">
        <f t="shared" si="1"/>
        <v>rocio.handal-rodriguez</v>
      </c>
      <c r="G94" s="413" t="str">
        <f t="shared" si="2"/>
        <v>rocio handal-rodriguez</v>
      </c>
      <c r="H94" s="413" t="str">
        <f t="shared" si="3"/>
        <v>rocio handal-rodriguez</v>
      </c>
      <c r="I94" s="413" t="str">
        <f t="shared" si="4"/>
        <v>handal-rodriguez rocio</v>
      </c>
    </row>
    <row r="95">
      <c r="A95" s="200" t="s">
        <v>314</v>
      </c>
      <c r="C95" s="410"/>
      <c r="D95" s="410" t="s">
        <v>604</v>
      </c>
      <c r="E95" s="411" t="s">
        <v>3041</v>
      </c>
      <c r="F95" s="413" t="str">
        <f t="shared" si="1"/>
        <v>megan.chapman</v>
      </c>
      <c r="G95" s="413" t="str">
        <f t="shared" si="2"/>
        <v>megan chapman</v>
      </c>
      <c r="H95" s="413" t="str">
        <f t="shared" si="3"/>
        <v>megan chapman</v>
      </c>
      <c r="I95" s="413" t="str">
        <f t="shared" si="4"/>
        <v>chapman megan</v>
      </c>
    </row>
    <row r="96">
      <c r="A96" s="414" t="s">
        <v>366</v>
      </c>
      <c r="C96" s="410"/>
      <c r="D96" s="410" t="s">
        <v>606</v>
      </c>
      <c r="E96" s="411" t="s">
        <v>3041</v>
      </c>
      <c r="F96" s="413" t="str">
        <f t="shared" si="1"/>
        <v>jason.wyman</v>
      </c>
      <c r="G96" s="413" t="str">
        <f t="shared" si="2"/>
        <v>jason wyman</v>
      </c>
      <c r="H96" s="413" t="str">
        <f t="shared" si="3"/>
        <v>jason wyman</v>
      </c>
      <c r="I96" s="413" t="str">
        <f t="shared" si="4"/>
        <v>wyman jason</v>
      </c>
    </row>
    <row r="97">
      <c r="A97" s="200" t="s">
        <v>368</v>
      </c>
      <c r="C97" s="410"/>
      <c r="D97" s="410" t="s">
        <v>616</v>
      </c>
      <c r="E97" s="411" t="s">
        <v>3041</v>
      </c>
      <c r="F97" s="413" t="str">
        <f t="shared" si="1"/>
        <v>lisa.bridgewater</v>
      </c>
      <c r="G97" s="413" t="str">
        <f t="shared" si="2"/>
        <v>lisa bridgewater</v>
      </c>
      <c r="H97" s="413" t="str">
        <f t="shared" si="3"/>
        <v>lisa bridgewater</v>
      </c>
      <c r="I97" s="413" t="str">
        <f t="shared" si="4"/>
        <v>bridgewater lisa</v>
      </c>
    </row>
    <row r="98">
      <c r="A98" s="414" t="s">
        <v>245</v>
      </c>
      <c r="C98" s="410"/>
      <c r="D98" s="410" t="s">
        <v>620</v>
      </c>
      <c r="E98" s="411" t="s">
        <v>3041</v>
      </c>
      <c r="F98" s="413" t="str">
        <f t="shared" si="1"/>
        <v>alan.splitter</v>
      </c>
      <c r="G98" s="413" t="str">
        <f t="shared" si="2"/>
        <v>alan splitter</v>
      </c>
      <c r="H98" s="413" t="str">
        <f t="shared" si="3"/>
        <v>alan splitter</v>
      </c>
      <c r="I98" s="413" t="str">
        <f t="shared" si="4"/>
        <v>splitter alan</v>
      </c>
    </row>
    <row r="99">
      <c r="A99" s="200" t="s">
        <v>325</v>
      </c>
      <c r="C99" s="410"/>
      <c r="D99" s="410" t="s">
        <v>624</v>
      </c>
      <c r="E99" s="411" t="s">
        <v>3041</v>
      </c>
      <c r="F99" s="413" t="str">
        <f t="shared" si="1"/>
        <v>kathy.mccarter</v>
      </c>
      <c r="G99" s="413" t="str">
        <f t="shared" si="2"/>
        <v>kathy mccarter</v>
      </c>
      <c r="H99" s="413" t="str">
        <f t="shared" si="3"/>
        <v>kathy mccarter</v>
      </c>
      <c r="I99" s="413" t="str">
        <f t="shared" si="4"/>
        <v>mccarter kathy</v>
      </c>
    </row>
    <row r="100">
      <c r="A100" s="414" t="s">
        <v>374</v>
      </c>
      <c r="C100" s="410"/>
      <c r="D100" s="410" t="s">
        <v>636</v>
      </c>
      <c r="E100" s="411" t="s">
        <v>3041</v>
      </c>
      <c r="F100" s="413" t="str">
        <f t="shared" si="1"/>
        <v>kathlyn.diaz</v>
      </c>
      <c r="G100" s="413" t="str">
        <f t="shared" si="2"/>
        <v>kathlyn diaz</v>
      </c>
      <c r="H100" s="413" t="str">
        <f t="shared" si="3"/>
        <v>kathlyn diaz</v>
      </c>
      <c r="I100" s="413" t="str">
        <f t="shared" si="4"/>
        <v>diaz kathlyn</v>
      </c>
    </row>
    <row r="101">
      <c r="A101" s="414" t="s">
        <v>377</v>
      </c>
      <c r="C101" s="410"/>
      <c r="D101" s="410" t="s">
        <v>639</v>
      </c>
      <c r="E101" s="411" t="s">
        <v>3041</v>
      </c>
      <c r="F101" s="413" t="str">
        <f t="shared" si="1"/>
        <v>cynthia.m.lambert</v>
      </c>
      <c r="G101" s="413" t="str">
        <f t="shared" si="2"/>
        <v>cynthia m lambert</v>
      </c>
      <c r="H101" s="413" t="str">
        <f t="shared" si="3"/>
        <v>cynthia m lambert</v>
      </c>
      <c r="I101" s="413" t="str">
        <f t="shared" si="4"/>
        <v>m lambert cynthia</v>
      </c>
    </row>
    <row r="102">
      <c r="A102" s="200" t="s">
        <v>385</v>
      </c>
      <c r="C102" s="410"/>
      <c r="D102" s="410" t="s">
        <v>653</v>
      </c>
      <c r="E102" s="411" t="s">
        <v>3041</v>
      </c>
      <c r="F102" s="413" t="str">
        <f t="shared" si="1"/>
        <v>shaneesta.sanfilippo</v>
      </c>
      <c r="G102" s="413" t="str">
        <f t="shared" si="2"/>
        <v>shaneesta sanfilippo</v>
      </c>
      <c r="H102" s="413" t="str">
        <f t="shared" si="3"/>
        <v>shaneesta sanfilippo</v>
      </c>
      <c r="I102" s="413" t="str">
        <f t="shared" si="4"/>
        <v>sanfilippo shaneesta</v>
      </c>
    </row>
    <row r="103">
      <c r="A103" s="418" t="s">
        <v>284</v>
      </c>
      <c r="C103" s="410"/>
      <c r="D103" s="410" t="s">
        <v>666</v>
      </c>
      <c r="E103" s="411" t="s">
        <v>3041</v>
      </c>
      <c r="F103" s="413" t="str">
        <f t="shared" si="1"/>
        <v>casey.kendall</v>
      </c>
      <c r="G103" s="413" t="str">
        <f t="shared" si="2"/>
        <v>casey kendall</v>
      </c>
      <c r="H103" s="413" t="str">
        <f t="shared" si="3"/>
        <v>casey kendall</v>
      </c>
      <c r="I103" s="413" t="str">
        <f t="shared" si="4"/>
        <v>kendall casey</v>
      </c>
    </row>
    <row r="104">
      <c r="A104" s="200" t="s">
        <v>160</v>
      </c>
      <c r="C104" s="410"/>
      <c r="D104" s="410" t="s">
        <v>673</v>
      </c>
      <c r="E104" s="411" t="s">
        <v>3041</v>
      </c>
      <c r="F104" s="413" t="str">
        <f t="shared" si="1"/>
        <v>nidal.jianni</v>
      </c>
      <c r="G104" s="413" t="str">
        <f t="shared" si="2"/>
        <v>nidal jianni</v>
      </c>
      <c r="H104" s="413" t="str">
        <f t="shared" si="3"/>
        <v>nidal jianni</v>
      </c>
      <c r="I104" s="413" t="str">
        <f t="shared" si="4"/>
        <v>jianni nidal</v>
      </c>
    </row>
    <row r="105">
      <c r="A105" s="200" t="s">
        <v>155</v>
      </c>
      <c r="C105" s="410"/>
      <c r="D105" s="410" t="s">
        <v>675</v>
      </c>
      <c r="E105" s="411" t="s">
        <v>3041</v>
      </c>
      <c r="F105" s="413" t="str">
        <f t="shared" si="1"/>
        <v>joy.wallace</v>
      </c>
      <c r="G105" s="413" t="str">
        <f t="shared" si="2"/>
        <v>joy wallace</v>
      </c>
      <c r="H105" s="413" t="str">
        <f t="shared" si="3"/>
        <v>joy wallace</v>
      </c>
      <c r="I105" s="413" t="str">
        <f t="shared" si="4"/>
        <v>wallace joy</v>
      </c>
    </row>
    <row r="106">
      <c r="A106" s="200" t="s">
        <v>396</v>
      </c>
      <c r="C106" s="410"/>
      <c r="D106" s="410" t="s">
        <v>678</v>
      </c>
      <c r="E106" s="411" t="s">
        <v>3041</v>
      </c>
      <c r="F106" s="413" t="str">
        <f t="shared" si="1"/>
        <v>jamiquan.rudd</v>
      </c>
      <c r="G106" s="413" t="str">
        <f t="shared" si="2"/>
        <v>jamiquan rudd</v>
      </c>
      <c r="H106" s="413" t="str">
        <f t="shared" si="3"/>
        <v>jamiquan rudd</v>
      </c>
      <c r="I106" s="413" t="str">
        <f t="shared" si="4"/>
        <v>rudd jamiquan</v>
      </c>
    </row>
    <row r="107">
      <c r="A107" s="414" t="s">
        <v>368</v>
      </c>
      <c r="C107" s="410"/>
      <c r="D107" s="410" t="s">
        <v>685</v>
      </c>
      <c r="E107" s="411" t="s">
        <v>3041</v>
      </c>
      <c r="F107" s="413" t="str">
        <f t="shared" si="1"/>
        <v>milo.venson</v>
      </c>
      <c r="G107" s="413" t="str">
        <f t="shared" si="2"/>
        <v>milo venson</v>
      </c>
      <c r="H107" s="413" t="str">
        <f t="shared" si="3"/>
        <v>milo venson</v>
      </c>
      <c r="I107" s="413" t="str">
        <f t="shared" si="4"/>
        <v>venson milo</v>
      </c>
    </row>
    <row r="108">
      <c r="A108" s="200" t="s">
        <v>188</v>
      </c>
      <c r="C108" s="410"/>
      <c r="D108" s="410" t="s">
        <v>694</v>
      </c>
      <c r="E108" s="411" t="s">
        <v>3041</v>
      </c>
      <c r="F108" s="413" t="str">
        <f t="shared" si="1"/>
        <v>alicia.palmer</v>
      </c>
      <c r="G108" s="413" t="str">
        <f t="shared" si="2"/>
        <v>alicia palmer</v>
      </c>
      <c r="H108" s="413" t="str">
        <f t="shared" si="3"/>
        <v>alicia palmer</v>
      </c>
      <c r="I108" s="413" t="str">
        <f t="shared" si="4"/>
        <v>palmer alicia</v>
      </c>
    </row>
    <row r="109">
      <c r="A109" s="200" t="s">
        <v>333</v>
      </c>
      <c r="C109" s="410"/>
      <c r="D109" s="410" t="s">
        <v>697</v>
      </c>
      <c r="E109" s="411" t="s">
        <v>3041</v>
      </c>
      <c r="F109" s="413" t="str">
        <f t="shared" si="1"/>
        <v>adolfo.jimenez</v>
      </c>
      <c r="G109" s="413" t="str">
        <f t="shared" si="2"/>
        <v>adolfo jimenez</v>
      </c>
      <c r="H109" s="413" t="str">
        <f t="shared" si="3"/>
        <v>adolfo jimenez</v>
      </c>
      <c r="I109" s="413" t="str">
        <f t="shared" si="4"/>
        <v>jimenez adolfo</v>
      </c>
    </row>
    <row r="110">
      <c r="A110" s="200" t="s">
        <v>37</v>
      </c>
      <c r="C110" s="410"/>
      <c r="D110" s="410" t="s">
        <v>699</v>
      </c>
      <c r="E110" s="411" t="s">
        <v>3041</v>
      </c>
      <c r="F110" s="413" t="str">
        <f t="shared" si="1"/>
        <v>melvin.l.hawkins</v>
      </c>
      <c r="G110" s="413" t="str">
        <f t="shared" si="2"/>
        <v>melvin l hawkins</v>
      </c>
      <c r="H110" s="413" t="str">
        <f t="shared" si="3"/>
        <v>melvin l hawkins</v>
      </c>
      <c r="I110" s="413" t="str">
        <f t="shared" si="4"/>
        <v>l hawkins melvin</v>
      </c>
    </row>
    <row r="111">
      <c r="A111" s="200" t="s">
        <v>407</v>
      </c>
      <c r="C111" s="410"/>
      <c r="D111" s="410" t="s">
        <v>703</v>
      </c>
      <c r="E111" s="411" t="s">
        <v>3041</v>
      </c>
      <c r="F111" s="413" t="str">
        <f t="shared" si="1"/>
        <v>john.k.anderson</v>
      </c>
      <c r="G111" s="413" t="str">
        <f t="shared" si="2"/>
        <v>john k anderson</v>
      </c>
      <c r="H111" s="413" t="str">
        <f t="shared" si="3"/>
        <v>john k anderson</v>
      </c>
      <c r="I111" s="413" t="str">
        <f t="shared" si="4"/>
        <v>k anderson john</v>
      </c>
    </row>
    <row r="112">
      <c r="A112" s="414" t="s">
        <v>411</v>
      </c>
      <c r="C112" s="410"/>
      <c r="D112" s="410" t="s">
        <v>706</v>
      </c>
      <c r="E112" s="411" t="s">
        <v>3041</v>
      </c>
      <c r="F112" s="413" t="str">
        <f t="shared" si="1"/>
        <v>patricia.ford</v>
      </c>
      <c r="G112" s="413" t="str">
        <f t="shared" si="2"/>
        <v>patricia ford</v>
      </c>
      <c r="H112" s="413" t="str">
        <f t="shared" si="3"/>
        <v>patricia ford</v>
      </c>
      <c r="I112" s="413" t="str">
        <f t="shared" si="4"/>
        <v>ford patricia</v>
      </c>
    </row>
    <row r="113">
      <c r="A113" s="200" t="s">
        <v>414</v>
      </c>
      <c r="C113" s="410"/>
      <c r="D113" s="410" t="s">
        <v>707</v>
      </c>
      <c r="E113" s="411" t="s">
        <v>3041</v>
      </c>
      <c r="F113" s="413" t="str">
        <f t="shared" si="1"/>
        <v>sarah.stanzione</v>
      </c>
      <c r="G113" s="413" t="str">
        <f t="shared" si="2"/>
        <v>sarah stanzione</v>
      </c>
      <c r="H113" s="413" t="str">
        <f t="shared" si="3"/>
        <v>sarah stanzione</v>
      </c>
      <c r="I113" s="413" t="str">
        <f t="shared" si="4"/>
        <v>stanzione sarah</v>
      </c>
    </row>
    <row r="114">
      <c r="A114" s="200" t="s">
        <v>416</v>
      </c>
      <c r="C114" s="410"/>
      <c r="D114" s="410" t="s">
        <v>710</v>
      </c>
      <c r="E114" s="411" t="s">
        <v>3041</v>
      </c>
      <c r="F114" s="413" t="str">
        <f t="shared" si="1"/>
        <v>meggan.mcevoy</v>
      </c>
      <c r="G114" s="413" t="str">
        <f t="shared" si="2"/>
        <v>meggan mcevoy</v>
      </c>
      <c r="H114" s="413" t="str">
        <f t="shared" si="3"/>
        <v>meggan mcevoy</v>
      </c>
      <c r="I114" s="413" t="str">
        <f t="shared" si="4"/>
        <v>mcevoy meggan</v>
      </c>
    </row>
    <row r="115">
      <c r="A115" s="200" t="s">
        <v>148</v>
      </c>
      <c r="C115" s="410"/>
      <c r="D115" s="410" t="s">
        <v>715</v>
      </c>
      <c r="E115" s="411" t="s">
        <v>3041</v>
      </c>
      <c r="F115" s="413" t="str">
        <f t="shared" si="1"/>
        <v>caroline.radulski</v>
      </c>
      <c r="G115" s="413" t="str">
        <f t="shared" si="2"/>
        <v>caroline radulski</v>
      </c>
      <c r="H115" s="413" t="str">
        <f t="shared" si="3"/>
        <v>caroline radulski</v>
      </c>
      <c r="I115" s="413" t="str">
        <f t="shared" si="4"/>
        <v>radulski caroline</v>
      </c>
    </row>
    <row r="116">
      <c r="A116" s="200" t="s">
        <v>416</v>
      </c>
      <c r="C116" s="410"/>
      <c r="D116" s="410" t="s">
        <v>720</v>
      </c>
      <c r="E116" s="411" t="s">
        <v>3041</v>
      </c>
      <c r="F116" s="413" t="str">
        <f t="shared" si="1"/>
        <v>elizabeth.sanders</v>
      </c>
      <c r="G116" s="413" t="str">
        <f t="shared" si="2"/>
        <v>elizabeth sanders</v>
      </c>
      <c r="H116" s="413" t="str">
        <f t="shared" si="3"/>
        <v>elizabeth sanders</v>
      </c>
      <c r="I116" s="413" t="str">
        <f t="shared" si="4"/>
        <v>sanders elizabeth</v>
      </c>
    </row>
    <row r="117">
      <c r="A117" s="200" t="s">
        <v>424</v>
      </c>
      <c r="C117" s="410"/>
      <c r="D117" s="410" t="s">
        <v>728</v>
      </c>
      <c r="E117" s="411" t="s">
        <v>3041</v>
      </c>
      <c r="F117" s="413" t="str">
        <f t="shared" si="1"/>
        <v>steph.spann</v>
      </c>
      <c r="G117" s="413" t="str">
        <f t="shared" si="2"/>
        <v>steph spann</v>
      </c>
      <c r="H117" s="413" t="str">
        <f t="shared" si="3"/>
        <v>steph spann</v>
      </c>
      <c r="I117" s="413" t="str">
        <f t="shared" si="4"/>
        <v>spann steph</v>
      </c>
    </row>
    <row r="118">
      <c r="A118" s="200" t="s">
        <v>431</v>
      </c>
      <c r="C118" s="410"/>
      <c r="D118" s="410" t="s">
        <v>737</v>
      </c>
      <c r="E118" s="411" t="s">
        <v>3041</v>
      </c>
      <c r="F118" s="413" t="str">
        <f t="shared" si="1"/>
        <v>darline.hill</v>
      </c>
      <c r="G118" s="413" t="str">
        <f t="shared" si="2"/>
        <v>darline hill</v>
      </c>
      <c r="H118" s="413" t="str">
        <f t="shared" si="3"/>
        <v>darline hill</v>
      </c>
      <c r="I118" s="413" t="str">
        <f t="shared" si="4"/>
        <v>hill darline</v>
      </c>
    </row>
    <row r="119">
      <c r="A119" s="415" t="s">
        <v>94</v>
      </c>
      <c r="C119" s="410"/>
      <c r="D119" s="410" t="s">
        <v>741</v>
      </c>
      <c r="E119" s="411" t="s">
        <v>3041</v>
      </c>
      <c r="F119" s="413" t="str">
        <f t="shared" si="1"/>
        <v>lawrence.caplan</v>
      </c>
      <c r="G119" s="413" t="str">
        <f t="shared" si="2"/>
        <v>lawrence caplan</v>
      </c>
      <c r="H119" s="413" t="str">
        <f t="shared" si="3"/>
        <v>lawrence caplan</v>
      </c>
      <c r="I119" s="413" t="str">
        <f t="shared" si="4"/>
        <v>caplan lawrence</v>
      </c>
    </row>
    <row r="120">
      <c r="A120" s="200" t="s">
        <v>449</v>
      </c>
      <c r="C120" s="410"/>
      <c r="D120" s="410" t="s">
        <v>771</v>
      </c>
      <c r="E120" s="411" t="s">
        <v>3041</v>
      </c>
      <c r="F120" s="413" t="str">
        <f t="shared" si="1"/>
        <v>lynn.sussman</v>
      </c>
      <c r="G120" s="413" t="str">
        <f t="shared" si="2"/>
        <v>lynn sussman</v>
      </c>
      <c r="H120" s="413" t="str">
        <f t="shared" si="3"/>
        <v>lynn sussman</v>
      </c>
      <c r="I120" s="413" t="str">
        <f t="shared" si="4"/>
        <v>sussman lynn</v>
      </c>
    </row>
    <row r="121">
      <c r="A121" s="200" t="s">
        <v>416</v>
      </c>
      <c r="C121" s="410"/>
      <c r="D121" s="410" t="s">
        <v>775</v>
      </c>
      <c r="E121" s="411" t="s">
        <v>3041</v>
      </c>
      <c r="F121" s="413" t="str">
        <f t="shared" si="1"/>
        <v>kimberly.frazier</v>
      </c>
      <c r="G121" s="413" t="str">
        <f t="shared" si="2"/>
        <v>kimberly frazier</v>
      </c>
      <c r="H121" s="413" t="str">
        <f t="shared" si="3"/>
        <v>kimberly frazier</v>
      </c>
      <c r="I121" s="413" t="str">
        <f t="shared" si="4"/>
        <v>frazier kimberly</v>
      </c>
    </row>
    <row r="122">
      <c r="A122" s="200" t="s">
        <v>459</v>
      </c>
      <c r="C122" s="410"/>
      <c r="D122" s="410" t="s">
        <v>785</v>
      </c>
      <c r="E122" s="411" t="s">
        <v>3041</v>
      </c>
      <c r="F122" s="413" t="str">
        <f t="shared" si="1"/>
        <v>kate.hammond</v>
      </c>
      <c r="G122" s="413" t="str">
        <f t="shared" si="2"/>
        <v>kate hammond</v>
      </c>
      <c r="H122" s="413" t="str">
        <f t="shared" si="3"/>
        <v>kate hammond</v>
      </c>
      <c r="I122" s="413" t="str">
        <f t="shared" si="4"/>
        <v>hammond kate</v>
      </c>
    </row>
    <row r="123">
      <c r="A123" s="200" t="s">
        <v>461</v>
      </c>
      <c r="C123" s="410"/>
      <c r="D123" s="410" t="s">
        <v>789</v>
      </c>
      <c r="E123" s="411" t="s">
        <v>3041</v>
      </c>
      <c r="F123" s="413" t="str">
        <f t="shared" si="1"/>
        <v>celia.throop</v>
      </c>
      <c r="G123" s="413" t="str">
        <f t="shared" si="2"/>
        <v>celia throop</v>
      </c>
      <c r="H123" s="413" t="str">
        <f t="shared" si="3"/>
        <v>celia throop</v>
      </c>
      <c r="I123" s="413" t="str">
        <f t="shared" si="4"/>
        <v>throop celia</v>
      </c>
    </row>
    <row r="124">
      <c r="A124" s="200" t="s">
        <v>416</v>
      </c>
      <c r="C124" s="410"/>
      <c r="D124" s="410" t="s">
        <v>794</v>
      </c>
      <c r="E124" s="411" t="s">
        <v>3041</v>
      </c>
      <c r="F124" s="413" t="str">
        <f t="shared" si="1"/>
        <v>mark.w.summit</v>
      </c>
      <c r="G124" s="413" t="str">
        <f t="shared" si="2"/>
        <v>mark w summit</v>
      </c>
      <c r="H124" s="413" t="str">
        <f t="shared" si="3"/>
        <v>mark w summit</v>
      </c>
      <c r="I124" s="413" t="str">
        <f t="shared" si="4"/>
        <v>w summit mark</v>
      </c>
    </row>
    <row r="125">
      <c r="A125" s="200" t="s">
        <v>37</v>
      </c>
      <c r="C125" s="410"/>
      <c r="D125" s="410" t="s">
        <v>836</v>
      </c>
      <c r="E125" s="411" t="s">
        <v>3041</v>
      </c>
      <c r="F125" s="413" t="str">
        <f t="shared" si="1"/>
        <v>heather.mirasol</v>
      </c>
      <c r="G125" s="413" t="str">
        <f t="shared" si="2"/>
        <v>heather mirasol</v>
      </c>
      <c r="H125" s="413" t="str">
        <f t="shared" si="3"/>
        <v>heather mirasol</v>
      </c>
      <c r="I125" s="413" t="str">
        <f t="shared" si="4"/>
        <v>mirasol heather</v>
      </c>
    </row>
    <row r="126">
      <c r="A126" s="200" t="s">
        <v>37</v>
      </c>
      <c r="C126" s="410"/>
      <c r="D126" s="410" t="s">
        <v>780</v>
      </c>
      <c r="E126" s="411" t="s">
        <v>3041</v>
      </c>
      <c r="F126" s="413" t="str">
        <f t="shared" si="1"/>
        <v>hitomi.izawa</v>
      </c>
      <c r="G126" s="413" t="str">
        <f t="shared" si="2"/>
        <v>hitomi izawa</v>
      </c>
      <c r="H126" s="413" t="str">
        <f t="shared" si="3"/>
        <v>hitomi izawa</v>
      </c>
      <c r="I126" s="413" t="str">
        <f t="shared" si="4"/>
        <v>izawa hitomi</v>
      </c>
    </row>
    <row r="127">
      <c r="A127" s="200" t="s">
        <v>85</v>
      </c>
      <c r="C127" s="410"/>
      <c r="D127" s="410" t="s">
        <v>868</v>
      </c>
      <c r="E127" s="411" t="s">
        <v>3041</v>
      </c>
      <c r="F127" s="413" t="str">
        <f t="shared" si="1"/>
        <v>crystal.gallaher</v>
      </c>
      <c r="G127" s="413" t="str">
        <f t="shared" si="2"/>
        <v>crystal gallaher</v>
      </c>
      <c r="H127" s="413" t="str">
        <f t="shared" si="3"/>
        <v>crystal gallaher</v>
      </c>
      <c r="I127" s="413" t="str">
        <f t="shared" si="4"/>
        <v>gallaher crystal</v>
      </c>
    </row>
    <row r="128">
      <c r="A128" s="200" t="s">
        <v>85</v>
      </c>
      <c r="C128" s="410"/>
      <c r="D128" s="410" t="s">
        <v>872</v>
      </c>
      <c r="E128" s="411" t="s">
        <v>3041</v>
      </c>
      <c r="F128" s="413" t="str">
        <f t="shared" si="1"/>
        <v>sahaya.myles</v>
      </c>
      <c r="G128" s="413" t="str">
        <f t="shared" si="2"/>
        <v>sahaya myles</v>
      </c>
      <c r="H128" s="413" t="str">
        <f t="shared" si="3"/>
        <v>sahaya myles</v>
      </c>
      <c r="I128" s="413" t="str">
        <f t="shared" si="4"/>
        <v>myles sahaya</v>
      </c>
    </row>
    <row r="129">
      <c r="A129" s="200" t="s">
        <v>85</v>
      </c>
      <c r="C129" s="410"/>
      <c r="D129" s="410" t="s">
        <v>876</v>
      </c>
      <c r="E129" s="411" t="s">
        <v>3041</v>
      </c>
      <c r="F129" s="413" t="str">
        <f t="shared" si="1"/>
        <v>deloris.griggs</v>
      </c>
      <c r="G129" s="413" t="str">
        <f t="shared" si="2"/>
        <v>deloris griggs</v>
      </c>
      <c r="H129" s="413" t="str">
        <f t="shared" si="3"/>
        <v>deloris griggs</v>
      </c>
      <c r="I129" s="413" t="str">
        <f t="shared" si="4"/>
        <v>griggs deloris</v>
      </c>
    </row>
    <row r="130">
      <c r="A130" s="200" t="s">
        <v>490</v>
      </c>
      <c r="C130" s="410"/>
      <c r="D130" s="410" t="s">
        <v>897</v>
      </c>
      <c r="E130" s="411" t="s">
        <v>3041</v>
      </c>
      <c r="F130" s="413" t="str">
        <f t="shared" si="1"/>
        <v>kelly.burgess</v>
      </c>
      <c r="G130" s="413" t="str">
        <f t="shared" si="2"/>
        <v>kelly burgess</v>
      </c>
      <c r="H130" s="413" t="str">
        <f t="shared" si="3"/>
        <v>kelly burgess</v>
      </c>
      <c r="I130" s="413" t="str">
        <f t="shared" si="4"/>
        <v>burgess kelly</v>
      </c>
    </row>
    <row r="131">
      <c r="A131" s="200" t="s">
        <v>494</v>
      </c>
      <c r="C131" s="410"/>
      <c r="D131" s="410" t="s">
        <v>912</v>
      </c>
      <c r="E131" s="411" t="s">
        <v>3041</v>
      </c>
      <c r="F131" s="413" t="str">
        <f t="shared" si="1"/>
        <v>kam.taylor</v>
      </c>
      <c r="G131" s="413" t="str">
        <f t="shared" si="2"/>
        <v>kam taylor</v>
      </c>
      <c r="H131" s="413" t="str">
        <f t="shared" si="3"/>
        <v>kam taylor</v>
      </c>
      <c r="I131" s="413" t="str">
        <f t="shared" si="4"/>
        <v>taylor kam</v>
      </c>
    </row>
    <row r="132">
      <c r="A132" s="200" t="s">
        <v>85</v>
      </c>
      <c r="C132" s="410"/>
      <c r="D132" s="410" t="s">
        <v>925</v>
      </c>
      <c r="E132" s="411" t="s">
        <v>3041</v>
      </c>
      <c r="F132" s="413" t="str">
        <f t="shared" si="1"/>
        <v>trina.connolly-fairchild</v>
      </c>
      <c r="G132" s="413" t="str">
        <f t="shared" si="2"/>
        <v>trina connolly-fairchild</v>
      </c>
      <c r="H132" s="413" t="str">
        <f t="shared" si="3"/>
        <v>trina connolly-fairchild</v>
      </c>
      <c r="I132" s="413" t="str">
        <f t="shared" si="4"/>
        <v>connolly-fairchild trina</v>
      </c>
    </row>
    <row r="133">
      <c r="A133" s="200" t="s">
        <v>500</v>
      </c>
      <c r="C133" s="410"/>
      <c r="D133" s="410" t="s">
        <v>938</v>
      </c>
      <c r="E133" s="411" t="s">
        <v>3041</v>
      </c>
      <c r="F133" s="413" t="str">
        <f t="shared" si="1"/>
        <v>ellene.smith</v>
      </c>
      <c r="G133" s="413" t="str">
        <f t="shared" si="2"/>
        <v>ellene smith</v>
      </c>
      <c r="H133" s="413" t="str">
        <f t="shared" si="3"/>
        <v>ellene smith</v>
      </c>
      <c r="I133" s="413" t="str">
        <f t="shared" si="4"/>
        <v>smith ellene</v>
      </c>
    </row>
    <row r="134">
      <c r="A134" s="200" t="s">
        <v>272</v>
      </c>
      <c r="C134" s="410"/>
      <c r="D134" s="410" t="s">
        <v>980</v>
      </c>
      <c r="E134" s="411" t="s">
        <v>3041</v>
      </c>
      <c r="F134" s="413" t="str">
        <f t="shared" si="1"/>
        <v>bobbie.simmons</v>
      </c>
      <c r="G134" s="413" t="str">
        <f t="shared" si="2"/>
        <v>bobbie simmons</v>
      </c>
      <c r="H134" s="413" t="str">
        <f t="shared" si="3"/>
        <v>bobbie simmons</v>
      </c>
      <c r="I134" s="413" t="str">
        <f t="shared" si="4"/>
        <v>simmons bobbie</v>
      </c>
    </row>
    <row r="135">
      <c r="A135" s="200" t="s">
        <v>522</v>
      </c>
      <c r="C135" s="410"/>
      <c r="D135" s="410" t="s">
        <v>986</v>
      </c>
      <c r="E135" s="411" t="s">
        <v>3041</v>
      </c>
      <c r="F135" s="413" t="str">
        <f t="shared" si="1"/>
        <v>lizzy.culbertson</v>
      </c>
      <c r="G135" s="413" t="str">
        <f t="shared" si="2"/>
        <v>lizzy culbertson</v>
      </c>
      <c r="H135" s="413" t="str">
        <f t="shared" si="3"/>
        <v>lizzy culbertson</v>
      </c>
      <c r="I135" s="413" t="str">
        <f t="shared" si="4"/>
        <v>culbertson lizzy</v>
      </c>
    </row>
    <row r="136">
      <c r="A136" s="200" t="s">
        <v>108</v>
      </c>
      <c r="C136" s="410"/>
      <c r="D136" s="410" t="s">
        <v>1000</v>
      </c>
      <c r="E136" s="411" t="s">
        <v>3041</v>
      </c>
      <c r="F136" s="413" t="str">
        <f t="shared" si="1"/>
        <v>jonathan.ramirez</v>
      </c>
      <c r="G136" s="413" t="str">
        <f t="shared" si="2"/>
        <v>jonathan ramirez</v>
      </c>
      <c r="H136" s="413" t="str">
        <f t="shared" si="3"/>
        <v>jonathan ramirez</v>
      </c>
      <c r="I136" s="413" t="str">
        <f t="shared" si="4"/>
        <v>ramirez jonathan</v>
      </c>
    </row>
    <row r="137">
      <c r="A137" s="420" t="s">
        <v>88</v>
      </c>
      <c r="C137" s="410"/>
      <c r="D137" s="410" t="s">
        <v>1025</v>
      </c>
      <c r="E137" s="411" t="s">
        <v>3041</v>
      </c>
      <c r="F137" s="413" t="str">
        <f t="shared" si="1"/>
        <v>natalie.amar</v>
      </c>
      <c r="G137" s="413" t="str">
        <f t="shared" si="2"/>
        <v>natalie amar</v>
      </c>
      <c r="H137" s="413" t="str">
        <f t="shared" si="3"/>
        <v>natalie amar</v>
      </c>
      <c r="I137" s="413" t="str">
        <f t="shared" si="4"/>
        <v>amar natalie</v>
      </c>
    </row>
    <row r="138">
      <c r="A138" s="200" t="s">
        <v>123</v>
      </c>
      <c r="C138" s="410"/>
      <c r="D138" s="410" t="s">
        <v>1041</v>
      </c>
      <c r="E138" s="411" t="s">
        <v>3041</v>
      </c>
      <c r="F138" s="413" t="str">
        <f t="shared" si="1"/>
        <v>leigh.hedrick</v>
      </c>
      <c r="G138" s="413" t="str">
        <f t="shared" si="2"/>
        <v>leigh hedrick</v>
      </c>
      <c r="H138" s="413" t="str">
        <f t="shared" si="3"/>
        <v>leigh hedrick</v>
      </c>
      <c r="I138" s="413" t="str">
        <f t="shared" si="4"/>
        <v>hedrick leigh</v>
      </c>
    </row>
    <row r="139">
      <c r="A139" s="200" t="s">
        <v>368</v>
      </c>
      <c r="C139" s="410"/>
      <c r="D139" s="410" t="s">
        <v>1045</v>
      </c>
      <c r="E139" s="411" t="s">
        <v>3041</v>
      </c>
      <c r="F139" s="413" t="str">
        <f t="shared" si="1"/>
        <v>rose-yvenie.alexandre</v>
      </c>
      <c r="G139" s="413" t="str">
        <f t="shared" si="2"/>
        <v>rose-yvenie alexandre</v>
      </c>
      <c r="H139" s="413" t="str">
        <f t="shared" si="3"/>
        <v>rose-yvenie alexandre</v>
      </c>
      <c r="I139" s="413" t="str">
        <f t="shared" si="4"/>
        <v>alexandre rose-yvenie</v>
      </c>
    </row>
    <row r="140">
      <c r="A140" s="420" t="s">
        <v>536</v>
      </c>
      <c r="C140" s="410"/>
      <c r="D140" s="410" t="s">
        <v>1072</v>
      </c>
      <c r="E140" s="411" t="s">
        <v>3041</v>
      </c>
      <c r="F140" s="413" t="str">
        <f t="shared" si="1"/>
        <v>jordyn.pasiak</v>
      </c>
      <c r="G140" s="413" t="str">
        <f t="shared" si="2"/>
        <v>jordyn pasiak</v>
      </c>
      <c r="H140" s="413" t="str">
        <f t="shared" si="3"/>
        <v>jordyn pasiak</v>
      </c>
      <c r="I140" s="413" t="str">
        <f t="shared" si="4"/>
        <v>pasiak jordyn</v>
      </c>
    </row>
    <row r="141">
      <c r="A141" s="200" t="s">
        <v>541</v>
      </c>
      <c r="C141" s="410"/>
      <c r="D141" s="410" t="s">
        <v>1060</v>
      </c>
      <c r="E141" s="411" t="s">
        <v>3041</v>
      </c>
      <c r="F141" s="413" t="str">
        <f t="shared" si="1"/>
        <v>rachael.jackson</v>
      </c>
      <c r="G141" s="413" t="str">
        <f t="shared" si="2"/>
        <v>rachael jackson</v>
      </c>
      <c r="H141" s="413" t="str">
        <f t="shared" si="3"/>
        <v>rachael jackson</v>
      </c>
      <c r="I141" s="413" t="str">
        <f t="shared" si="4"/>
        <v>jackson rachael</v>
      </c>
    </row>
    <row r="142">
      <c r="A142" s="200" t="s">
        <v>545</v>
      </c>
      <c r="C142" s="410"/>
      <c r="D142" s="410" t="s">
        <v>1103</v>
      </c>
      <c r="E142" s="411" t="s">
        <v>3041</v>
      </c>
      <c r="F142" s="413" t="str">
        <f t="shared" si="1"/>
        <v>jenny.tsai</v>
      </c>
      <c r="G142" s="413" t="str">
        <f t="shared" si="2"/>
        <v>jenny tsai</v>
      </c>
      <c r="H142" s="413" t="str">
        <f t="shared" si="3"/>
        <v>jenny tsai</v>
      </c>
      <c r="I142" s="413" t="str">
        <f t="shared" si="4"/>
        <v>tsai jenny</v>
      </c>
    </row>
    <row r="143">
      <c r="A143" s="200" t="s">
        <v>314</v>
      </c>
      <c r="C143" s="410"/>
      <c r="D143" s="410" t="s">
        <v>1106</v>
      </c>
      <c r="E143" s="411" t="s">
        <v>3041</v>
      </c>
      <c r="F143" s="413" t="str">
        <f t="shared" si="1"/>
        <v>areatae.mcghee</v>
      </c>
      <c r="G143" s="413" t="str">
        <f t="shared" si="2"/>
        <v>areatae mcghee</v>
      </c>
      <c r="H143" s="413" t="str">
        <f t="shared" si="3"/>
        <v>areatae mcghee</v>
      </c>
      <c r="I143" s="413" t="str">
        <f t="shared" si="4"/>
        <v>mcghee areatae</v>
      </c>
    </row>
    <row r="144">
      <c r="A144" s="200" t="s">
        <v>314</v>
      </c>
      <c r="C144" s="410"/>
      <c r="D144" s="410" t="s">
        <v>1213</v>
      </c>
      <c r="E144" s="411" t="s">
        <v>3041</v>
      </c>
      <c r="F144" s="413" t="str">
        <f t="shared" si="1"/>
        <v>julia.brown</v>
      </c>
      <c r="G144" s="413" t="str">
        <f t="shared" si="2"/>
        <v>julia brown</v>
      </c>
      <c r="H144" s="413" t="str">
        <f t="shared" si="3"/>
        <v>julia brown</v>
      </c>
      <c r="I144" s="413" t="str">
        <f t="shared" si="4"/>
        <v>brown julia</v>
      </c>
    </row>
    <row r="145">
      <c r="A145" s="200" t="s">
        <v>188</v>
      </c>
      <c r="C145" s="410"/>
      <c r="D145" s="410" t="s">
        <v>1224</v>
      </c>
      <c r="E145" s="411" t="s">
        <v>3041</v>
      </c>
      <c r="F145" s="413" t="str">
        <f t="shared" si="1"/>
        <v>barry.taylor</v>
      </c>
      <c r="G145" s="413" t="str">
        <f t="shared" si="2"/>
        <v>barry taylor</v>
      </c>
      <c r="H145" s="413" t="str">
        <f t="shared" si="3"/>
        <v>barry taylor</v>
      </c>
      <c r="I145" s="413" t="str">
        <f t="shared" si="4"/>
        <v>taylor barry</v>
      </c>
    </row>
    <row r="146">
      <c r="A146" s="200" t="s">
        <v>479</v>
      </c>
      <c r="C146" s="410"/>
      <c r="D146" s="410" t="s">
        <v>1242</v>
      </c>
      <c r="E146" s="411" t="s">
        <v>3041</v>
      </c>
      <c r="F146" s="413" t="str">
        <f t="shared" si="1"/>
        <v>carla.canseco-maca</v>
      </c>
      <c r="G146" s="413" t="str">
        <f t="shared" si="2"/>
        <v>carla canseco-maca</v>
      </c>
      <c r="H146" s="413" t="str">
        <f t="shared" si="3"/>
        <v>carla canseco-maca</v>
      </c>
      <c r="I146" s="413" t="str">
        <f t="shared" si="4"/>
        <v>canseco-maca carla</v>
      </c>
    </row>
    <row r="147">
      <c r="A147" s="200" t="s">
        <v>558</v>
      </c>
      <c r="C147" s="410"/>
      <c r="D147" s="410" t="s">
        <v>1253</v>
      </c>
      <c r="E147" s="411" t="s">
        <v>3041</v>
      </c>
      <c r="F147" s="413" t="str">
        <f t="shared" si="1"/>
        <v>jay.auslander</v>
      </c>
      <c r="G147" s="413" t="str">
        <f t="shared" si="2"/>
        <v>jay auslander</v>
      </c>
      <c r="H147" s="413" t="str">
        <f t="shared" si="3"/>
        <v>jay auslander</v>
      </c>
      <c r="I147" s="413" t="str">
        <f t="shared" si="4"/>
        <v>auslander jay</v>
      </c>
    </row>
    <row r="148">
      <c r="A148" s="200" t="s">
        <v>561</v>
      </c>
      <c r="C148" s="410"/>
      <c r="D148" s="410" t="s">
        <v>1267</v>
      </c>
      <c r="E148" s="411" t="s">
        <v>3041</v>
      </c>
      <c r="F148" s="413" t="str">
        <f t="shared" si="1"/>
        <v>melissa.brabham</v>
      </c>
      <c r="G148" s="413" t="str">
        <f t="shared" si="2"/>
        <v>melissa brabham</v>
      </c>
      <c r="H148" s="413" t="str">
        <f t="shared" si="3"/>
        <v>melissa brabham</v>
      </c>
      <c r="I148" s="413" t="str">
        <f t="shared" si="4"/>
        <v>brabham melissa</v>
      </c>
    </row>
    <row r="149">
      <c r="A149" s="200" t="s">
        <v>541</v>
      </c>
      <c r="C149" s="410"/>
      <c r="D149" s="410" t="s">
        <v>1280</v>
      </c>
      <c r="E149" s="411" t="s">
        <v>3041</v>
      </c>
      <c r="F149" s="413" t="str">
        <f t="shared" si="1"/>
        <v>lauren.riddle</v>
      </c>
      <c r="G149" s="413" t="str">
        <f t="shared" si="2"/>
        <v>lauren riddle</v>
      </c>
      <c r="H149" s="413" t="str">
        <f t="shared" si="3"/>
        <v>lauren riddle</v>
      </c>
      <c r="I149" s="413" t="str">
        <f t="shared" si="4"/>
        <v>riddle lauren</v>
      </c>
    </row>
    <row r="150">
      <c r="A150" s="200" t="s">
        <v>251</v>
      </c>
      <c r="C150" s="410"/>
      <c r="D150" s="410" t="s">
        <v>1284</v>
      </c>
      <c r="E150" s="411" t="s">
        <v>3041</v>
      </c>
      <c r="F150" s="413" t="str">
        <f t="shared" si="1"/>
        <v>jennifer.maney</v>
      </c>
      <c r="G150" s="413" t="str">
        <f t="shared" si="2"/>
        <v>jennifer maney</v>
      </c>
      <c r="H150" s="413" t="str">
        <f t="shared" si="3"/>
        <v>jennifer maney</v>
      </c>
      <c r="I150" s="413" t="str">
        <f t="shared" si="4"/>
        <v>maney jennifer</v>
      </c>
    </row>
    <row r="151">
      <c r="A151" s="200" t="s">
        <v>111</v>
      </c>
      <c r="C151" s="410"/>
      <c r="D151" s="410" t="s">
        <v>1306</v>
      </c>
      <c r="E151" s="411" t="s">
        <v>3041</v>
      </c>
      <c r="F151" s="413" t="str">
        <f t="shared" si="1"/>
        <v>jesus.navarro.meza</v>
      </c>
      <c r="G151" s="413" t="str">
        <f t="shared" si="2"/>
        <v>jesus navarro meza</v>
      </c>
      <c r="H151" s="413" t="str">
        <f t="shared" si="3"/>
        <v>jesus navarro meza</v>
      </c>
      <c r="I151" s="413" t="str">
        <f t="shared" si="4"/>
        <v>navarro meza jesus</v>
      </c>
    </row>
    <row r="152">
      <c r="A152" s="200" t="s">
        <v>487</v>
      </c>
      <c r="C152" s="410"/>
      <c r="D152" s="410" t="s">
        <v>1322</v>
      </c>
      <c r="E152" s="411" t="s">
        <v>3041</v>
      </c>
      <c r="F152" s="413" t="str">
        <f t="shared" si="1"/>
        <v>joan.e.stein</v>
      </c>
      <c r="G152" s="413" t="str">
        <f t="shared" si="2"/>
        <v>joan e stein</v>
      </c>
      <c r="H152" s="413" t="str">
        <f t="shared" si="3"/>
        <v>joan e stein</v>
      </c>
      <c r="I152" s="413" t="str">
        <f t="shared" si="4"/>
        <v>e stein joan</v>
      </c>
    </row>
    <row r="153">
      <c r="A153" s="200" t="s">
        <v>574</v>
      </c>
      <c r="C153" s="410"/>
      <c r="D153" s="410" t="s">
        <v>1345</v>
      </c>
      <c r="E153" s="411" t="s">
        <v>3041</v>
      </c>
      <c r="F153" s="413" t="str">
        <f t="shared" si="1"/>
        <v>mandy.clark</v>
      </c>
      <c r="G153" s="413" t="str">
        <f t="shared" si="2"/>
        <v>mandy clark</v>
      </c>
      <c r="H153" s="413" t="str">
        <f t="shared" si="3"/>
        <v>mandy clark</v>
      </c>
      <c r="I153" s="413" t="str">
        <f t="shared" si="4"/>
        <v>clark mandy</v>
      </c>
    </row>
    <row r="154">
      <c r="A154" s="200" t="s">
        <v>577</v>
      </c>
      <c r="C154" s="410"/>
      <c r="D154" s="410" t="s">
        <v>1366</v>
      </c>
      <c r="E154" s="411" t="s">
        <v>3041</v>
      </c>
      <c r="F154" s="413" t="str">
        <f t="shared" si="1"/>
        <v>hannah.jaimes-perez</v>
      </c>
      <c r="G154" s="413" t="str">
        <f t="shared" si="2"/>
        <v>hannah jaimes-perez</v>
      </c>
      <c r="H154" s="413" t="str">
        <f t="shared" si="3"/>
        <v>hannah jaimes-perez</v>
      </c>
      <c r="I154" s="413" t="str">
        <f t="shared" si="4"/>
        <v>jaimes-perez hannah</v>
      </c>
    </row>
    <row r="155">
      <c r="A155" s="200" t="s">
        <v>137</v>
      </c>
      <c r="C155" s="410"/>
      <c r="D155" s="410" t="s">
        <v>1406</v>
      </c>
      <c r="E155" s="411" t="s">
        <v>3041</v>
      </c>
      <c r="F155" s="413" t="str">
        <f t="shared" si="1"/>
        <v>sonya.davis</v>
      </c>
      <c r="G155" s="413" t="str">
        <f t="shared" si="2"/>
        <v>sonya davis</v>
      </c>
      <c r="H155" s="413" t="str">
        <f t="shared" si="3"/>
        <v>sonya davis</v>
      </c>
      <c r="I155" s="413" t="str">
        <f t="shared" si="4"/>
        <v>davis sonya</v>
      </c>
    </row>
    <row r="156">
      <c r="A156" s="200" t="s">
        <v>2934</v>
      </c>
      <c r="C156" s="410"/>
      <c r="D156" s="410" t="s">
        <v>1425</v>
      </c>
      <c r="E156" s="411" t="s">
        <v>3041</v>
      </c>
      <c r="F156" s="413" t="str">
        <f t="shared" si="1"/>
        <v>keyonia.williams</v>
      </c>
      <c r="G156" s="413" t="str">
        <f t="shared" si="2"/>
        <v>keyonia williams</v>
      </c>
      <c r="H156" s="413" t="str">
        <f t="shared" si="3"/>
        <v>keyonia williams</v>
      </c>
      <c r="I156" s="413" t="str">
        <f t="shared" si="4"/>
        <v>williams keyonia</v>
      </c>
    </row>
    <row r="157">
      <c r="A157" s="200" t="s">
        <v>586</v>
      </c>
      <c r="C157" s="410"/>
      <c r="D157" s="410" t="s">
        <v>1461</v>
      </c>
      <c r="E157" s="411" t="s">
        <v>3041</v>
      </c>
      <c r="F157" s="413" t="str">
        <f t="shared" si="1"/>
        <v>jaremy.calderon</v>
      </c>
      <c r="G157" s="413" t="str">
        <f t="shared" si="2"/>
        <v>jaremy calderon</v>
      </c>
      <c r="H157" s="413" t="str">
        <f t="shared" si="3"/>
        <v>jaremy calderon</v>
      </c>
      <c r="I157" s="413" t="str">
        <f t="shared" si="4"/>
        <v>calderon jaremy</v>
      </c>
    </row>
    <row r="158">
      <c r="A158" s="200" t="s">
        <v>595</v>
      </c>
      <c r="C158" s="410"/>
      <c r="D158" s="410" t="s">
        <v>1503</v>
      </c>
      <c r="E158" s="411" t="s">
        <v>3041</v>
      </c>
      <c r="F158" s="413" t="str">
        <f t="shared" si="1"/>
        <v>wendy.r.foster</v>
      </c>
      <c r="G158" s="413" t="str">
        <f t="shared" si="2"/>
        <v>wendy r foster</v>
      </c>
      <c r="H158" s="413" t="str">
        <f t="shared" si="3"/>
        <v>wendy r foster</v>
      </c>
      <c r="I158" s="413" t="str">
        <f t="shared" si="4"/>
        <v>r foster wendy</v>
      </c>
    </row>
    <row r="159">
      <c r="A159" s="200" t="s">
        <v>600</v>
      </c>
      <c r="C159" s="410"/>
      <c r="D159" s="410" t="s">
        <v>1527</v>
      </c>
      <c r="E159" s="411" t="s">
        <v>3041</v>
      </c>
      <c r="F159" s="413" t="str">
        <f t="shared" si="1"/>
        <v>mandy.arends</v>
      </c>
      <c r="G159" s="413" t="str">
        <f t="shared" si="2"/>
        <v>mandy arends</v>
      </c>
      <c r="H159" s="413" t="str">
        <f t="shared" si="3"/>
        <v>mandy arends</v>
      </c>
      <c r="I159" s="413" t="str">
        <f t="shared" si="4"/>
        <v>arends mandy</v>
      </c>
    </row>
    <row r="160">
      <c r="A160" s="200" t="s">
        <v>604</v>
      </c>
      <c r="C160" s="410"/>
      <c r="D160" s="410" t="s">
        <v>1532</v>
      </c>
      <c r="E160" s="411" t="s">
        <v>3041</v>
      </c>
      <c r="F160" s="413" t="str">
        <f t="shared" si="1"/>
        <v>maureen.schrenk</v>
      </c>
      <c r="G160" s="413" t="str">
        <f t="shared" si="2"/>
        <v>maureen schrenk</v>
      </c>
      <c r="H160" s="413" t="str">
        <f t="shared" si="3"/>
        <v>maureen schrenk</v>
      </c>
      <c r="I160" s="413" t="str">
        <f t="shared" si="4"/>
        <v>schrenk maureen</v>
      </c>
    </row>
    <row r="161">
      <c r="A161" s="200" t="s">
        <v>606</v>
      </c>
      <c r="C161" s="410"/>
      <c r="D161" s="410" t="s">
        <v>1539</v>
      </c>
      <c r="E161" s="411" t="s">
        <v>3041</v>
      </c>
      <c r="F161" s="413" t="str">
        <f t="shared" si="1"/>
        <v>chantel.silverio</v>
      </c>
      <c r="G161" s="413" t="str">
        <f t="shared" si="2"/>
        <v>chantel silverio</v>
      </c>
      <c r="H161" s="413" t="str">
        <f t="shared" si="3"/>
        <v>chantel silverio</v>
      </c>
      <c r="I161" s="413" t="str">
        <f t="shared" si="4"/>
        <v>silverio chantel</v>
      </c>
    </row>
    <row r="162">
      <c r="A162" s="200" t="s">
        <v>366</v>
      </c>
      <c r="C162" s="410"/>
      <c r="D162" s="410" t="s">
        <v>1547</v>
      </c>
      <c r="E162" s="411" t="s">
        <v>3041</v>
      </c>
      <c r="F162" s="413" t="str">
        <f t="shared" si="1"/>
        <v>joan.d.johnson</v>
      </c>
      <c r="G162" s="413" t="str">
        <f t="shared" si="2"/>
        <v>joan d johnson</v>
      </c>
      <c r="H162" s="413" t="str">
        <f t="shared" si="3"/>
        <v>joan d johnson</v>
      </c>
      <c r="I162" s="413" t="str">
        <f t="shared" si="4"/>
        <v>d johnson joan</v>
      </c>
    </row>
    <row r="163">
      <c r="A163" s="200" t="s">
        <v>37</v>
      </c>
      <c r="D163" s="413" t="s">
        <v>1586</v>
      </c>
      <c r="E163" s="411" t="s">
        <v>3041</v>
      </c>
      <c r="F163" s="413" t="str">
        <f t="shared" si="1"/>
        <v>soad.abdi</v>
      </c>
      <c r="G163" s="413" t="str">
        <f t="shared" si="2"/>
        <v>soad abdi</v>
      </c>
      <c r="H163" s="413" t="str">
        <f t="shared" si="3"/>
        <v>soad abdi</v>
      </c>
      <c r="I163" s="413" t="str">
        <f t="shared" si="4"/>
        <v>abdi soad</v>
      </c>
    </row>
    <row r="164">
      <c r="A164" s="200" t="s">
        <v>219</v>
      </c>
      <c r="D164" s="413" t="s">
        <v>1645</v>
      </c>
      <c r="E164" s="411" t="s">
        <v>3041</v>
      </c>
      <c r="F164" s="413" t="str">
        <f t="shared" si="1"/>
        <v>laura.finley</v>
      </c>
      <c r="G164" s="413" t="str">
        <f t="shared" si="2"/>
        <v>laura finley</v>
      </c>
      <c r="H164" s="413" t="str">
        <f t="shared" si="3"/>
        <v>laura finley</v>
      </c>
      <c r="I164" s="413" t="str">
        <f t="shared" si="4"/>
        <v>finley laura</v>
      </c>
    </row>
    <row r="165">
      <c r="A165" s="200" t="s">
        <v>616</v>
      </c>
      <c r="D165" s="413" t="s">
        <v>1661</v>
      </c>
      <c r="E165" s="411" t="s">
        <v>3041</v>
      </c>
      <c r="F165" s="413" t="str">
        <f t="shared" si="1"/>
        <v>noura.kader</v>
      </c>
      <c r="G165" s="413" t="str">
        <f t="shared" si="2"/>
        <v>noura kader</v>
      </c>
      <c r="H165" s="413" t="str">
        <f t="shared" si="3"/>
        <v>noura kader</v>
      </c>
      <c r="I165" s="413" t="str">
        <f t="shared" si="4"/>
        <v>kader noura</v>
      </c>
    </row>
    <row r="166">
      <c r="A166" s="200" t="s">
        <v>620</v>
      </c>
      <c r="D166" s="413" t="s">
        <v>1667</v>
      </c>
      <c r="E166" s="411" t="s">
        <v>3041</v>
      </c>
      <c r="F166" s="413" t="str">
        <f t="shared" si="1"/>
        <v>hillary.l.demary</v>
      </c>
      <c r="G166" s="413" t="str">
        <f t="shared" si="2"/>
        <v>hillary l demary</v>
      </c>
      <c r="H166" s="413" t="str">
        <f t="shared" si="3"/>
        <v>hillary l demary</v>
      </c>
      <c r="I166" s="413" t="str">
        <f t="shared" si="4"/>
        <v>l demary hillary</v>
      </c>
    </row>
    <row r="167">
      <c r="A167" s="200"/>
      <c r="C167" s="410"/>
      <c r="D167" s="384" t="s">
        <v>728</v>
      </c>
      <c r="E167" s="411" t="s">
        <v>3041</v>
      </c>
      <c r="F167" s="413" t="str">
        <f t="shared" si="1"/>
        <v>steph.spann</v>
      </c>
      <c r="G167" s="413" t="str">
        <f t="shared" si="2"/>
        <v>steph spann</v>
      </c>
      <c r="H167" s="413" t="str">
        <f t="shared" si="3"/>
        <v>steph spann</v>
      </c>
      <c r="I167" s="413" t="str">
        <f t="shared" si="4"/>
        <v>spann steph</v>
      </c>
    </row>
    <row r="168">
      <c r="A168" s="200"/>
      <c r="C168" s="410"/>
      <c r="D168" s="384" t="s">
        <v>699</v>
      </c>
      <c r="E168" s="411" t="s">
        <v>3041</v>
      </c>
      <c r="F168" s="413" t="str">
        <f t="shared" si="1"/>
        <v>melvin.l.hawkins</v>
      </c>
      <c r="G168" s="413" t="str">
        <f t="shared" si="2"/>
        <v>melvin l hawkins</v>
      </c>
      <c r="H168" s="413" t="str">
        <f t="shared" si="3"/>
        <v>melvin l hawkins</v>
      </c>
      <c r="I168" s="413" t="str">
        <f t="shared" si="4"/>
        <v>l hawkins melvin</v>
      </c>
    </row>
    <row r="169">
      <c r="A169" s="200"/>
      <c r="C169" s="410"/>
      <c r="D169" s="384" t="s">
        <v>1461</v>
      </c>
      <c r="E169" s="411" t="s">
        <v>3041</v>
      </c>
      <c r="F169" s="413" t="str">
        <f t="shared" si="1"/>
        <v>jaremy.calderon</v>
      </c>
      <c r="G169" s="413" t="str">
        <f t="shared" si="2"/>
        <v>jaremy calderon</v>
      </c>
      <c r="H169" s="413" t="str">
        <f t="shared" si="3"/>
        <v>jaremy calderon</v>
      </c>
      <c r="I169" s="413" t="str">
        <f t="shared" si="4"/>
        <v>calderon jaremy</v>
      </c>
    </row>
    <row r="170">
      <c r="A170" s="200"/>
      <c r="C170" s="410"/>
      <c r="D170" s="384" t="s">
        <v>986</v>
      </c>
      <c r="E170" s="411" t="s">
        <v>3041</v>
      </c>
      <c r="F170" s="413" t="str">
        <f t="shared" si="1"/>
        <v>lizzy.culbertson</v>
      </c>
      <c r="G170" s="413" t="str">
        <f t="shared" si="2"/>
        <v>lizzy culbertson</v>
      </c>
      <c r="H170" s="413" t="str">
        <f t="shared" si="3"/>
        <v>lizzy culbertson</v>
      </c>
      <c r="I170" s="413" t="str">
        <f t="shared" si="4"/>
        <v>culbertson lizzy</v>
      </c>
    </row>
    <row r="171">
      <c r="A171" s="200"/>
      <c r="C171" s="410"/>
      <c r="D171" s="384" t="s">
        <v>155</v>
      </c>
      <c r="E171" s="411" t="s">
        <v>3041</v>
      </c>
      <c r="F171" s="413" t="str">
        <f t="shared" si="1"/>
        <v>gianna.solomon</v>
      </c>
      <c r="G171" s="413" t="str">
        <f t="shared" si="2"/>
        <v>gianna solomon</v>
      </c>
      <c r="H171" s="413" t="str">
        <f t="shared" si="3"/>
        <v>gianna solomon</v>
      </c>
      <c r="I171" s="413" t="str">
        <f t="shared" si="4"/>
        <v>solomon gianna</v>
      </c>
    </row>
    <row r="172">
      <c r="A172" s="200" t="s">
        <v>272</v>
      </c>
      <c r="D172" s="411" t="s">
        <v>3044</v>
      </c>
      <c r="E172" s="411" t="s">
        <v>3041</v>
      </c>
      <c r="F172" s="413" t="str">
        <f t="shared" si="1"/>
        <v>keri.l.ault</v>
      </c>
      <c r="G172" s="413" t="str">
        <f t="shared" si="2"/>
        <v>keri l ault</v>
      </c>
      <c r="H172" s="413" t="str">
        <f t="shared" si="3"/>
        <v>keri l ault</v>
      </c>
      <c r="I172" s="413" t="str">
        <f t="shared" si="4"/>
        <v>l ault keri</v>
      </c>
    </row>
    <row r="173">
      <c r="A173" s="200"/>
      <c r="C173" s="410"/>
      <c r="D173" s="384" t="s">
        <v>2492</v>
      </c>
      <c r="E173" s="411" t="s">
        <v>3041</v>
      </c>
      <c r="F173" s="413" t="str">
        <f t="shared" si="1"/>
        <v>anakaren.gutierrez</v>
      </c>
      <c r="G173" s="413" t="str">
        <f t="shared" si="2"/>
        <v>anakaren gutierrez</v>
      </c>
      <c r="H173" s="413" t="str">
        <f t="shared" si="3"/>
        <v>anakaren gutierrez</v>
      </c>
      <c r="I173" s="413" t="str">
        <f t="shared" si="4"/>
        <v>gutierrez anakaren</v>
      </c>
    </row>
    <row r="174">
      <c r="A174" s="200"/>
      <c r="C174" s="410"/>
      <c r="D174" s="384" t="s">
        <v>720</v>
      </c>
      <c r="E174" s="411" t="s">
        <v>3041</v>
      </c>
      <c r="F174" s="413" t="str">
        <f t="shared" si="1"/>
        <v>elizabeth.sanders</v>
      </c>
      <c r="G174" s="413" t="str">
        <f t="shared" si="2"/>
        <v>elizabeth sanders</v>
      </c>
      <c r="H174" s="413" t="str">
        <f t="shared" si="3"/>
        <v>elizabeth sanders</v>
      </c>
      <c r="I174" s="413" t="str">
        <f t="shared" si="4"/>
        <v>sanders elizabeth</v>
      </c>
    </row>
    <row r="175">
      <c r="A175" s="414" t="s">
        <v>445</v>
      </c>
      <c r="C175" s="410"/>
      <c r="D175" s="410" t="s">
        <v>760</v>
      </c>
      <c r="E175" s="411" t="s">
        <v>3041</v>
      </c>
      <c r="F175" s="413" t="str">
        <f t="shared" si="1"/>
        <v>aimee.griffin</v>
      </c>
      <c r="G175" s="413" t="str">
        <f t="shared" si="2"/>
        <v>aimee griffin</v>
      </c>
      <c r="H175" s="413" t="str">
        <f t="shared" si="3"/>
        <v>aimee griffin</v>
      </c>
      <c r="I175" s="413" t="str">
        <f t="shared" si="4"/>
        <v>griffin aimee</v>
      </c>
      <c r="K175" s="411" t="s">
        <v>3045</v>
      </c>
    </row>
    <row r="176">
      <c r="A176" s="200"/>
      <c r="C176" s="410"/>
      <c r="D176" s="384" t="s">
        <v>636</v>
      </c>
      <c r="E176" s="411" t="s">
        <v>3041</v>
      </c>
      <c r="F176" s="413" t="str">
        <f t="shared" si="1"/>
        <v>kathlyn.diaz</v>
      </c>
      <c r="G176" s="413" t="str">
        <f t="shared" si="2"/>
        <v>kathlyn diaz</v>
      </c>
      <c r="H176" s="413" t="str">
        <f t="shared" si="3"/>
        <v>kathlyn diaz</v>
      </c>
      <c r="I176" s="413" t="str">
        <f t="shared" si="4"/>
        <v>diaz kathlyn</v>
      </c>
    </row>
    <row r="177">
      <c r="A177" s="200" t="s">
        <v>117</v>
      </c>
      <c r="C177" s="410"/>
      <c r="D177" s="410" t="s">
        <v>141</v>
      </c>
      <c r="E177" s="411" t="s">
        <v>3046</v>
      </c>
      <c r="F177" s="413" t="str">
        <f t="shared" si="1"/>
        <v>reyna.martinez-martinez</v>
      </c>
      <c r="G177" s="413" t="str">
        <f t="shared" si="2"/>
        <v>reyna martinez-martinez</v>
      </c>
      <c r="H177" s="413" t="str">
        <f t="shared" si="3"/>
        <v>reyna martinez-martinez</v>
      </c>
      <c r="I177" s="413" t="str">
        <f t="shared" si="4"/>
        <v>martinez-martinez reyna</v>
      </c>
    </row>
    <row r="178">
      <c r="A178" s="200" t="s">
        <v>37</v>
      </c>
      <c r="B178" s="410" t="str">
        <f t="array" ref="B178:B346">UNIQUE(A178:A688)</f>
        <v>sara.simmers@multco.us</v>
      </c>
      <c r="C178" s="410"/>
      <c r="D178" s="410" t="s">
        <v>37</v>
      </c>
      <c r="E178" s="411" t="s">
        <v>3046</v>
      </c>
      <c r="F178" s="413" t="str">
        <f t="shared" si="1"/>
        <v>sara.simmers</v>
      </c>
      <c r="G178" s="413" t="str">
        <f t="shared" si="2"/>
        <v>sara simmers</v>
      </c>
      <c r="H178" s="413" t="str">
        <f t="shared" si="3"/>
        <v>sara simmers</v>
      </c>
      <c r="I178" s="413" t="str">
        <f t="shared" si="4"/>
        <v>simmers sara</v>
      </c>
    </row>
    <row r="179">
      <c r="A179" s="200" t="s">
        <v>37</v>
      </c>
      <c r="B179" s="410" t="s">
        <v>50</v>
      </c>
      <c r="C179" s="410"/>
      <c r="D179" s="410" t="s">
        <v>50</v>
      </c>
      <c r="E179" s="411" t="s">
        <v>3046</v>
      </c>
      <c r="F179" s="413" t="str">
        <f t="shared" si="1"/>
        <v>jennifer.gulzow</v>
      </c>
      <c r="G179" s="413" t="str">
        <f t="shared" si="2"/>
        <v>jennifer gulzow</v>
      </c>
      <c r="H179" s="413" t="str">
        <f t="shared" si="3"/>
        <v>jennifer gulzow</v>
      </c>
      <c r="I179" s="413" t="str">
        <f t="shared" si="4"/>
        <v>gulzow jennifer</v>
      </c>
    </row>
    <row r="180">
      <c r="A180" s="200" t="s">
        <v>50</v>
      </c>
      <c r="B180" s="410" t="s">
        <v>59</v>
      </c>
      <c r="C180" s="410"/>
      <c r="D180" s="410" t="s">
        <v>59</v>
      </c>
      <c r="E180" s="411" t="s">
        <v>3046</v>
      </c>
      <c r="F180" s="413" t="str">
        <f t="shared" si="1"/>
        <v>Amber Ramos (per</v>
      </c>
      <c r="G180" s="413" t="str">
        <f t="shared" si="2"/>
        <v>Amber Ramos (per</v>
      </c>
      <c r="H180" s="413" t="str">
        <f t="shared" si="3"/>
        <v>Amber Ramos (per</v>
      </c>
      <c r="I180" s="413" t="str">
        <f t="shared" si="4"/>
        <v>Ramos (per Amber</v>
      </c>
    </row>
    <row r="181">
      <c r="A181" s="414" t="s">
        <v>59</v>
      </c>
      <c r="B181" s="410" t="s">
        <v>64</v>
      </c>
      <c r="C181" s="410"/>
      <c r="D181" s="410" t="s">
        <v>64</v>
      </c>
      <c r="E181" s="411" t="s">
        <v>3046</v>
      </c>
      <c r="F181" s="413" t="str">
        <f t="shared" si="1"/>
        <v>carmelle.cooper</v>
      </c>
      <c r="G181" s="413" t="str">
        <f t="shared" si="2"/>
        <v>carmelle cooper</v>
      </c>
      <c r="H181" s="413" t="str">
        <f t="shared" si="3"/>
        <v>carmelle cooper</v>
      </c>
      <c r="I181" s="413" t="str">
        <f t="shared" si="4"/>
        <v>cooper carmelle</v>
      </c>
    </row>
    <row r="182">
      <c r="A182" s="200" t="s">
        <v>64</v>
      </c>
      <c r="B182" s="410" t="s">
        <v>85</v>
      </c>
      <c r="C182" s="410"/>
      <c r="D182" s="410" t="s">
        <v>72</v>
      </c>
      <c r="E182" s="411" t="s">
        <v>3046</v>
      </c>
      <c r="F182" s="413" t="str">
        <f t="shared" si="1"/>
        <v>shari.kliewer</v>
      </c>
      <c r="G182" s="413" t="str">
        <f t="shared" si="2"/>
        <v>shari kliewer</v>
      </c>
      <c r="H182" s="413" t="str">
        <f t="shared" si="3"/>
        <v>shari kliewer</v>
      </c>
      <c r="I182" s="413" t="str">
        <f t="shared" si="4"/>
        <v>kliewer shari</v>
      </c>
    </row>
    <row r="183">
      <c r="A183" s="200" t="s">
        <v>85</v>
      </c>
      <c r="B183" s="410" t="s">
        <v>98</v>
      </c>
      <c r="C183" s="410"/>
      <c r="D183" s="410" t="s">
        <v>94</v>
      </c>
      <c r="E183" s="411" t="s">
        <v>3046</v>
      </c>
      <c r="F183" s="413" t="str">
        <f t="shared" si="1"/>
        <v>billie.gibbs</v>
      </c>
      <c r="G183" s="413" t="str">
        <f t="shared" si="2"/>
        <v>billie gibbs</v>
      </c>
      <c r="H183" s="413" t="str">
        <f t="shared" si="3"/>
        <v>billie gibbs</v>
      </c>
      <c r="I183" s="413" t="str">
        <f t="shared" si="4"/>
        <v>gibbs billie</v>
      </c>
    </row>
    <row r="184">
      <c r="A184" s="415" t="s">
        <v>98</v>
      </c>
      <c r="B184" s="410" t="s">
        <v>148</v>
      </c>
      <c r="C184" s="410"/>
      <c r="D184" s="410" t="s">
        <v>120</v>
      </c>
      <c r="E184" s="411" t="s">
        <v>3046</v>
      </c>
      <c r="F184" s="413" t="str">
        <f t="shared" si="1"/>
        <v>kelley.duron</v>
      </c>
      <c r="G184" s="413" t="str">
        <f t="shared" si="2"/>
        <v>kelley duron</v>
      </c>
      <c r="H184" s="413" t="str">
        <f t="shared" si="3"/>
        <v>kelley duron</v>
      </c>
      <c r="I184" s="413" t="str">
        <f t="shared" si="4"/>
        <v>duron kelley</v>
      </c>
    </row>
    <row r="185">
      <c r="A185" s="200" t="s">
        <v>148</v>
      </c>
      <c r="B185" s="410" t="s">
        <v>153</v>
      </c>
      <c r="C185" s="410"/>
      <c r="D185" s="410" t="s">
        <v>183</v>
      </c>
      <c r="E185" s="411" t="s">
        <v>3046</v>
      </c>
      <c r="F185" s="413" t="str">
        <f t="shared" si="1"/>
        <v>carolyn.manke</v>
      </c>
      <c r="G185" s="413" t="str">
        <f t="shared" si="2"/>
        <v>carolyn manke</v>
      </c>
      <c r="H185" s="413" t="str">
        <f t="shared" si="3"/>
        <v>carolyn manke</v>
      </c>
      <c r="I185" s="413" t="str">
        <f t="shared" si="4"/>
        <v>manke carolyn</v>
      </c>
    </row>
    <row r="186">
      <c r="A186" s="200" t="s">
        <v>153</v>
      </c>
      <c r="B186" s="410" t="s">
        <v>166</v>
      </c>
      <c r="C186" s="410"/>
      <c r="D186" s="410" t="s">
        <v>193</v>
      </c>
      <c r="E186" s="411" t="s">
        <v>3046</v>
      </c>
      <c r="F186" s="413" t="str">
        <f t="shared" si="1"/>
        <v>sarah.wittmann</v>
      </c>
      <c r="G186" s="413" t="str">
        <f t="shared" si="2"/>
        <v>sarah wittmann</v>
      </c>
      <c r="H186" s="413" t="str">
        <f t="shared" si="3"/>
        <v>sarah wittmann</v>
      </c>
      <c r="I186" s="413" t="str">
        <f t="shared" si="4"/>
        <v>wittmann sarah</v>
      </c>
    </row>
    <row r="187">
      <c r="A187" s="200" t="s">
        <v>166</v>
      </c>
      <c r="B187" s="410" t="s">
        <v>193</v>
      </c>
      <c r="C187" s="410"/>
      <c r="D187" s="410" t="s">
        <v>222</v>
      </c>
      <c r="E187" s="411" t="s">
        <v>3046</v>
      </c>
      <c r="F187" s="413" t="str">
        <f t="shared" si="1"/>
        <v>christi.s.taylor</v>
      </c>
      <c r="G187" s="413" t="str">
        <f t="shared" si="2"/>
        <v>christi s taylor</v>
      </c>
      <c r="H187" s="413" t="str">
        <f t="shared" si="3"/>
        <v>christi s taylor</v>
      </c>
      <c r="I187" s="413" t="str">
        <f t="shared" si="4"/>
        <v>s taylor christi</v>
      </c>
    </row>
    <row r="188">
      <c r="A188" s="419" t="s">
        <v>193</v>
      </c>
      <c r="B188" s="410" t="s">
        <v>219</v>
      </c>
      <c r="C188" s="410"/>
      <c r="D188" s="410" t="s">
        <v>247</v>
      </c>
      <c r="E188" s="411" t="s">
        <v>3041</v>
      </c>
      <c r="F188" s="413" t="str">
        <f t="shared" si="1"/>
        <v>james.r.dixon</v>
      </c>
      <c r="G188" s="413" t="str">
        <f t="shared" si="2"/>
        <v>james r dixon</v>
      </c>
      <c r="H188" s="413" t="str">
        <f t="shared" si="3"/>
        <v>james r dixon</v>
      </c>
      <c r="I188" s="413" t="str">
        <f t="shared" si="4"/>
        <v>r dixon james</v>
      </c>
      <c r="K188" s="411" t="s">
        <v>3047</v>
      </c>
    </row>
    <row r="189">
      <c r="A189" s="200" t="s">
        <v>219</v>
      </c>
      <c r="B189" s="410" t="s">
        <v>245</v>
      </c>
      <c r="C189" s="410"/>
      <c r="D189" s="410" t="s">
        <v>280</v>
      </c>
      <c r="E189" s="411" t="s">
        <v>3046</v>
      </c>
      <c r="F189" s="413" t="str">
        <f t="shared" si="1"/>
        <v>tenzin.teykhang</v>
      </c>
      <c r="G189" s="413" t="str">
        <f t="shared" si="2"/>
        <v>tenzin teykhang</v>
      </c>
      <c r="H189" s="413" t="str">
        <f t="shared" si="3"/>
        <v>tenzin teykhang</v>
      </c>
      <c r="I189" s="413" t="str">
        <f t="shared" si="4"/>
        <v>teykhang tenzin</v>
      </c>
    </row>
    <row r="190">
      <c r="A190" s="200" t="s">
        <v>245</v>
      </c>
      <c r="B190" s="410" t="s">
        <v>247</v>
      </c>
      <c r="C190" s="410"/>
      <c r="D190" s="410" t="s">
        <v>330</v>
      </c>
      <c r="E190" s="411" t="s">
        <v>3046</v>
      </c>
      <c r="F190" s="413" t="str">
        <f t="shared" si="1"/>
        <v>sara.carter</v>
      </c>
      <c r="G190" s="413" t="str">
        <f t="shared" si="2"/>
        <v>sara carter</v>
      </c>
      <c r="H190" s="413" t="str">
        <f t="shared" si="3"/>
        <v>sara carter</v>
      </c>
      <c r="I190" s="413" t="str">
        <f t="shared" si="4"/>
        <v>carter sara</v>
      </c>
    </row>
    <row r="191">
      <c r="A191" s="200" t="s">
        <v>247</v>
      </c>
      <c r="B191" s="410" t="s">
        <v>231</v>
      </c>
      <c r="C191" s="410"/>
      <c r="D191" s="410" t="s">
        <v>347</v>
      </c>
      <c r="E191" s="411" t="s">
        <v>3046</v>
      </c>
      <c r="F191" s="413" t="str">
        <f t="shared" si="1"/>
        <v>eric.follis</v>
      </c>
      <c r="G191" s="413" t="str">
        <f t="shared" si="2"/>
        <v>eric follis</v>
      </c>
      <c r="H191" s="413" t="str">
        <f t="shared" si="3"/>
        <v>eric follis</v>
      </c>
      <c r="I191" s="413" t="str">
        <f t="shared" si="4"/>
        <v>follis eric</v>
      </c>
    </row>
    <row r="192">
      <c r="A192" s="200" t="s">
        <v>231</v>
      </c>
      <c r="B192" s="410" t="s">
        <v>284</v>
      </c>
      <c r="C192" s="410"/>
      <c r="D192" s="410" t="s">
        <v>350</v>
      </c>
      <c r="E192" s="411" t="s">
        <v>3046</v>
      </c>
      <c r="F192" s="413" t="str">
        <f t="shared" si="1"/>
        <v>alexandra.richardson</v>
      </c>
      <c r="G192" s="413" t="str">
        <f t="shared" si="2"/>
        <v>alexandra richardson</v>
      </c>
      <c r="H192" s="413" t="str">
        <f t="shared" si="3"/>
        <v>alexandra richardson</v>
      </c>
      <c r="I192" s="413" t="str">
        <f t="shared" si="4"/>
        <v>richardson alexandra</v>
      </c>
    </row>
    <row r="193">
      <c r="A193" s="200" t="s">
        <v>148</v>
      </c>
      <c r="B193" s="410" t="s">
        <v>325</v>
      </c>
      <c r="C193" s="410"/>
      <c r="D193" s="410" t="s">
        <v>377</v>
      </c>
      <c r="E193" s="411" t="s">
        <v>3046</v>
      </c>
      <c r="F193" s="413" t="str">
        <f t="shared" si="1"/>
        <v>larissa.printzian</v>
      </c>
      <c r="G193" s="413" t="str">
        <f t="shared" si="2"/>
        <v>larissa printzian</v>
      </c>
      <c r="H193" s="413" t="str">
        <f t="shared" si="3"/>
        <v>larissa printzian</v>
      </c>
      <c r="I193" s="413" t="str">
        <f t="shared" si="4"/>
        <v>printzian larissa</v>
      </c>
    </row>
    <row r="194">
      <c r="A194" s="418" t="s">
        <v>284</v>
      </c>
      <c r="B194" s="410" t="s">
        <v>311</v>
      </c>
      <c r="C194" s="410"/>
      <c r="D194" s="410" t="s">
        <v>411</v>
      </c>
      <c r="E194" s="411" t="s">
        <v>3046</v>
      </c>
      <c r="F194" s="413" t="str">
        <f t="shared" si="1"/>
        <v>nickr</v>
      </c>
      <c r="G194" s="413" t="str">
        <f t="shared" si="2"/>
        <v>nickr</v>
      </c>
      <c r="H194" s="413" t="str">
        <f t="shared" si="3"/>
        <v>nickr</v>
      </c>
      <c r="I194" s="413" t="str">
        <f t="shared" si="4"/>
        <v>#VALUE!</v>
      </c>
    </row>
    <row r="195">
      <c r="A195" s="200" t="s">
        <v>325</v>
      </c>
      <c r="B195" s="410" t="s">
        <v>251</v>
      </c>
      <c r="C195" s="410"/>
      <c r="D195" s="410" t="s">
        <v>490</v>
      </c>
      <c r="E195" s="411" t="s">
        <v>3046</v>
      </c>
      <c r="F195" s="413" t="str">
        <f t="shared" si="1"/>
        <v>teresa.becerra</v>
      </c>
      <c r="G195" s="413" t="str">
        <f t="shared" si="2"/>
        <v>teresa becerra</v>
      </c>
      <c r="H195" s="413" t="str">
        <f t="shared" si="3"/>
        <v>teresa becerra</v>
      </c>
      <c r="I195" s="413" t="str">
        <f t="shared" si="4"/>
        <v>becerra teresa</v>
      </c>
    </row>
    <row r="196">
      <c r="A196" s="200" t="s">
        <v>311</v>
      </c>
      <c r="B196" s="410" t="s">
        <v>123</v>
      </c>
      <c r="C196" s="410"/>
      <c r="D196" s="410" t="s">
        <v>561</v>
      </c>
      <c r="E196" s="411" t="s">
        <v>3046</v>
      </c>
      <c r="F196" s="413" t="str">
        <f t="shared" si="1"/>
        <v>raina.bliven</v>
      </c>
      <c r="G196" s="413" t="str">
        <f t="shared" si="2"/>
        <v>raina bliven</v>
      </c>
      <c r="H196" s="413" t="str">
        <f t="shared" si="3"/>
        <v>raina bliven</v>
      </c>
      <c r="I196" s="413" t="str">
        <f t="shared" si="4"/>
        <v>bliven raina</v>
      </c>
    </row>
    <row r="197">
      <c r="A197" s="414" t="s">
        <v>251</v>
      </c>
      <c r="B197" s="410" t="s">
        <v>436</v>
      </c>
      <c r="C197" s="410"/>
      <c r="D197" s="410" t="s">
        <v>577</v>
      </c>
      <c r="E197" s="411" t="s">
        <v>3046</v>
      </c>
      <c r="F197" s="413" t="str">
        <f t="shared" si="1"/>
        <v>heather.christiansen</v>
      </c>
      <c r="G197" s="413" t="str">
        <f t="shared" si="2"/>
        <v>heather christiansen</v>
      </c>
      <c r="H197" s="413" t="str">
        <f t="shared" si="3"/>
        <v>heather christiansen</v>
      </c>
      <c r="I197" s="413" t="str">
        <f t="shared" si="4"/>
        <v>christiansen heather</v>
      </c>
    </row>
    <row r="198">
      <c r="A198" s="415" t="s">
        <v>123</v>
      </c>
      <c r="B198" s="410" t="s">
        <v>201</v>
      </c>
      <c r="C198" s="410"/>
      <c r="D198" s="410" t="s">
        <v>725</v>
      </c>
      <c r="E198" s="411" t="s">
        <v>3046</v>
      </c>
      <c r="F198" s="413" t="str">
        <f t="shared" si="1"/>
        <v>kay.shepherd</v>
      </c>
      <c r="G198" s="413" t="str">
        <f t="shared" si="2"/>
        <v>kay shepherd</v>
      </c>
      <c r="H198" s="413" t="str">
        <f t="shared" si="3"/>
        <v>kay shepherd</v>
      </c>
      <c r="I198" s="413" t="str">
        <f t="shared" si="4"/>
        <v>shepherd kay</v>
      </c>
    </row>
    <row r="199">
      <c r="A199" s="200" t="s">
        <v>436</v>
      </c>
      <c r="B199" s="410" t="s">
        <v>382</v>
      </c>
      <c r="C199" s="410"/>
      <c r="D199" s="410" t="s">
        <v>747</v>
      </c>
      <c r="E199" s="411" t="s">
        <v>3046</v>
      </c>
      <c r="F199" s="413" t="str">
        <f t="shared" si="1"/>
        <v>sarah.kaucic</v>
      </c>
      <c r="G199" s="413" t="str">
        <f t="shared" si="2"/>
        <v>sarah kaucic</v>
      </c>
      <c r="H199" s="413" t="str">
        <f t="shared" si="3"/>
        <v>sarah kaucic</v>
      </c>
      <c r="I199" s="413" t="str">
        <f t="shared" si="4"/>
        <v>kaucic sarah</v>
      </c>
    </row>
    <row r="200">
      <c r="A200" s="414" t="s">
        <v>123</v>
      </c>
      <c r="B200" s="410" t="s">
        <v>479</v>
      </c>
      <c r="C200" s="410"/>
      <c r="D200" s="410" t="s">
        <v>752</v>
      </c>
      <c r="E200" s="411" t="s">
        <v>3046</v>
      </c>
      <c r="F200" s="413" t="str">
        <f t="shared" si="1"/>
        <v>dzenana.durajlic.elezovic</v>
      </c>
      <c r="G200" s="413" t="str">
        <f t="shared" si="2"/>
        <v>dzenana durajlic elezovic</v>
      </c>
      <c r="H200" s="413" t="str">
        <f t="shared" si="3"/>
        <v>dzenana durajlic elezovic</v>
      </c>
      <c r="I200" s="413" t="str">
        <f t="shared" si="4"/>
        <v>durajlic elezovic dzenana</v>
      </c>
    </row>
    <row r="201">
      <c r="A201" s="200" t="s">
        <v>201</v>
      </c>
      <c r="B201" s="410" t="s">
        <v>482</v>
      </c>
      <c r="C201" s="410"/>
      <c r="D201" s="410" t="s">
        <v>757</v>
      </c>
      <c r="E201" s="411" t="s">
        <v>3046</v>
      </c>
      <c r="F201" s="413" t="str">
        <f t="shared" si="1"/>
        <v>maren.zieba</v>
      </c>
      <c r="G201" s="413" t="str">
        <f t="shared" si="2"/>
        <v>maren zieba</v>
      </c>
      <c r="H201" s="413" t="str">
        <f t="shared" si="3"/>
        <v>maren zieba</v>
      </c>
      <c r="I201" s="413" t="str">
        <f t="shared" si="4"/>
        <v>zieba maren</v>
      </c>
    </row>
    <row r="202">
      <c r="A202" s="200" t="s">
        <v>37</v>
      </c>
      <c r="B202" s="410" t="s">
        <v>487</v>
      </c>
      <c r="C202" s="410"/>
      <c r="D202" s="410" t="s">
        <v>826</v>
      </c>
      <c r="E202" s="411" t="s">
        <v>3046</v>
      </c>
      <c r="F202" s="413" t="str">
        <f t="shared" si="1"/>
        <v>emma.cantlin</v>
      </c>
      <c r="G202" s="413" t="str">
        <f t="shared" si="2"/>
        <v>emma cantlin</v>
      </c>
      <c r="H202" s="413" t="str">
        <f t="shared" si="3"/>
        <v>emma cantlin</v>
      </c>
      <c r="I202" s="413" t="str">
        <f t="shared" si="4"/>
        <v>cantlin emma</v>
      </c>
    </row>
    <row r="203">
      <c r="A203" s="200" t="s">
        <v>382</v>
      </c>
      <c r="B203" s="410" t="s">
        <v>500</v>
      </c>
      <c r="C203" s="410"/>
      <c r="D203" s="410" t="s">
        <v>852</v>
      </c>
      <c r="E203" s="411" t="s">
        <v>3046</v>
      </c>
      <c r="F203" s="413" t="str">
        <f t="shared" si="1"/>
        <v>nadia.takla</v>
      </c>
      <c r="G203" s="413" t="str">
        <f t="shared" si="2"/>
        <v>nadia takla</v>
      </c>
      <c r="H203" s="413" t="str">
        <f t="shared" si="3"/>
        <v>nadia takla</v>
      </c>
      <c r="I203" s="413" t="str">
        <f t="shared" si="4"/>
        <v>takla nadia</v>
      </c>
    </row>
    <row r="204">
      <c r="A204" s="200" t="s">
        <v>479</v>
      </c>
      <c r="B204" s="410" t="s">
        <v>512</v>
      </c>
      <c r="C204" s="410"/>
      <c r="D204" s="410" t="s">
        <v>883</v>
      </c>
      <c r="E204" s="411" t="s">
        <v>3046</v>
      </c>
      <c r="F204" s="413" t="str">
        <f t="shared" si="1"/>
        <v>dieuson.alix</v>
      </c>
      <c r="G204" s="413" t="str">
        <f t="shared" si="2"/>
        <v>dieuson alix</v>
      </c>
      <c r="H204" s="413" t="str">
        <f t="shared" si="3"/>
        <v>dieuson alix</v>
      </c>
      <c r="I204" s="413" t="str">
        <f t="shared" si="4"/>
        <v>alix dieuson</v>
      </c>
    </row>
    <row r="205">
      <c r="A205" s="200" t="s">
        <v>482</v>
      </c>
      <c r="B205" s="410" t="s">
        <v>516</v>
      </c>
      <c r="C205" s="410"/>
      <c r="D205" s="410" t="s">
        <v>887</v>
      </c>
      <c r="E205" s="411" t="s">
        <v>3046</v>
      </c>
      <c r="F205" s="413" t="str">
        <f t="shared" si="1"/>
        <v>nicole.cleary</v>
      </c>
      <c r="G205" s="413" t="str">
        <f t="shared" si="2"/>
        <v>nicole cleary</v>
      </c>
      <c r="H205" s="413" t="str">
        <f t="shared" si="3"/>
        <v>nicole cleary</v>
      </c>
      <c r="I205" s="413" t="str">
        <f t="shared" si="4"/>
        <v>cleary nicole</v>
      </c>
    </row>
    <row r="206">
      <c r="A206" s="200" t="s">
        <v>487</v>
      </c>
      <c r="B206" s="410" t="s">
        <v>530</v>
      </c>
      <c r="C206" s="410"/>
      <c r="D206" s="410" t="s">
        <v>895</v>
      </c>
      <c r="E206" s="411" t="s">
        <v>3046</v>
      </c>
      <c r="F206" s="413" t="str">
        <f t="shared" si="1"/>
        <v>robert.conrad</v>
      </c>
      <c r="G206" s="413" t="str">
        <f t="shared" si="2"/>
        <v>robert conrad</v>
      </c>
      <c r="H206" s="413" t="str">
        <f t="shared" si="3"/>
        <v>robert conrad</v>
      </c>
      <c r="I206" s="413" t="str">
        <f t="shared" si="4"/>
        <v>conrad robert</v>
      </c>
    </row>
    <row r="207">
      <c r="A207" s="200" t="s">
        <v>500</v>
      </c>
      <c r="B207" s="410" t="s">
        <v>314</v>
      </c>
      <c r="C207" s="410"/>
      <c r="D207" s="410" t="s">
        <v>943</v>
      </c>
      <c r="E207" s="411" t="s">
        <v>3046</v>
      </c>
      <c r="F207" s="413" t="str">
        <f t="shared" si="1"/>
        <v>amber.ramos</v>
      </c>
      <c r="G207" s="413" t="str">
        <f t="shared" si="2"/>
        <v>amber ramos</v>
      </c>
      <c r="H207" s="413" t="str">
        <f t="shared" si="3"/>
        <v>amber ramos</v>
      </c>
      <c r="I207" s="413" t="str">
        <f t="shared" si="4"/>
        <v>ramos amber</v>
      </c>
    </row>
    <row r="208">
      <c r="A208" s="200" t="s">
        <v>500</v>
      </c>
      <c r="B208" s="410" t="s">
        <v>569</v>
      </c>
      <c r="C208" s="410"/>
      <c r="D208" s="410" t="s">
        <v>947</v>
      </c>
      <c r="E208" s="411" t="s">
        <v>3046</v>
      </c>
      <c r="F208" s="413" t="str">
        <f t="shared" si="1"/>
        <v>mossie.ogilvie</v>
      </c>
      <c r="G208" s="413" t="str">
        <f t="shared" si="2"/>
        <v>mossie ogilvie</v>
      </c>
      <c r="H208" s="413" t="str">
        <f t="shared" si="3"/>
        <v>mossie ogilvie</v>
      </c>
      <c r="I208" s="413" t="str">
        <f t="shared" si="4"/>
        <v>ogilvie mossie</v>
      </c>
    </row>
    <row r="209">
      <c r="A209" s="200" t="s">
        <v>482</v>
      </c>
      <c r="B209" s="410" t="s">
        <v>624</v>
      </c>
      <c r="C209" s="410"/>
      <c r="D209" s="410" t="s">
        <v>954</v>
      </c>
      <c r="E209" s="411" t="s">
        <v>3046</v>
      </c>
      <c r="F209" s="413" t="str">
        <f t="shared" si="1"/>
        <v>damon.mosley</v>
      </c>
      <c r="G209" s="413" t="str">
        <f t="shared" si="2"/>
        <v>damon mosley</v>
      </c>
      <c r="H209" s="413" t="str">
        <f t="shared" si="3"/>
        <v>damon mosley</v>
      </c>
      <c r="I209" s="413" t="str">
        <f t="shared" si="4"/>
        <v>mosley damon</v>
      </c>
    </row>
    <row r="210">
      <c r="A210" s="200" t="s">
        <v>512</v>
      </c>
      <c r="B210" s="410" t="s">
        <v>111</v>
      </c>
      <c r="C210" s="410"/>
      <c r="D210" s="410" t="s">
        <v>959</v>
      </c>
      <c r="E210" s="411" t="s">
        <v>3046</v>
      </c>
      <c r="F210" s="413" t="str">
        <f t="shared" si="1"/>
        <v>rosa.t.nguyen</v>
      </c>
      <c r="G210" s="413" t="str">
        <f t="shared" si="2"/>
        <v>rosa t nguyen</v>
      </c>
      <c r="H210" s="413" t="str">
        <f t="shared" si="3"/>
        <v>rosa t nguyen</v>
      </c>
      <c r="I210" s="413" t="str">
        <f t="shared" si="4"/>
        <v>t nguyen rosa</v>
      </c>
    </row>
    <row r="211">
      <c r="A211" s="200" t="s">
        <v>516</v>
      </c>
      <c r="B211" s="410" t="s">
        <v>155</v>
      </c>
      <c r="C211" s="410"/>
      <c r="D211" s="410" t="s">
        <v>969</v>
      </c>
      <c r="E211" s="411" t="s">
        <v>3046</v>
      </c>
      <c r="F211" s="413" t="str">
        <f t="shared" si="1"/>
        <v>carla.m.navarrete</v>
      </c>
      <c r="G211" s="413" t="str">
        <f t="shared" si="2"/>
        <v>carla m navarrete</v>
      </c>
      <c r="H211" s="413" t="str">
        <f t="shared" si="3"/>
        <v>carla m navarrete</v>
      </c>
      <c r="I211" s="413" t="str">
        <f t="shared" si="4"/>
        <v>m navarrete carla</v>
      </c>
    </row>
    <row r="212">
      <c r="A212" s="200" t="s">
        <v>516</v>
      </c>
      <c r="B212" s="410" t="s">
        <v>586</v>
      </c>
      <c r="C212" s="410"/>
      <c r="D212" s="410" t="s">
        <v>972</v>
      </c>
      <c r="E212" s="411" t="s">
        <v>3046</v>
      </c>
      <c r="F212" s="413" t="str">
        <f t="shared" si="1"/>
        <v>lydia.giles</v>
      </c>
      <c r="G212" s="413" t="str">
        <f t="shared" si="2"/>
        <v>lydia giles</v>
      </c>
      <c r="H212" s="413" t="str">
        <f t="shared" si="3"/>
        <v>lydia giles</v>
      </c>
      <c r="I212" s="413" t="str">
        <f t="shared" si="4"/>
        <v>giles lydia</v>
      </c>
    </row>
    <row r="213">
      <c r="A213" s="200" t="s">
        <v>530</v>
      </c>
      <c r="B213" s="410" t="s">
        <v>636</v>
      </c>
      <c r="C213" s="410"/>
      <c r="D213" s="410" t="s">
        <v>1032</v>
      </c>
      <c r="E213" s="411" t="s">
        <v>3046</v>
      </c>
      <c r="F213" s="413" t="str">
        <f t="shared" si="1"/>
        <v>tosha.shelepova</v>
      </c>
      <c r="G213" s="413" t="str">
        <f t="shared" si="2"/>
        <v>tosha shelepova</v>
      </c>
      <c r="H213" s="413" t="str">
        <f t="shared" si="3"/>
        <v>tosha shelepova</v>
      </c>
      <c r="I213" s="413" t="str">
        <f t="shared" si="4"/>
        <v>shelepova tosha</v>
      </c>
    </row>
    <row r="214">
      <c r="A214" s="200" t="s">
        <v>314</v>
      </c>
      <c r="B214" s="410" t="s">
        <v>639</v>
      </c>
      <c r="C214" s="410"/>
      <c r="D214" s="410" t="s">
        <v>1116</v>
      </c>
      <c r="E214" s="411" t="s">
        <v>3046</v>
      </c>
      <c r="F214" s="413" t="str">
        <f t="shared" si="1"/>
        <v>ed.glasheen</v>
      </c>
      <c r="G214" s="413" t="str">
        <f t="shared" si="2"/>
        <v>ed glasheen</v>
      </c>
      <c r="H214" s="413" t="str">
        <f t="shared" si="3"/>
        <v>ed glasheen</v>
      </c>
      <c r="I214" s="413" t="str">
        <f t="shared" si="4"/>
        <v>glasheen ed</v>
      </c>
    </row>
    <row r="215">
      <c r="A215" s="200" t="s">
        <v>314</v>
      </c>
      <c r="B215" s="410" t="s">
        <v>595</v>
      </c>
      <c r="C215" s="410"/>
      <c r="D215" s="410" t="s">
        <v>1185</v>
      </c>
      <c r="E215" s="411" t="s">
        <v>3046</v>
      </c>
      <c r="F215" s="413" t="str">
        <f t="shared" si="1"/>
        <v>nicole.thompson</v>
      </c>
      <c r="G215" s="413" t="str">
        <f t="shared" si="2"/>
        <v>nicole thompson</v>
      </c>
      <c r="H215" s="413" t="str">
        <f t="shared" si="3"/>
        <v>nicole thompson</v>
      </c>
      <c r="I215" s="413" t="str">
        <f t="shared" si="4"/>
        <v>thompson nicole</v>
      </c>
    </row>
    <row r="216">
      <c r="A216" s="200" t="s">
        <v>284</v>
      </c>
      <c r="B216" s="410" t="s">
        <v>407</v>
      </c>
      <c r="C216" s="410"/>
      <c r="D216" s="410" t="s">
        <v>1304</v>
      </c>
      <c r="E216" s="411" t="s">
        <v>3046</v>
      </c>
      <c r="F216" s="413" t="str">
        <f t="shared" si="1"/>
        <v>andrew.vargas.delman</v>
      </c>
      <c r="G216" s="413" t="str">
        <f t="shared" si="2"/>
        <v>andrew vargas delman</v>
      </c>
      <c r="H216" s="413" t="str">
        <f t="shared" si="3"/>
        <v>andrew vargas delman</v>
      </c>
      <c r="I216" s="413" t="str">
        <f t="shared" si="4"/>
        <v>vargas delman andrew</v>
      </c>
    </row>
    <row r="217">
      <c r="A217" s="200" t="s">
        <v>569</v>
      </c>
      <c r="B217" s="410" t="s">
        <v>650</v>
      </c>
      <c r="C217" s="410"/>
      <c r="D217" s="410" t="s">
        <v>1318</v>
      </c>
      <c r="E217" s="411" t="s">
        <v>3046</v>
      </c>
      <c r="F217" s="413" t="str">
        <f t="shared" si="1"/>
        <v>alicia.r.thompson</v>
      </c>
      <c r="G217" s="413" t="str">
        <f t="shared" si="2"/>
        <v>alicia r thompson</v>
      </c>
      <c r="H217" s="413" t="str">
        <f t="shared" si="3"/>
        <v>alicia r thompson</v>
      </c>
      <c r="I217" s="413" t="str">
        <f t="shared" si="4"/>
        <v>r thompson alicia</v>
      </c>
    </row>
    <row r="218">
      <c r="A218" s="200" t="s">
        <v>624</v>
      </c>
      <c r="B218" s="410" t="s">
        <v>653</v>
      </c>
      <c r="D218" s="411" t="s">
        <v>3048</v>
      </c>
      <c r="E218" s="411" t="s">
        <v>3046</v>
      </c>
      <c r="F218" s="413" t="str">
        <f t="shared" si="1"/>
        <v>carol.steele</v>
      </c>
      <c r="G218" s="413" t="str">
        <f t="shared" si="2"/>
        <v>carol steele</v>
      </c>
      <c r="H218" s="413" t="str">
        <f t="shared" si="3"/>
        <v>carol steele</v>
      </c>
      <c r="I218" s="413" t="str">
        <f t="shared" si="4"/>
        <v>steele carol</v>
      </c>
    </row>
    <row r="219">
      <c r="A219" s="200" t="s">
        <v>247</v>
      </c>
      <c r="B219" s="410" t="s">
        <v>541</v>
      </c>
      <c r="E219" s="413"/>
    </row>
    <row r="220">
      <c r="A220" s="200" t="s">
        <v>111</v>
      </c>
      <c r="B220" s="410" t="s">
        <v>141</v>
      </c>
      <c r="E220" s="413"/>
    </row>
    <row r="221">
      <c r="A221" s="200" t="s">
        <v>155</v>
      </c>
      <c r="B221" s="410" t="s">
        <v>240</v>
      </c>
      <c r="E221" s="413"/>
    </row>
    <row r="222">
      <c r="A222" s="200" t="s">
        <v>586</v>
      </c>
      <c r="B222" s="410" t="s">
        <v>577</v>
      </c>
      <c r="E222" s="413"/>
    </row>
    <row r="223">
      <c r="A223" s="200" t="s">
        <v>636</v>
      </c>
      <c r="B223" s="410" t="s">
        <v>666</v>
      </c>
      <c r="E223" s="413"/>
    </row>
    <row r="224">
      <c r="A224" s="200" t="s">
        <v>639</v>
      </c>
      <c r="B224" s="410" t="s">
        <v>183</v>
      </c>
      <c r="E224" s="413"/>
    </row>
    <row r="225">
      <c r="A225" s="200" t="s">
        <v>148</v>
      </c>
      <c r="B225" s="410" t="s">
        <v>673</v>
      </c>
      <c r="E225" s="413"/>
    </row>
    <row r="226">
      <c r="A226" s="200" t="s">
        <v>516</v>
      </c>
      <c r="B226" s="410" t="s">
        <v>675</v>
      </c>
      <c r="E226" s="413"/>
    </row>
    <row r="227">
      <c r="A227" s="200" t="s">
        <v>595</v>
      </c>
      <c r="B227" s="410" t="s">
        <v>678</v>
      </c>
      <c r="E227" s="413"/>
    </row>
    <row r="228">
      <c r="A228" s="200" t="s">
        <v>407</v>
      </c>
      <c r="B228" s="410" t="s">
        <v>685</v>
      </c>
      <c r="E228" s="413"/>
    </row>
    <row r="229">
      <c r="A229" s="200" t="s">
        <v>650</v>
      </c>
      <c r="B229" s="410" t="s">
        <v>694</v>
      </c>
      <c r="E229" s="413"/>
    </row>
    <row r="230">
      <c r="A230" s="200" t="s">
        <v>653</v>
      </c>
      <c r="B230" s="410" t="s">
        <v>697</v>
      </c>
      <c r="E230" s="413"/>
    </row>
    <row r="231">
      <c r="A231" s="200" t="s">
        <v>541</v>
      </c>
      <c r="B231" s="410" t="s">
        <v>699</v>
      </c>
      <c r="E231" s="413"/>
    </row>
    <row r="232">
      <c r="A232" s="200" t="s">
        <v>141</v>
      </c>
      <c r="B232" s="410" t="s">
        <v>703</v>
      </c>
      <c r="E232" s="413"/>
    </row>
    <row r="233">
      <c r="A233" s="200" t="s">
        <v>247</v>
      </c>
      <c r="B233" s="410" t="s">
        <v>706</v>
      </c>
      <c r="E233" s="413"/>
    </row>
    <row r="234">
      <c r="A234" s="200" t="s">
        <v>240</v>
      </c>
      <c r="B234" s="410" t="s">
        <v>707</v>
      </c>
      <c r="E234" s="413"/>
    </row>
    <row r="235">
      <c r="A235" s="200" t="s">
        <v>577</v>
      </c>
      <c r="B235" s="410" t="s">
        <v>710</v>
      </c>
      <c r="E235" s="413"/>
    </row>
    <row r="236">
      <c r="A236" s="200" t="s">
        <v>148</v>
      </c>
      <c r="B236" s="410" t="s">
        <v>272</v>
      </c>
      <c r="E236" s="413"/>
    </row>
    <row r="237">
      <c r="A237" s="200" t="s">
        <v>666</v>
      </c>
      <c r="B237" s="410" t="s">
        <v>715</v>
      </c>
      <c r="E237" s="413"/>
    </row>
    <row r="238">
      <c r="A238" s="200" t="s">
        <v>586</v>
      </c>
      <c r="B238" s="410" t="s">
        <v>720</v>
      </c>
      <c r="E238" s="413"/>
    </row>
    <row r="239">
      <c r="A239" s="200" t="s">
        <v>183</v>
      </c>
      <c r="B239" s="410" t="s">
        <v>427</v>
      </c>
      <c r="E239" s="413"/>
    </row>
    <row r="240">
      <c r="A240" s="200" t="s">
        <v>673</v>
      </c>
      <c r="B240" s="410" t="s">
        <v>725</v>
      </c>
      <c r="E240" s="413"/>
    </row>
    <row r="241">
      <c r="A241" s="200" t="s">
        <v>675</v>
      </c>
      <c r="B241" s="410" t="s">
        <v>728</v>
      </c>
      <c r="E241" s="413"/>
    </row>
    <row r="242">
      <c r="A242" s="421" t="s">
        <v>678</v>
      </c>
      <c r="B242" s="410" t="s">
        <v>733</v>
      </c>
      <c r="E242" s="413"/>
    </row>
    <row r="243">
      <c r="A243" s="200" t="s">
        <v>685</v>
      </c>
      <c r="B243" s="410" t="s">
        <v>737</v>
      </c>
      <c r="E243" s="413"/>
    </row>
    <row r="244">
      <c r="A244" s="200" t="s">
        <v>624</v>
      </c>
      <c r="B244" s="410" t="s">
        <v>741</v>
      </c>
      <c r="E244" s="413"/>
    </row>
    <row r="245">
      <c r="A245" s="200" t="s">
        <v>123</v>
      </c>
      <c r="B245" s="410" t="s">
        <v>747</v>
      </c>
      <c r="E245" s="413"/>
    </row>
    <row r="246">
      <c r="A246" s="200" t="s">
        <v>694</v>
      </c>
      <c r="B246" s="410" t="s">
        <v>752</v>
      </c>
      <c r="E246" s="413"/>
    </row>
    <row r="247">
      <c r="A247" s="200" t="s">
        <v>697</v>
      </c>
      <c r="B247" s="410" t="s">
        <v>757</v>
      </c>
      <c r="E247" s="413"/>
    </row>
    <row r="248">
      <c r="A248" s="200" t="s">
        <v>699</v>
      </c>
      <c r="B248" s="410" t="s">
        <v>760</v>
      </c>
      <c r="E248" s="413"/>
    </row>
    <row r="249">
      <c r="A249" s="200" t="s">
        <v>703</v>
      </c>
      <c r="B249" s="410" t="s">
        <v>771</v>
      </c>
      <c r="E249" s="413"/>
    </row>
    <row r="250">
      <c r="A250" s="200" t="s">
        <v>706</v>
      </c>
      <c r="B250" s="410" t="s">
        <v>775</v>
      </c>
      <c r="E250" s="413"/>
    </row>
    <row r="251">
      <c r="A251" s="200" t="s">
        <v>707</v>
      </c>
      <c r="B251" s="410" t="s">
        <v>785</v>
      </c>
      <c r="E251" s="413"/>
    </row>
    <row r="252">
      <c r="A252" s="200" t="s">
        <v>710</v>
      </c>
      <c r="B252" s="410" t="s">
        <v>789</v>
      </c>
      <c r="E252" s="413"/>
    </row>
    <row r="253">
      <c r="A253" s="200" t="s">
        <v>272</v>
      </c>
      <c r="B253" s="410" t="s">
        <v>794</v>
      </c>
      <c r="E253" s="413"/>
    </row>
    <row r="254">
      <c r="A254" s="200" t="s">
        <v>715</v>
      </c>
      <c r="B254" s="410" t="s">
        <v>305</v>
      </c>
      <c r="E254" s="413"/>
    </row>
    <row r="255">
      <c r="A255" s="200" t="s">
        <v>183</v>
      </c>
      <c r="B255" s="410" t="s">
        <v>94</v>
      </c>
      <c r="E255" s="413"/>
    </row>
    <row r="256">
      <c r="A256" s="200" t="s">
        <v>720</v>
      </c>
      <c r="B256" s="410" t="s">
        <v>826</v>
      </c>
      <c r="E256" s="413"/>
    </row>
    <row r="257">
      <c r="A257" s="200" t="s">
        <v>427</v>
      </c>
      <c r="B257" s="410" t="s">
        <v>836</v>
      </c>
      <c r="E257" s="413"/>
    </row>
    <row r="258">
      <c r="A258" s="200" t="s">
        <v>725</v>
      </c>
      <c r="B258" s="410" t="s">
        <v>150</v>
      </c>
      <c r="E258" s="413"/>
    </row>
    <row r="259">
      <c r="A259" s="200" t="s">
        <v>728</v>
      </c>
      <c r="B259" s="410" t="s">
        <v>780</v>
      </c>
      <c r="E259" s="413"/>
    </row>
    <row r="260">
      <c r="A260" s="422" t="s">
        <v>183</v>
      </c>
      <c r="B260" s="410" t="s">
        <v>852</v>
      </c>
      <c r="E260" s="413"/>
    </row>
    <row r="261">
      <c r="A261" s="200" t="s">
        <v>733</v>
      </c>
      <c r="B261" s="410" t="s">
        <v>347</v>
      </c>
      <c r="E261" s="413"/>
    </row>
    <row r="262">
      <c r="A262" s="200" t="s">
        <v>737</v>
      </c>
      <c r="B262" s="410" t="s">
        <v>868</v>
      </c>
      <c r="E262" s="413"/>
    </row>
    <row r="263">
      <c r="A263" s="200" t="s">
        <v>741</v>
      </c>
      <c r="B263" s="410" t="s">
        <v>872</v>
      </c>
      <c r="E263" s="413"/>
    </row>
    <row r="264">
      <c r="A264" s="200" t="s">
        <v>123</v>
      </c>
      <c r="B264" s="410" t="s">
        <v>876</v>
      </c>
      <c r="E264" s="413"/>
    </row>
    <row r="265">
      <c r="A265" s="200" t="s">
        <v>747</v>
      </c>
      <c r="B265" s="410" t="s">
        <v>424</v>
      </c>
      <c r="E265" s="413"/>
    </row>
    <row r="266">
      <c r="A266" s="200" t="s">
        <v>747</v>
      </c>
      <c r="B266" s="410" t="s">
        <v>883</v>
      </c>
      <c r="E266" s="413"/>
    </row>
    <row r="267">
      <c r="A267" s="200" t="s">
        <v>747</v>
      </c>
      <c r="B267" s="410" t="s">
        <v>887</v>
      </c>
      <c r="E267" s="413"/>
    </row>
    <row r="268">
      <c r="A268" s="200" t="s">
        <v>752</v>
      </c>
      <c r="B268" s="410" t="s">
        <v>171</v>
      </c>
      <c r="E268" s="413"/>
    </row>
    <row r="269">
      <c r="A269" s="200" t="s">
        <v>757</v>
      </c>
      <c r="B269" s="410" t="s">
        <v>895</v>
      </c>
      <c r="E269" s="413"/>
    </row>
    <row r="270">
      <c r="A270" s="200" t="s">
        <v>760</v>
      </c>
      <c r="B270" s="410" t="s">
        <v>897</v>
      </c>
      <c r="E270" s="413"/>
    </row>
    <row r="271">
      <c r="A271" s="200" t="s">
        <v>771</v>
      </c>
      <c r="B271" s="410" t="s">
        <v>276</v>
      </c>
      <c r="E271" s="413"/>
    </row>
    <row r="272">
      <c r="A272" s="200" t="s">
        <v>775</v>
      </c>
      <c r="B272" s="410" t="s">
        <v>912</v>
      </c>
      <c r="E272" s="413"/>
    </row>
    <row r="273">
      <c r="A273" s="200" t="s">
        <v>785</v>
      </c>
      <c r="B273" s="410" t="s">
        <v>234</v>
      </c>
      <c r="E273" s="413"/>
    </row>
    <row r="274">
      <c r="A274" s="200" t="s">
        <v>789</v>
      </c>
      <c r="B274" s="410" t="s">
        <v>108</v>
      </c>
      <c r="E274" s="413"/>
    </row>
    <row r="275">
      <c r="A275" s="200" t="s">
        <v>794</v>
      </c>
      <c r="B275" s="410" t="s">
        <v>160</v>
      </c>
      <c r="E275" s="413"/>
    </row>
    <row r="276">
      <c r="A276" s="200" t="s">
        <v>760</v>
      </c>
      <c r="B276" s="410" t="s">
        <v>925</v>
      </c>
      <c r="E276" s="413"/>
    </row>
    <row r="277">
      <c r="A277" s="200" t="s">
        <v>123</v>
      </c>
      <c r="B277" s="410" t="s">
        <v>104</v>
      </c>
      <c r="E277" s="413"/>
    </row>
    <row r="278">
      <c r="A278" s="200" t="s">
        <v>636</v>
      </c>
      <c r="B278" s="410" t="s">
        <v>938</v>
      </c>
      <c r="E278" s="413"/>
    </row>
    <row r="279">
      <c r="A279" s="200" t="s">
        <v>193</v>
      </c>
      <c r="B279" s="410" t="s">
        <v>943</v>
      </c>
      <c r="E279" s="413"/>
    </row>
    <row r="280">
      <c r="A280" s="200" t="s">
        <v>794</v>
      </c>
      <c r="B280" s="410" t="s">
        <v>947</v>
      </c>
      <c r="E280" s="413"/>
    </row>
    <row r="281">
      <c r="A281" s="200" t="s">
        <v>305</v>
      </c>
      <c r="B281" s="410" t="s">
        <v>293</v>
      </c>
      <c r="E281" s="413"/>
    </row>
    <row r="282">
      <c r="A282" s="200" t="s">
        <v>94</v>
      </c>
      <c r="B282" s="410" t="s">
        <v>954</v>
      </c>
      <c r="E282" s="413"/>
    </row>
    <row r="283">
      <c r="A283" s="200" t="s">
        <v>675</v>
      </c>
      <c r="B283" s="410" t="s">
        <v>213</v>
      </c>
      <c r="E283" s="413"/>
    </row>
    <row r="284">
      <c r="A284" s="200" t="s">
        <v>826</v>
      </c>
      <c r="B284" s="410" t="s">
        <v>959</v>
      </c>
      <c r="E284" s="413"/>
    </row>
    <row r="285">
      <c r="A285" s="200" t="s">
        <v>697</v>
      </c>
      <c r="B285" s="410" t="s">
        <v>134</v>
      </c>
      <c r="E285" s="413"/>
    </row>
    <row r="286">
      <c r="A286" s="200" t="s">
        <v>836</v>
      </c>
      <c r="B286" s="410" t="s">
        <v>969</v>
      </c>
      <c r="E286" s="413"/>
    </row>
    <row r="287">
      <c r="A287" s="200" t="s">
        <v>150</v>
      </c>
      <c r="B287" s="410" t="s">
        <v>972</v>
      </c>
      <c r="E287" s="413"/>
    </row>
    <row r="288">
      <c r="A288" s="200" t="s">
        <v>284</v>
      </c>
      <c r="B288" s="410" t="s">
        <v>574</v>
      </c>
      <c r="E288" s="413"/>
    </row>
    <row r="289">
      <c r="A289" s="200" t="s">
        <v>780</v>
      </c>
      <c r="B289" s="410" t="s">
        <v>980</v>
      </c>
      <c r="E289" s="413"/>
    </row>
    <row r="290">
      <c r="A290" s="200" t="s">
        <v>624</v>
      </c>
      <c r="B290" s="410" t="s">
        <v>986</v>
      </c>
      <c r="E290" s="413"/>
    </row>
    <row r="291">
      <c r="A291" s="200" t="s">
        <v>852</v>
      </c>
      <c r="B291" s="410" t="s">
        <v>1000</v>
      </c>
      <c r="E291" s="413"/>
    </row>
    <row r="292">
      <c r="A292" s="200" t="s">
        <v>251</v>
      </c>
      <c r="B292" s="410" t="s">
        <v>188</v>
      </c>
      <c r="E292" s="413"/>
    </row>
    <row r="293">
      <c r="A293" s="200" t="s">
        <v>347</v>
      </c>
      <c r="B293" s="410" t="s">
        <v>323</v>
      </c>
      <c r="E293" s="413"/>
    </row>
    <row r="294">
      <c r="A294" s="200" t="s">
        <v>37</v>
      </c>
      <c r="B294" s="410" t="s">
        <v>1025</v>
      </c>
      <c r="E294" s="413"/>
    </row>
    <row r="295">
      <c r="A295" s="200" t="s">
        <v>868</v>
      </c>
      <c r="B295" s="410" t="s">
        <v>1032</v>
      </c>
      <c r="E295" s="413"/>
    </row>
    <row r="296">
      <c r="A296" s="200" t="s">
        <v>872</v>
      </c>
      <c r="B296" s="410" t="s">
        <v>1041</v>
      </c>
      <c r="E296" s="413"/>
    </row>
    <row r="297">
      <c r="A297" s="200" t="s">
        <v>876</v>
      </c>
      <c r="B297" s="410" t="s">
        <v>1045</v>
      </c>
      <c r="E297" s="413"/>
    </row>
    <row r="298">
      <c r="A298" s="200" t="s">
        <v>424</v>
      </c>
      <c r="B298" s="410" t="s">
        <v>416</v>
      </c>
      <c r="E298" s="413"/>
    </row>
    <row r="299">
      <c r="A299" s="200" t="s">
        <v>883</v>
      </c>
      <c r="B299" s="410" t="s">
        <v>385</v>
      </c>
      <c r="E299" s="413"/>
    </row>
    <row r="300">
      <c r="A300" s="200" t="s">
        <v>887</v>
      </c>
      <c r="B300" s="410" t="s">
        <v>1072</v>
      </c>
      <c r="E300" s="413"/>
    </row>
    <row r="301">
      <c r="A301" s="200" t="s">
        <v>171</v>
      </c>
      <c r="B301" s="410" t="s">
        <v>1060</v>
      </c>
      <c r="E301" s="413"/>
    </row>
    <row r="302">
      <c r="A302" s="200" t="s">
        <v>895</v>
      </c>
      <c r="B302" s="410" t="s">
        <v>1103</v>
      </c>
      <c r="E302" s="413"/>
    </row>
    <row r="303">
      <c r="A303" s="200" t="s">
        <v>897</v>
      </c>
      <c r="B303" s="410" t="s">
        <v>1106</v>
      </c>
      <c r="E303" s="413"/>
    </row>
    <row r="304">
      <c r="A304" s="200" t="s">
        <v>382</v>
      </c>
      <c r="B304" s="410" t="s">
        <v>1116</v>
      </c>
      <c r="E304" s="413"/>
    </row>
    <row r="305">
      <c r="A305" s="200" t="s">
        <v>94</v>
      </c>
      <c r="B305" s="410" t="s">
        <v>195</v>
      </c>
      <c r="E305" s="413"/>
    </row>
    <row r="306">
      <c r="A306" s="200" t="s">
        <v>148</v>
      </c>
      <c r="B306" s="410" t="s">
        <v>374</v>
      </c>
      <c r="E306" s="413"/>
    </row>
    <row r="307">
      <c r="A307" s="200" t="s">
        <v>276</v>
      </c>
      <c r="B307" s="410" t="s">
        <v>333</v>
      </c>
      <c r="E307" s="413"/>
    </row>
    <row r="308">
      <c r="A308" s="200" t="s">
        <v>912</v>
      </c>
      <c r="B308" s="410" t="s">
        <v>1185</v>
      </c>
      <c r="E308" s="413"/>
    </row>
    <row r="309">
      <c r="A309" s="200" t="s">
        <v>123</v>
      </c>
      <c r="B309" s="410" t="s">
        <v>366</v>
      </c>
      <c r="E309" s="413"/>
    </row>
    <row r="310">
      <c r="A310" s="200" t="s">
        <v>305</v>
      </c>
      <c r="B310" s="410" t="s">
        <v>137</v>
      </c>
      <c r="E310" s="413"/>
    </row>
    <row r="311">
      <c r="A311" s="200" t="s">
        <v>234</v>
      </c>
      <c r="B311" s="410" t="s">
        <v>1213</v>
      </c>
      <c r="E311" s="413"/>
    </row>
    <row r="312">
      <c r="A312" s="200" t="s">
        <v>108</v>
      </c>
      <c r="B312" s="410" t="s">
        <v>1224</v>
      </c>
      <c r="E312" s="413"/>
    </row>
    <row r="313">
      <c r="A313" s="200" t="s">
        <v>160</v>
      </c>
      <c r="B313" s="410" t="s">
        <v>1242</v>
      </c>
      <c r="E313" s="413"/>
    </row>
    <row r="314">
      <c r="A314" s="200" t="s">
        <v>925</v>
      </c>
      <c r="B314" s="410" t="s">
        <v>1253</v>
      </c>
      <c r="E314" s="413"/>
    </row>
    <row r="315">
      <c r="A315" s="200" t="s">
        <v>104</v>
      </c>
      <c r="B315" s="410" t="s">
        <v>1267</v>
      </c>
      <c r="E315" s="413"/>
    </row>
    <row r="316">
      <c r="A316" s="200" t="s">
        <v>699</v>
      </c>
      <c r="B316" s="410" t="s">
        <v>168</v>
      </c>
      <c r="E316" s="413"/>
    </row>
    <row r="317">
      <c r="A317" s="200" t="s">
        <v>37</v>
      </c>
      <c r="B317" s="410" t="s">
        <v>1280</v>
      </c>
      <c r="E317" s="413"/>
    </row>
    <row r="318">
      <c r="A318" s="200" t="s">
        <v>938</v>
      </c>
      <c r="B318" s="410" t="s">
        <v>1284</v>
      </c>
      <c r="E318" s="413"/>
    </row>
    <row r="319">
      <c r="A319" s="200" t="s">
        <v>305</v>
      </c>
      <c r="B319" s="410" t="s">
        <v>414</v>
      </c>
      <c r="E319" s="413"/>
    </row>
    <row r="320">
      <c r="A320" s="200" t="s">
        <v>943</v>
      </c>
      <c r="B320" s="410" t="s">
        <v>1304</v>
      </c>
      <c r="E320" s="413"/>
    </row>
    <row r="321">
      <c r="A321" s="200" t="s">
        <v>947</v>
      </c>
      <c r="B321" s="410" t="s">
        <v>1306</v>
      </c>
      <c r="E321" s="413"/>
    </row>
    <row r="322">
      <c r="A322" s="200" t="s">
        <v>293</v>
      </c>
      <c r="B322" s="410" t="s">
        <v>1318</v>
      </c>
      <c r="E322" s="413"/>
    </row>
    <row r="323">
      <c r="A323" s="200" t="s">
        <v>954</v>
      </c>
      <c r="B323" s="410" t="s">
        <v>1322</v>
      </c>
      <c r="E323" s="413"/>
    </row>
    <row r="324">
      <c r="A324" s="200" t="s">
        <v>213</v>
      </c>
      <c r="B324" s="410" t="s">
        <v>368</v>
      </c>
      <c r="E324" s="413"/>
    </row>
    <row r="325">
      <c r="A325" s="200" t="s">
        <v>959</v>
      </c>
      <c r="B325" s="410" t="s">
        <v>1345</v>
      </c>
      <c r="E325" s="413"/>
    </row>
    <row r="326">
      <c r="A326" s="200" t="s">
        <v>710</v>
      </c>
      <c r="B326" s="410" t="s">
        <v>1366</v>
      </c>
      <c r="E326" s="413"/>
    </row>
    <row r="327">
      <c r="A327" s="200" t="s">
        <v>134</v>
      </c>
      <c r="B327" s="410" t="s">
        <v>78</v>
      </c>
      <c r="E327" s="413"/>
    </row>
    <row r="328">
      <c r="A328" s="200" t="s">
        <v>969</v>
      </c>
      <c r="B328" s="410" t="s">
        <v>1406</v>
      </c>
      <c r="E328" s="413"/>
    </row>
    <row r="329">
      <c r="A329" s="200" t="s">
        <v>972</v>
      </c>
      <c r="B329" s="410" t="s">
        <v>237</v>
      </c>
      <c r="E329" s="413"/>
    </row>
    <row r="330">
      <c r="A330" s="200" t="s">
        <v>574</v>
      </c>
      <c r="B330" s="410" t="s">
        <v>1425</v>
      </c>
      <c r="E330" s="413"/>
    </row>
    <row r="331">
      <c r="A331" s="200" t="s">
        <v>980</v>
      </c>
      <c r="B331" s="410" t="s">
        <v>1461</v>
      </c>
      <c r="E331" s="413"/>
    </row>
    <row r="332">
      <c r="A332" s="200" t="s">
        <v>986</v>
      </c>
      <c r="B332" s="410" t="s">
        <v>1489</v>
      </c>
      <c r="E332" s="413"/>
    </row>
    <row r="333">
      <c r="A333" s="200" t="s">
        <v>752</v>
      </c>
      <c r="B333" s="410" t="s">
        <v>1503</v>
      </c>
      <c r="E333" s="413"/>
    </row>
    <row r="334">
      <c r="A334" s="200" t="s">
        <v>1000</v>
      </c>
      <c r="B334" s="410" t="s">
        <v>1527</v>
      </c>
      <c r="E334" s="413"/>
    </row>
    <row r="335">
      <c r="A335" s="200" t="s">
        <v>760</v>
      </c>
      <c r="B335" s="410" t="s">
        <v>308</v>
      </c>
      <c r="E335" s="413"/>
    </row>
    <row r="336">
      <c r="A336" s="200" t="s">
        <v>188</v>
      </c>
      <c r="B336" s="410" t="s">
        <v>1532</v>
      </c>
      <c r="E336" s="413"/>
    </row>
    <row r="337">
      <c r="A337" s="200" t="s">
        <v>188</v>
      </c>
      <c r="B337" s="410" t="s">
        <v>1539</v>
      </c>
      <c r="E337" s="413"/>
    </row>
    <row r="338">
      <c r="A338" s="200" t="s">
        <v>323</v>
      </c>
      <c r="B338" s="410" t="s">
        <v>1547</v>
      </c>
      <c r="E338" s="413"/>
    </row>
    <row r="339">
      <c r="A339" s="200" t="s">
        <v>780</v>
      </c>
      <c r="B339" s="410" t="s">
        <v>162</v>
      </c>
      <c r="E339" s="413"/>
    </row>
    <row r="340">
      <c r="A340" s="200" t="s">
        <v>947</v>
      </c>
      <c r="B340" s="413" t="s">
        <v>101</v>
      </c>
      <c r="E340" s="413"/>
    </row>
    <row r="341">
      <c r="A341" s="200" t="s">
        <v>231</v>
      </c>
      <c r="B341" s="413" t="s">
        <v>1586</v>
      </c>
      <c r="E341" s="413"/>
    </row>
    <row r="342">
      <c r="A342" s="200" t="s">
        <v>747</v>
      </c>
      <c r="B342" s="413" t="s">
        <v>600</v>
      </c>
      <c r="E342" s="413"/>
    </row>
    <row r="343">
      <c r="A343" s="200" t="s">
        <v>1025</v>
      </c>
      <c r="B343" s="413" t="s">
        <v>1645</v>
      </c>
      <c r="E343" s="413"/>
    </row>
    <row r="344">
      <c r="A344" s="200" t="s">
        <v>1032</v>
      </c>
      <c r="B344" s="413" t="s">
        <v>1661</v>
      </c>
      <c r="E344" s="413"/>
    </row>
    <row r="345">
      <c r="A345" s="200" t="s">
        <v>1041</v>
      </c>
      <c r="B345" s="413" t="s">
        <v>1667</v>
      </c>
      <c r="E345" s="413"/>
    </row>
    <row r="346">
      <c r="A346" s="200" t="s">
        <v>1045</v>
      </c>
      <c r="B346" s="410"/>
      <c r="E346" s="413"/>
    </row>
    <row r="347">
      <c r="A347" s="200" t="s">
        <v>436</v>
      </c>
      <c r="E347" s="413"/>
    </row>
    <row r="348">
      <c r="A348" s="200" t="s">
        <v>416</v>
      </c>
      <c r="E348" s="413"/>
    </row>
    <row r="349">
      <c r="A349" s="200" t="s">
        <v>737</v>
      </c>
      <c r="E349" s="413"/>
    </row>
    <row r="350">
      <c r="A350" s="200" t="s">
        <v>385</v>
      </c>
      <c r="E350" s="413"/>
    </row>
    <row r="351">
      <c r="A351" s="200" t="s">
        <v>697</v>
      </c>
      <c r="E351" s="413"/>
    </row>
    <row r="352">
      <c r="A352" s="200" t="s">
        <v>595</v>
      </c>
      <c r="E352" s="413"/>
    </row>
    <row r="353">
      <c r="A353" s="200" t="s">
        <v>1072</v>
      </c>
      <c r="E353" s="413"/>
    </row>
    <row r="354">
      <c r="A354" s="200" t="s">
        <v>586</v>
      </c>
      <c r="E354" s="413"/>
    </row>
    <row r="355">
      <c r="A355" s="200" t="s">
        <v>1060</v>
      </c>
      <c r="E355" s="413"/>
    </row>
    <row r="356">
      <c r="A356" s="200" t="s">
        <v>1060</v>
      </c>
      <c r="E356" s="413"/>
    </row>
    <row r="357">
      <c r="A357" s="200" t="s">
        <v>479</v>
      </c>
      <c r="E357" s="413"/>
    </row>
    <row r="358">
      <c r="A358" s="200" t="s">
        <v>586</v>
      </c>
      <c r="E358" s="413"/>
    </row>
    <row r="359">
      <c r="A359" s="200" t="s">
        <v>323</v>
      </c>
      <c r="E359" s="413"/>
    </row>
    <row r="360">
      <c r="A360" s="200" t="s">
        <v>323</v>
      </c>
      <c r="E360" s="413"/>
    </row>
    <row r="361">
      <c r="A361" s="200" t="s">
        <v>1103</v>
      </c>
      <c r="E361" s="413"/>
    </row>
    <row r="362">
      <c r="A362" s="200" t="s">
        <v>1106</v>
      </c>
      <c r="E362" s="413"/>
    </row>
    <row r="363">
      <c r="A363" s="421" t="s">
        <v>123</v>
      </c>
      <c r="E363" s="413"/>
    </row>
    <row r="364">
      <c r="A364" s="200" t="s">
        <v>245</v>
      </c>
      <c r="E364" s="413"/>
    </row>
    <row r="365">
      <c r="A365" s="200" t="s">
        <v>1116</v>
      </c>
      <c r="E365" s="413"/>
    </row>
    <row r="366">
      <c r="A366" s="200" t="s">
        <v>986</v>
      </c>
      <c r="E366" s="413"/>
    </row>
    <row r="367">
      <c r="A367" s="200" t="s">
        <v>272</v>
      </c>
      <c r="E367" s="413"/>
    </row>
    <row r="368">
      <c r="A368" s="200" t="s">
        <v>872</v>
      </c>
      <c r="E368" s="413"/>
    </row>
    <row r="369">
      <c r="A369" s="200" t="s">
        <v>123</v>
      </c>
      <c r="E369" s="413"/>
    </row>
    <row r="370">
      <c r="A370" s="200" t="s">
        <v>195</v>
      </c>
      <c r="E370" s="413"/>
    </row>
    <row r="371">
      <c r="A371" s="200" t="s">
        <v>195</v>
      </c>
      <c r="E371" s="413"/>
    </row>
    <row r="372">
      <c r="A372" s="200" t="s">
        <v>424</v>
      </c>
      <c r="E372" s="413"/>
    </row>
    <row r="373">
      <c r="A373" s="200" t="s">
        <v>195</v>
      </c>
      <c r="E373" s="413"/>
    </row>
    <row r="374">
      <c r="A374" s="200" t="s">
        <v>195</v>
      </c>
      <c r="E374" s="413"/>
    </row>
    <row r="375">
      <c r="A375" s="200" t="s">
        <v>516</v>
      </c>
      <c r="E375" s="413"/>
    </row>
    <row r="376">
      <c r="A376" s="200" t="s">
        <v>374</v>
      </c>
      <c r="E376" s="413"/>
    </row>
    <row r="377">
      <c r="A377" s="200" t="s">
        <v>240</v>
      </c>
      <c r="E377" s="413"/>
    </row>
    <row r="378">
      <c r="A378" s="200" t="s">
        <v>333</v>
      </c>
      <c r="E378" s="413"/>
    </row>
    <row r="379">
      <c r="A379" s="200" t="s">
        <v>148</v>
      </c>
      <c r="E379" s="413"/>
    </row>
    <row r="380">
      <c r="A380" s="200" t="s">
        <v>108</v>
      </c>
      <c r="E380" s="413"/>
    </row>
    <row r="381">
      <c r="A381" s="200" t="s">
        <v>94</v>
      </c>
      <c r="E381" s="413"/>
    </row>
    <row r="382">
      <c r="A382" s="200" t="s">
        <v>479</v>
      </c>
      <c r="E382" s="413"/>
    </row>
    <row r="383">
      <c r="A383" s="200" t="s">
        <v>479</v>
      </c>
      <c r="E383" s="413"/>
    </row>
    <row r="384">
      <c r="A384" s="200" t="s">
        <v>148</v>
      </c>
      <c r="E384" s="413"/>
    </row>
    <row r="385">
      <c r="A385" s="200" t="s">
        <v>1185</v>
      </c>
      <c r="E385" s="413"/>
    </row>
    <row r="386">
      <c r="A386" s="200" t="s">
        <v>50</v>
      </c>
      <c r="E386" s="413"/>
    </row>
    <row r="387">
      <c r="A387" s="200" t="s">
        <v>780</v>
      </c>
      <c r="E387" s="413"/>
    </row>
    <row r="388">
      <c r="A388" s="200" t="s">
        <v>284</v>
      </c>
      <c r="E388" s="413"/>
    </row>
    <row r="389">
      <c r="A389" s="200" t="s">
        <v>123</v>
      </c>
      <c r="E389" s="413"/>
    </row>
    <row r="390">
      <c r="A390" s="200" t="s">
        <v>366</v>
      </c>
      <c r="E390" s="413"/>
    </row>
    <row r="391">
      <c r="A391" s="200" t="s">
        <v>374</v>
      </c>
      <c r="E391" s="413"/>
    </row>
    <row r="392">
      <c r="A392" s="200" t="s">
        <v>374</v>
      </c>
      <c r="E392" s="413"/>
    </row>
    <row r="393">
      <c r="A393" s="200" t="s">
        <v>374</v>
      </c>
      <c r="E393" s="413"/>
    </row>
    <row r="394">
      <c r="A394" s="200" t="s">
        <v>137</v>
      </c>
      <c r="E394" s="413"/>
    </row>
    <row r="395">
      <c r="A395" s="200" t="s">
        <v>1060</v>
      </c>
      <c r="E395" s="413"/>
    </row>
    <row r="396">
      <c r="A396" s="200" t="s">
        <v>1213</v>
      </c>
      <c r="E396" s="413"/>
    </row>
    <row r="397">
      <c r="A397" s="200" t="s">
        <v>943</v>
      </c>
      <c r="E397" s="413"/>
    </row>
    <row r="398">
      <c r="A398" s="200" t="s">
        <v>1224</v>
      </c>
      <c r="E398" s="413"/>
    </row>
    <row r="399">
      <c r="A399" s="200" t="s">
        <v>382</v>
      </c>
      <c r="E399" s="413"/>
    </row>
    <row r="400">
      <c r="A400" s="200" t="s">
        <v>954</v>
      </c>
      <c r="E400" s="413"/>
    </row>
    <row r="401">
      <c r="A401" s="200" t="s">
        <v>943</v>
      </c>
      <c r="E401" s="413"/>
    </row>
    <row r="402">
      <c r="A402" s="200" t="s">
        <v>123</v>
      </c>
      <c r="E402" s="413"/>
    </row>
    <row r="403">
      <c r="A403" s="200" t="s">
        <v>1242</v>
      </c>
      <c r="E403" s="413"/>
    </row>
    <row r="404">
      <c r="A404" s="200" t="s">
        <v>516</v>
      </c>
      <c r="E404" s="413"/>
    </row>
    <row r="405">
      <c r="A405" s="200" t="s">
        <v>219</v>
      </c>
      <c r="E405" s="413"/>
    </row>
    <row r="406">
      <c r="A406" s="200" t="s">
        <v>1253</v>
      </c>
      <c r="E406" s="413"/>
    </row>
    <row r="407">
      <c r="A407" s="200" t="s">
        <v>374</v>
      </c>
      <c r="E407" s="413"/>
    </row>
    <row r="408">
      <c r="A408" s="200" t="s">
        <v>366</v>
      </c>
      <c r="E408" s="413"/>
    </row>
    <row r="409">
      <c r="A409" s="200" t="s">
        <v>516</v>
      </c>
      <c r="E409" s="413"/>
    </row>
    <row r="410">
      <c r="A410" s="200" t="s">
        <v>201</v>
      </c>
      <c r="E410" s="413"/>
    </row>
    <row r="411">
      <c r="A411" s="200" t="s">
        <v>1267</v>
      </c>
      <c r="E411" s="413"/>
    </row>
    <row r="412">
      <c r="A412" s="200" t="s">
        <v>168</v>
      </c>
      <c r="E412" s="413"/>
    </row>
    <row r="413">
      <c r="A413" s="200" t="s">
        <v>487</v>
      </c>
      <c r="E413" s="413"/>
    </row>
    <row r="414">
      <c r="A414" s="200" t="s">
        <v>487</v>
      </c>
      <c r="E414" s="413"/>
    </row>
    <row r="415">
      <c r="A415" s="200" t="s">
        <v>276</v>
      </c>
      <c r="E415" s="413"/>
    </row>
    <row r="416">
      <c r="A416" s="200" t="s">
        <v>1280</v>
      </c>
      <c r="E416" s="413"/>
    </row>
    <row r="417">
      <c r="A417" s="200" t="s">
        <v>1284</v>
      </c>
      <c r="E417" s="413"/>
    </row>
    <row r="418">
      <c r="A418" s="200" t="s">
        <v>333</v>
      </c>
      <c r="E418" s="413"/>
    </row>
    <row r="419">
      <c r="A419" s="200" t="s">
        <v>37</v>
      </c>
      <c r="E419" s="413"/>
    </row>
    <row r="420">
      <c r="A420" s="200" t="s">
        <v>37</v>
      </c>
      <c r="E420" s="413"/>
    </row>
    <row r="421">
      <c r="A421" s="200" t="s">
        <v>37</v>
      </c>
      <c r="E421" s="413"/>
    </row>
    <row r="422">
      <c r="A422" s="200" t="s">
        <v>482</v>
      </c>
      <c r="E422" s="413"/>
    </row>
    <row r="423">
      <c r="A423" s="200" t="s">
        <v>414</v>
      </c>
      <c r="E423" s="413"/>
    </row>
    <row r="424">
      <c r="A424" s="200" t="s">
        <v>245</v>
      </c>
      <c r="E424" s="413"/>
    </row>
    <row r="425">
      <c r="A425" s="200" t="s">
        <v>195</v>
      </c>
      <c r="E425" s="413"/>
    </row>
    <row r="426">
      <c r="A426" s="200" t="s">
        <v>1304</v>
      </c>
      <c r="E426" s="413"/>
    </row>
    <row r="427">
      <c r="A427" s="200" t="s">
        <v>1306</v>
      </c>
      <c r="E427" s="413"/>
    </row>
    <row r="428">
      <c r="A428" s="200" t="s">
        <v>195</v>
      </c>
      <c r="E428" s="413"/>
    </row>
    <row r="429">
      <c r="A429" s="200" t="s">
        <v>94</v>
      </c>
      <c r="E429" s="413"/>
    </row>
    <row r="430">
      <c r="A430" s="200" t="s">
        <v>760</v>
      </c>
      <c r="E430" s="413"/>
    </row>
    <row r="431">
      <c r="A431" s="200" t="s">
        <v>1318</v>
      </c>
      <c r="E431" s="413"/>
    </row>
    <row r="432">
      <c r="A432" s="200" t="s">
        <v>37</v>
      </c>
      <c r="E432" s="413"/>
    </row>
    <row r="433">
      <c r="A433" s="200" t="s">
        <v>1322</v>
      </c>
      <c r="E433" s="413"/>
    </row>
    <row r="434">
      <c r="A434" s="200" t="s">
        <v>240</v>
      </c>
      <c r="E434" s="413"/>
    </row>
    <row r="435">
      <c r="A435" s="200" t="s">
        <v>368</v>
      </c>
      <c r="E435" s="413"/>
    </row>
    <row r="436">
      <c r="A436" s="200" t="s">
        <v>1060</v>
      </c>
      <c r="E436" s="413"/>
    </row>
    <row r="437">
      <c r="A437" s="200" t="s">
        <v>94</v>
      </c>
      <c r="E437" s="413"/>
    </row>
    <row r="438">
      <c r="A438" s="200" t="s">
        <v>366</v>
      </c>
      <c r="E438" s="413"/>
    </row>
    <row r="439">
      <c r="A439" s="200" t="s">
        <v>94</v>
      </c>
      <c r="E439" s="413"/>
    </row>
    <row r="440">
      <c r="A440" s="200" t="s">
        <v>94</v>
      </c>
      <c r="E440" s="413"/>
    </row>
    <row r="441">
      <c r="A441" s="200" t="s">
        <v>574</v>
      </c>
      <c r="E441" s="413"/>
    </row>
    <row r="442">
      <c r="A442" s="200" t="s">
        <v>1345</v>
      </c>
      <c r="E442" s="413"/>
    </row>
    <row r="443">
      <c r="A443" s="200" t="s">
        <v>780</v>
      </c>
      <c r="E443" s="413"/>
    </row>
    <row r="444">
      <c r="A444" s="421" t="s">
        <v>760</v>
      </c>
      <c r="E444" s="413"/>
    </row>
    <row r="445">
      <c r="A445" s="200" t="s">
        <v>938</v>
      </c>
      <c r="E445" s="413"/>
    </row>
    <row r="446">
      <c r="A446" s="200" t="s">
        <v>427</v>
      </c>
      <c r="E446" s="413"/>
    </row>
    <row r="447">
      <c r="A447" s="200" t="s">
        <v>1366</v>
      </c>
      <c r="E447" s="413"/>
    </row>
    <row r="448">
      <c r="A448" s="200" t="s">
        <v>636</v>
      </c>
      <c r="E448" s="413"/>
    </row>
    <row r="449">
      <c r="A449" s="200" t="s">
        <v>636</v>
      </c>
      <c r="E449" s="413"/>
    </row>
    <row r="450">
      <c r="A450" s="200" t="s">
        <v>272</v>
      </c>
      <c r="E450" s="413"/>
    </row>
    <row r="451">
      <c r="A451" s="200" t="s">
        <v>272</v>
      </c>
      <c r="E451" s="413"/>
    </row>
    <row r="452">
      <c r="A452" s="200" t="s">
        <v>78</v>
      </c>
      <c r="E452" s="413"/>
    </row>
    <row r="453">
      <c r="A453" s="200" t="s">
        <v>111</v>
      </c>
      <c r="E453" s="413"/>
    </row>
    <row r="454">
      <c r="A454" s="200" t="s">
        <v>586</v>
      </c>
      <c r="E454" s="413"/>
    </row>
    <row r="455">
      <c r="A455" s="200" t="s">
        <v>771</v>
      </c>
      <c r="E455" s="413"/>
    </row>
    <row r="456">
      <c r="A456" s="200" t="s">
        <v>1406</v>
      </c>
      <c r="E456" s="413"/>
    </row>
    <row r="457">
      <c r="A457" s="200" t="s">
        <v>237</v>
      </c>
      <c r="E457" s="413"/>
    </row>
    <row r="458">
      <c r="A458" s="200" t="s">
        <v>123</v>
      </c>
      <c r="E458" s="413"/>
    </row>
    <row r="459">
      <c r="A459" s="200" t="s">
        <v>293</v>
      </c>
      <c r="E459" s="413"/>
    </row>
    <row r="460">
      <c r="A460" s="200" t="s">
        <v>1045</v>
      </c>
      <c r="E460" s="413"/>
    </row>
    <row r="461">
      <c r="A461" s="200" t="s">
        <v>1106</v>
      </c>
      <c r="E461" s="413"/>
    </row>
    <row r="462">
      <c r="A462" s="200" t="s">
        <v>1425</v>
      </c>
      <c r="E462" s="413"/>
    </row>
    <row r="463">
      <c r="A463" s="200" t="s">
        <v>123</v>
      </c>
      <c r="E463" s="413"/>
    </row>
    <row r="464">
      <c r="A464" s="200" t="s">
        <v>219</v>
      </c>
      <c r="E464" s="413"/>
    </row>
    <row r="465">
      <c r="A465" s="200" t="s">
        <v>595</v>
      </c>
      <c r="E465" s="413"/>
    </row>
    <row r="466">
      <c r="A466" s="200" t="s">
        <v>1242</v>
      </c>
      <c r="E466" s="413"/>
    </row>
    <row r="467">
      <c r="A467" s="417" t="s">
        <v>1425</v>
      </c>
      <c r="E467" s="413"/>
    </row>
    <row r="468">
      <c r="A468" s="200" t="s">
        <v>1284</v>
      </c>
      <c r="E468" s="413"/>
    </row>
    <row r="469">
      <c r="A469" s="200" t="s">
        <v>1461</v>
      </c>
      <c r="E469" s="413"/>
    </row>
    <row r="470">
      <c r="A470" s="200" t="s">
        <v>1461</v>
      </c>
      <c r="E470" s="413"/>
    </row>
    <row r="471">
      <c r="A471" s="200" t="s">
        <v>366</v>
      </c>
      <c r="E471" s="413"/>
    </row>
    <row r="472">
      <c r="A472" s="200" t="s">
        <v>37</v>
      </c>
      <c r="E472" s="413"/>
    </row>
    <row r="473">
      <c r="A473" s="200" t="s">
        <v>37</v>
      </c>
      <c r="E473" s="413"/>
    </row>
    <row r="474">
      <c r="A474" s="200" t="s">
        <v>150</v>
      </c>
      <c r="E474" s="413"/>
    </row>
    <row r="475">
      <c r="A475" s="200" t="s">
        <v>368</v>
      </c>
      <c r="E475" s="413"/>
    </row>
    <row r="476">
      <c r="A476" s="200" t="s">
        <v>368</v>
      </c>
      <c r="E476" s="413"/>
    </row>
    <row r="477">
      <c r="A477" s="200" t="s">
        <v>368</v>
      </c>
      <c r="E477" s="413"/>
    </row>
    <row r="478">
      <c r="A478" s="200" t="s">
        <v>148</v>
      </c>
      <c r="E478" s="413"/>
    </row>
    <row r="479">
      <c r="A479" s="200" t="s">
        <v>1489</v>
      </c>
      <c r="E479" s="413"/>
    </row>
    <row r="480">
      <c r="A480" s="423" t="s">
        <v>685</v>
      </c>
      <c r="E480" s="413"/>
    </row>
    <row r="481">
      <c r="A481" s="200" t="s">
        <v>368</v>
      </c>
      <c r="E481" s="413"/>
    </row>
    <row r="482">
      <c r="A482" s="200" t="s">
        <v>1503</v>
      </c>
      <c r="E482" s="413"/>
    </row>
    <row r="483">
      <c r="A483" s="200" t="s">
        <v>368</v>
      </c>
      <c r="E483" s="413"/>
    </row>
    <row r="484">
      <c r="A484" s="200" t="s">
        <v>240</v>
      </c>
      <c r="E484" s="413"/>
    </row>
    <row r="485">
      <c r="A485" s="200" t="s">
        <v>368</v>
      </c>
      <c r="E485" s="413"/>
    </row>
    <row r="486">
      <c r="A486" s="200" t="s">
        <v>245</v>
      </c>
      <c r="E486" s="413"/>
    </row>
    <row r="487">
      <c r="A487" s="200" t="s">
        <v>385</v>
      </c>
      <c r="E487" s="413"/>
    </row>
    <row r="488">
      <c r="A488" s="200" t="s">
        <v>123</v>
      </c>
      <c r="E488" s="413"/>
    </row>
    <row r="489">
      <c r="A489" s="200" t="s">
        <v>482</v>
      </c>
      <c r="E489" s="413"/>
    </row>
    <row r="490">
      <c r="A490" s="414" t="s">
        <v>1527</v>
      </c>
      <c r="E490" s="413"/>
    </row>
    <row r="491">
      <c r="A491" s="200" t="s">
        <v>308</v>
      </c>
      <c r="E491" s="413"/>
    </row>
    <row r="492">
      <c r="A492" s="200" t="s">
        <v>1532</v>
      </c>
      <c r="E492" s="413"/>
    </row>
    <row r="493">
      <c r="A493" s="200" t="s">
        <v>1539</v>
      </c>
      <c r="E493" s="413"/>
    </row>
    <row r="494">
      <c r="A494" s="200" t="s">
        <v>715</v>
      </c>
      <c r="E494" s="413"/>
    </row>
    <row r="495">
      <c r="A495" s="200" t="s">
        <v>1547</v>
      </c>
      <c r="E495" s="413"/>
    </row>
    <row r="496">
      <c r="A496" s="424" t="s">
        <v>760</v>
      </c>
      <c r="E496" s="413"/>
    </row>
    <row r="497">
      <c r="A497" s="424" t="s">
        <v>314</v>
      </c>
      <c r="E497" s="413"/>
    </row>
    <row r="498">
      <c r="A498" s="424" t="s">
        <v>162</v>
      </c>
      <c r="E498" s="413"/>
    </row>
    <row r="499">
      <c r="A499" s="425" t="s">
        <v>500</v>
      </c>
      <c r="E499" s="413"/>
    </row>
    <row r="500">
      <c r="A500" s="425" t="s">
        <v>333</v>
      </c>
      <c r="E500" s="413"/>
    </row>
    <row r="501">
      <c r="A501" s="425" t="s">
        <v>101</v>
      </c>
      <c r="E501" s="413"/>
    </row>
    <row r="502">
      <c r="A502" s="425" t="s">
        <v>137</v>
      </c>
      <c r="E502" s="413"/>
    </row>
    <row r="503">
      <c r="A503" s="426" t="s">
        <v>1586</v>
      </c>
      <c r="E503" s="413"/>
    </row>
    <row r="504">
      <c r="A504" s="426" t="s">
        <v>1586</v>
      </c>
      <c r="E504" s="413"/>
    </row>
    <row r="505">
      <c r="A505" s="427" t="s">
        <v>193</v>
      </c>
      <c r="E505" s="413"/>
    </row>
    <row r="506">
      <c r="A506" s="428" t="s">
        <v>424</v>
      </c>
      <c r="E506" s="413"/>
    </row>
    <row r="507">
      <c r="A507" s="428" t="s">
        <v>284</v>
      </c>
      <c r="E507" s="413"/>
    </row>
    <row r="508">
      <c r="A508" s="428" t="s">
        <v>600</v>
      </c>
      <c r="E508" s="413"/>
    </row>
    <row r="509">
      <c r="A509" s="428" t="s">
        <v>308</v>
      </c>
      <c r="E509" s="413"/>
    </row>
    <row r="510">
      <c r="A510" s="428" t="s">
        <v>37</v>
      </c>
      <c r="E510" s="413"/>
    </row>
    <row r="511">
      <c r="A511" s="428" t="s">
        <v>1267</v>
      </c>
      <c r="E511" s="413"/>
    </row>
    <row r="512">
      <c r="A512" s="428" t="s">
        <v>155</v>
      </c>
      <c r="E512" s="413"/>
    </row>
    <row r="513">
      <c r="A513" s="428" t="s">
        <v>160</v>
      </c>
      <c r="E513" s="413"/>
    </row>
    <row r="514">
      <c r="A514" s="428" t="s">
        <v>385</v>
      </c>
      <c r="E514" s="413"/>
    </row>
    <row r="515">
      <c r="A515" s="428" t="s">
        <v>586</v>
      </c>
      <c r="E515" s="413"/>
    </row>
    <row r="516">
      <c r="A516" s="428" t="s">
        <v>1645</v>
      </c>
      <c r="E516" s="413"/>
    </row>
    <row r="517">
      <c r="A517" s="428" t="s">
        <v>374</v>
      </c>
      <c r="E517" s="413"/>
    </row>
    <row r="518">
      <c r="A518" s="427" t="s">
        <v>195</v>
      </c>
      <c r="E518" s="413"/>
    </row>
    <row r="519">
      <c r="A519" s="427" t="s">
        <v>1661</v>
      </c>
      <c r="E519" s="413"/>
    </row>
    <row r="520">
      <c r="A520" s="427" t="s">
        <v>1667</v>
      </c>
      <c r="E520" s="413"/>
    </row>
    <row r="521">
      <c r="A521" s="429" t="s">
        <v>108</v>
      </c>
      <c r="E521" s="413"/>
    </row>
    <row r="522">
      <c r="A522" s="430"/>
      <c r="E522" s="413"/>
    </row>
    <row r="523">
      <c r="A523" s="430"/>
      <c r="E523" s="413"/>
    </row>
    <row r="524">
      <c r="A524" s="430"/>
      <c r="E524" s="413"/>
    </row>
    <row r="525">
      <c r="A525" s="430"/>
      <c r="E525" s="413"/>
    </row>
    <row r="526">
      <c r="A526" s="430"/>
      <c r="E526" s="413"/>
    </row>
    <row r="527">
      <c r="A527" s="430"/>
      <c r="E527" s="413"/>
    </row>
    <row r="528">
      <c r="A528" s="430"/>
      <c r="E528" s="413"/>
    </row>
    <row r="529">
      <c r="A529" s="430"/>
      <c r="E529" s="413"/>
    </row>
    <row r="530">
      <c r="A530" s="430"/>
      <c r="E530" s="413"/>
    </row>
    <row r="531">
      <c r="A531" s="430"/>
      <c r="E531" s="413"/>
    </row>
    <row r="532">
      <c r="A532" s="430"/>
      <c r="E532" s="413"/>
    </row>
    <row r="533">
      <c r="A533" s="430"/>
      <c r="E533" s="413"/>
    </row>
    <row r="534">
      <c r="A534" s="430"/>
      <c r="E534" s="413"/>
    </row>
    <row r="535">
      <c r="A535" s="430"/>
      <c r="E535" s="413"/>
    </row>
    <row r="536">
      <c r="A536" s="430"/>
      <c r="E536" s="413"/>
    </row>
    <row r="537">
      <c r="A537" s="430"/>
      <c r="E537" s="413"/>
    </row>
    <row r="538">
      <c r="A538" s="430"/>
      <c r="E538" s="413"/>
    </row>
    <row r="539">
      <c r="A539" s="430"/>
      <c r="E539" s="413"/>
    </row>
    <row r="540">
      <c r="A540" s="430"/>
      <c r="E540" s="413"/>
    </row>
    <row r="541">
      <c r="A541" s="430"/>
      <c r="E541" s="413"/>
    </row>
    <row r="542">
      <c r="A542" s="430"/>
      <c r="E542" s="413"/>
    </row>
    <row r="543">
      <c r="A543" s="430"/>
      <c r="E543" s="413"/>
    </row>
    <row r="544">
      <c r="A544" s="430"/>
      <c r="E544" s="413"/>
    </row>
    <row r="545">
      <c r="A545" s="430"/>
      <c r="E545" s="413"/>
    </row>
    <row r="546">
      <c r="A546" s="430"/>
      <c r="E546" s="413"/>
    </row>
    <row r="547">
      <c r="A547" s="430"/>
      <c r="E547" s="413"/>
    </row>
    <row r="548">
      <c r="A548" s="430"/>
      <c r="E548" s="413"/>
    </row>
    <row r="549">
      <c r="A549" s="430"/>
      <c r="E549" s="413"/>
    </row>
    <row r="550">
      <c r="A550" s="430"/>
      <c r="E550" s="413"/>
    </row>
    <row r="551">
      <c r="A551" s="430"/>
      <c r="E551" s="413"/>
    </row>
    <row r="552">
      <c r="A552" s="430"/>
      <c r="E552" s="413"/>
    </row>
    <row r="553">
      <c r="A553" s="430"/>
      <c r="E553" s="413"/>
    </row>
    <row r="554">
      <c r="A554" s="430"/>
      <c r="E554" s="413"/>
    </row>
    <row r="555">
      <c r="A555" s="430"/>
      <c r="E555" s="413"/>
    </row>
    <row r="556">
      <c r="A556" s="430"/>
      <c r="E556" s="413"/>
    </row>
    <row r="557">
      <c r="A557" s="430"/>
      <c r="E557" s="413"/>
    </row>
    <row r="558">
      <c r="A558" s="430"/>
      <c r="E558" s="413"/>
    </row>
    <row r="559">
      <c r="A559" s="430"/>
      <c r="E559" s="413"/>
    </row>
    <row r="560">
      <c r="A560" s="430"/>
      <c r="E560" s="413"/>
    </row>
    <row r="561">
      <c r="A561" s="430"/>
      <c r="E561" s="413"/>
    </row>
    <row r="562">
      <c r="A562" s="430"/>
      <c r="E562" s="413"/>
    </row>
    <row r="563">
      <c r="A563" s="430"/>
      <c r="E563" s="413"/>
    </row>
    <row r="564">
      <c r="A564" s="430"/>
      <c r="E564" s="413"/>
    </row>
    <row r="565">
      <c r="A565" s="430"/>
      <c r="E565" s="413"/>
    </row>
    <row r="566">
      <c r="A566" s="430"/>
      <c r="E566" s="413"/>
    </row>
    <row r="567">
      <c r="A567" s="430"/>
      <c r="E567" s="413"/>
    </row>
    <row r="568">
      <c r="A568" s="430"/>
      <c r="E568" s="413"/>
    </row>
    <row r="569">
      <c r="A569" s="430"/>
      <c r="E569" s="413"/>
    </row>
    <row r="570">
      <c r="A570" s="430"/>
      <c r="E570" s="413"/>
    </row>
    <row r="571">
      <c r="A571" s="430"/>
      <c r="E571" s="413"/>
    </row>
    <row r="572">
      <c r="A572" s="430"/>
      <c r="E572" s="413"/>
    </row>
    <row r="573">
      <c r="A573" s="430"/>
      <c r="E573" s="413"/>
    </row>
    <row r="574">
      <c r="A574" s="430"/>
      <c r="E574" s="413"/>
    </row>
    <row r="575">
      <c r="A575" s="430"/>
      <c r="E575" s="413"/>
    </row>
    <row r="576">
      <c r="A576" s="430"/>
      <c r="E576" s="413"/>
    </row>
    <row r="577">
      <c r="A577" s="430"/>
      <c r="E577" s="413"/>
    </row>
    <row r="578">
      <c r="A578" s="430"/>
      <c r="E578" s="413"/>
    </row>
    <row r="579">
      <c r="A579" s="430"/>
      <c r="E579" s="413"/>
    </row>
    <row r="580">
      <c r="A580" s="430"/>
      <c r="E580" s="413"/>
    </row>
    <row r="581">
      <c r="A581" s="430"/>
      <c r="E581" s="413"/>
    </row>
    <row r="582">
      <c r="A582" s="430"/>
      <c r="E582" s="413"/>
    </row>
    <row r="583">
      <c r="A583" s="430"/>
      <c r="E583" s="413"/>
    </row>
    <row r="584">
      <c r="A584" s="430"/>
      <c r="E584" s="413"/>
    </row>
    <row r="585">
      <c r="A585" s="430"/>
      <c r="E585" s="413"/>
    </row>
    <row r="586">
      <c r="A586" s="430"/>
      <c r="E586" s="413"/>
    </row>
    <row r="587">
      <c r="A587" s="430"/>
      <c r="E587" s="413"/>
    </row>
    <row r="588">
      <c r="A588" s="430"/>
      <c r="E588" s="413"/>
    </row>
    <row r="589">
      <c r="A589" s="430"/>
      <c r="E589" s="413"/>
    </row>
    <row r="590">
      <c r="A590" s="430"/>
      <c r="E590" s="413"/>
    </row>
    <row r="591">
      <c r="A591" s="430"/>
      <c r="E591" s="413"/>
    </row>
    <row r="592">
      <c r="A592" s="430"/>
      <c r="E592" s="413"/>
    </row>
    <row r="593">
      <c r="A593" s="430"/>
      <c r="E593" s="413"/>
    </row>
    <row r="594">
      <c r="A594" s="430"/>
      <c r="E594" s="413"/>
    </row>
    <row r="595">
      <c r="A595" s="430"/>
      <c r="E595" s="413"/>
    </row>
    <row r="596">
      <c r="A596" s="430"/>
      <c r="E596" s="413"/>
    </row>
    <row r="597">
      <c r="A597" s="430"/>
      <c r="E597" s="413"/>
    </row>
    <row r="598">
      <c r="A598" s="430"/>
      <c r="E598" s="413"/>
    </row>
    <row r="599">
      <c r="A599" s="430"/>
      <c r="E599" s="413"/>
    </row>
    <row r="600">
      <c r="A600" s="430"/>
      <c r="E600" s="413"/>
    </row>
    <row r="601">
      <c r="A601" s="430"/>
      <c r="E601" s="413"/>
    </row>
    <row r="602">
      <c r="A602" s="430"/>
      <c r="E602" s="413"/>
    </row>
    <row r="603">
      <c r="A603" s="430"/>
      <c r="E603" s="413"/>
    </row>
    <row r="604">
      <c r="A604" s="430"/>
      <c r="E604" s="413"/>
    </row>
    <row r="605">
      <c r="A605" s="430"/>
      <c r="E605" s="413"/>
    </row>
    <row r="606">
      <c r="A606" s="430"/>
      <c r="E606" s="413"/>
    </row>
    <row r="607">
      <c r="A607" s="430"/>
      <c r="E607" s="413"/>
    </row>
    <row r="608">
      <c r="A608" s="430"/>
      <c r="E608" s="413"/>
    </row>
    <row r="609">
      <c r="A609" s="430"/>
      <c r="E609" s="413"/>
    </row>
    <row r="610">
      <c r="A610" s="430"/>
      <c r="E610" s="413"/>
    </row>
    <row r="611">
      <c r="A611" s="430"/>
      <c r="E611" s="413"/>
    </row>
    <row r="612">
      <c r="A612" s="430"/>
      <c r="E612" s="413"/>
    </row>
    <row r="613">
      <c r="A613" s="430"/>
      <c r="E613" s="413"/>
    </row>
    <row r="614">
      <c r="A614" s="430"/>
      <c r="E614" s="413"/>
    </row>
    <row r="615">
      <c r="A615" s="430"/>
      <c r="E615" s="413"/>
    </row>
    <row r="616">
      <c r="A616" s="430"/>
      <c r="E616" s="413"/>
    </row>
    <row r="617">
      <c r="A617" s="430"/>
      <c r="E617" s="413"/>
    </row>
    <row r="618">
      <c r="A618" s="430"/>
      <c r="E618" s="413"/>
    </row>
    <row r="619">
      <c r="A619" s="430"/>
      <c r="E619" s="413"/>
    </row>
    <row r="620">
      <c r="E620" s="413"/>
    </row>
    <row r="621">
      <c r="E621" s="413"/>
    </row>
    <row r="622">
      <c r="E622" s="413"/>
    </row>
    <row r="623">
      <c r="E623" s="413"/>
    </row>
    <row r="624">
      <c r="E624" s="413"/>
    </row>
    <row r="625">
      <c r="E625" s="413"/>
    </row>
    <row r="626">
      <c r="E626" s="413"/>
    </row>
    <row r="627">
      <c r="E627" s="413"/>
    </row>
    <row r="628">
      <c r="E628" s="413"/>
    </row>
    <row r="629">
      <c r="E629" s="413"/>
    </row>
    <row r="630">
      <c r="E630" s="413"/>
    </row>
    <row r="631">
      <c r="E631" s="413"/>
    </row>
    <row r="632">
      <c r="E632" s="413"/>
    </row>
    <row r="633">
      <c r="E633" s="413"/>
    </row>
    <row r="634">
      <c r="E634" s="413"/>
    </row>
    <row r="635">
      <c r="E635" s="413"/>
    </row>
    <row r="636">
      <c r="E636" s="413"/>
    </row>
    <row r="637">
      <c r="E637" s="413"/>
    </row>
    <row r="638">
      <c r="E638" s="413"/>
    </row>
    <row r="639">
      <c r="E639" s="413"/>
    </row>
    <row r="640">
      <c r="E640" s="413"/>
    </row>
    <row r="641">
      <c r="E641" s="413"/>
    </row>
    <row r="642">
      <c r="E642" s="413"/>
    </row>
    <row r="643">
      <c r="E643" s="413"/>
    </row>
    <row r="644">
      <c r="E644" s="413"/>
    </row>
    <row r="645">
      <c r="E645" s="413"/>
    </row>
    <row r="646">
      <c r="E646" s="413"/>
    </row>
    <row r="647">
      <c r="E647" s="413"/>
    </row>
    <row r="648">
      <c r="E648" s="413"/>
    </row>
    <row r="649">
      <c r="E649" s="413"/>
    </row>
    <row r="650">
      <c r="E650" s="413"/>
    </row>
    <row r="651">
      <c r="E651" s="413"/>
    </row>
    <row r="652">
      <c r="E652" s="413"/>
    </row>
    <row r="653">
      <c r="E653" s="413"/>
    </row>
    <row r="654">
      <c r="E654" s="413"/>
    </row>
    <row r="655">
      <c r="E655" s="413"/>
    </row>
    <row r="656">
      <c r="E656" s="413"/>
    </row>
    <row r="657">
      <c r="E657" s="413"/>
    </row>
    <row r="658">
      <c r="E658" s="413"/>
    </row>
    <row r="659">
      <c r="E659" s="413"/>
    </row>
    <row r="660">
      <c r="E660" s="413"/>
    </row>
    <row r="661">
      <c r="E661" s="413"/>
    </row>
    <row r="662">
      <c r="E662" s="413"/>
    </row>
    <row r="663">
      <c r="E663" s="413"/>
    </row>
    <row r="664">
      <c r="E664" s="413"/>
    </row>
    <row r="665">
      <c r="E665" s="413"/>
    </row>
    <row r="666">
      <c r="E666" s="413"/>
    </row>
    <row r="667">
      <c r="E667" s="413"/>
    </row>
    <row r="668">
      <c r="E668" s="413"/>
    </row>
    <row r="669">
      <c r="E669" s="413"/>
    </row>
    <row r="670">
      <c r="E670" s="413"/>
    </row>
    <row r="671">
      <c r="E671" s="413"/>
    </row>
    <row r="672">
      <c r="E672" s="413"/>
    </row>
    <row r="673">
      <c r="E673" s="413"/>
    </row>
    <row r="674">
      <c r="E674" s="413"/>
    </row>
    <row r="675">
      <c r="E675" s="413"/>
    </row>
    <row r="676">
      <c r="E676" s="413"/>
    </row>
    <row r="677">
      <c r="E677" s="413"/>
    </row>
    <row r="678">
      <c r="E678" s="413"/>
    </row>
    <row r="679">
      <c r="E679" s="413"/>
    </row>
    <row r="680">
      <c r="E680" s="413"/>
    </row>
    <row r="681">
      <c r="E681" s="413"/>
    </row>
    <row r="682">
      <c r="E682" s="413"/>
    </row>
    <row r="683">
      <c r="E683" s="413"/>
    </row>
    <row r="684">
      <c r="E684" s="413"/>
    </row>
    <row r="685">
      <c r="E685" s="413"/>
    </row>
    <row r="686">
      <c r="E686" s="413"/>
    </row>
    <row r="687">
      <c r="E687" s="413"/>
    </row>
    <row r="688">
      <c r="E688" s="413"/>
    </row>
    <row r="689">
      <c r="E689" s="413"/>
    </row>
    <row r="690">
      <c r="E690" s="413"/>
    </row>
    <row r="691">
      <c r="E691" s="413"/>
    </row>
    <row r="692">
      <c r="E692" s="413"/>
    </row>
    <row r="693">
      <c r="E693" s="413"/>
    </row>
    <row r="694">
      <c r="E694" s="413"/>
    </row>
    <row r="695">
      <c r="E695" s="413"/>
    </row>
    <row r="696">
      <c r="E696" s="413"/>
    </row>
    <row r="697">
      <c r="E697" s="413"/>
    </row>
    <row r="698">
      <c r="E698" s="413"/>
    </row>
    <row r="699">
      <c r="E699" s="413"/>
    </row>
    <row r="700">
      <c r="E700" s="413"/>
    </row>
    <row r="701">
      <c r="E701" s="413"/>
    </row>
    <row r="702">
      <c r="E702" s="413"/>
    </row>
    <row r="703">
      <c r="E703" s="413"/>
    </row>
    <row r="704">
      <c r="E704" s="413"/>
    </row>
    <row r="705">
      <c r="E705" s="413"/>
    </row>
    <row r="706">
      <c r="E706" s="413"/>
    </row>
    <row r="707">
      <c r="E707" s="413"/>
    </row>
    <row r="708">
      <c r="E708" s="413"/>
    </row>
    <row r="709">
      <c r="E709" s="413"/>
    </row>
    <row r="710">
      <c r="E710" s="413"/>
    </row>
    <row r="711">
      <c r="E711" s="413"/>
    </row>
    <row r="712">
      <c r="E712" s="413"/>
    </row>
    <row r="713">
      <c r="E713" s="413"/>
    </row>
    <row r="714">
      <c r="E714" s="413"/>
    </row>
    <row r="715">
      <c r="E715" s="413"/>
    </row>
    <row r="716">
      <c r="E716" s="413"/>
    </row>
    <row r="717">
      <c r="E717" s="413"/>
    </row>
    <row r="718">
      <c r="E718" s="413"/>
    </row>
    <row r="719">
      <c r="E719" s="413"/>
    </row>
    <row r="720">
      <c r="E720" s="413"/>
    </row>
    <row r="721">
      <c r="E721" s="413"/>
    </row>
    <row r="722">
      <c r="E722" s="413"/>
    </row>
    <row r="723">
      <c r="E723" s="413"/>
    </row>
    <row r="724">
      <c r="E724" s="413"/>
    </row>
    <row r="725">
      <c r="E725" s="413"/>
    </row>
    <row r="726">
      <c r="E726" s="413"/>
    </row>
    <row r="727">
      <c r="E727" s="413"/>
    </row>
    <row r="728">
      <c r="E728" s="413"/>
    </row>
    <row r="729">
      <c r="E729" s="413"/>
    </row>
    <row r="730">
      <c r="E730" s="413"/>
    </row>
    <row r="731">
      <c r="E731" s="413"/>
    </row>
    <row r="732">
      <c r="E732" s="413"/>
    </row>
    <row r="733">
      <c r="E733" s="413"/>
    </row>
    <row r="734">
      <c r="E734" s="413"/>
    </row>
    <row r="735">
      <c r="E735" s="413"/>
    </row>
    <row r="736">
      <c r="E736" s="413"/>
    </row>
    <row r="737">
      <c r="E737" s="413"/>
    </row>
    <row r="738">
      <c r="E738" s="413"/>
    </row>
    <row r="739">
      <c r="E739" s="413"/>
    </row>
    <row r="740">
      <c r="E740" s="413"/>
    </row>
    <row r="741">
      <c r="E741" s="413"/>
    </row>
    <row r="742">
      <c r="E742" s="413"/>
    </row>
    <row r="743">
      <c r="E743" s="413"/>
    </row>
    <row r="744">
      <c r="E744" s="413"/>
    </row>
    <row r="745">
      <c r="E745" s="413"/>
    </row>
    <row r="746">
      <c r="E746" s="413"/>
    </row>
    <row r="747">
      <c r="E747" s="413"/>
    </row>
    <row r="748">
      <c r="E748" s="413"/>
    </row>
    <row r="749">
      <c r="E749" s="413"/>
    </row>
    <row r="750">
      <c r="E750" s="413"/>
    </row>
    <row r="751">
      <c r="E751" s="413"/>
    </row>
    <row r="752">
      <c r="E752" s="413"/>
    </row>
    <row r="753">
      <c r="E753" s="413"/>
    </row>
    <row r="754">
      <c r="E754" s="413"/>
    </row>
    <row r="755">
      <c r="E755" s="413"/>
    </row>
    <row r="756">
      <c r="E756" s="413"/>
    </row>
    <row r="757">
      <c r="E757" s="413"/>
    </row>
    <row r="758">
      <c r="E758" s="413"/>
    </row>
    <row r="759">
      <c r="E759" s="413"/>
    </row>
    <row r="760">
      <c r="E760" s="413"/>
    </row>
    <row r="761">
      <c r="E761" s="413"/>
    </row>
    <row r="762">
      <c r="E762" s="413"/>
    </row>
    <row r="763">
      <c r="E763" s="413"/>
    </row>
    <row r="764">
      <c r="E764" s="413"/>
    </row>
    <row r="765">
      <c r="E765" s="413"/>
    </row>
    <row r="766">
      <c r="E766" s="413"/>
    </row>
    <row r="767">
      <c r="E767" s="413"/>
    </row>
    <row r="768">
      <c r="E768" s="413"/>
    </row>
    <row r="769">
      <c r="E769" s="413"/>
    </row>
    <row r="770">
      <c r="E770" s="413"/>
    </row>
    <row r="771">
      <c r="E771" s="413"/>
    </row>
    <row r="772">
      <c r="E772" s="413"/>
    </row>
    <row r="773">
      <c r="E773" s="413"/>
    </row>
    <row r="774">
      <c r="E774" s="413"/>
    </row>
    <row r="775">
      <c r="E775" s="413"/>
    </row>
    <row r="776">
      <c r="E776" s="413"/>
    </row>
    <row r="777">
      <c r="E777" s="413"/>
    </row>
    <row r="778">
      <c r="E778" s="413"/>
    </row>
    <row r="779">
      <c r="E779" s="413"/>
    </row>
    <row r="780">
      <c r="E780" s="413"/>
    </row>
    <row r="781">
      <c r="E781" s="413"/>
    </row>
    <row r="782">
      <c r="E782" s="413"/>
    </row>
    <row r="783">
      <c r="E783" s="413"/>
    </row>
    <row r="784">
      <c r="E784" s="413"/>
    </row>
    <row r="785">
      <c r="E785" s="413"/>
    </row>
    <row r="786">
      <c r="E786" s="413"/>
    </row>
    <row r="787">
      <c r="E787" s="413"/>
    </row>
    <row r="788">
      <c r="E788" s="413"/>
    </row>
    <row r="789">
      <c r="E789" s="413"/>
    </row>
    <row r="790">
      <c r="E790" s="413"/>
    </row>
    <row r="791">
      <c r="E791" s="413"/>
    </row>
    <row r="792">
      <c r="E792" s="413"/>
    </row>
    <row r="793">
      <c r="E793" s="413"/>
    </row>
    <row r="794">
      <c r="E794" s="413"/>
    </row>
    <row r="795">
      <c r="E795" s="413"/>
    </row>
    <row r="796">
      <c r="E796" s="413"/>
    </row>
    <row r="797">
      <c r="E797" s="413"/>
    </row>
    <row r="798">
      <c r="E798" s="413"/>
    </row>
    <row r="799">
      <c r="E799" s="413"/>
    </row>
    <row r="800">
      <c r="E800" s="413"/>
    </row>
    <row r="801">
      <c r="E801" s="413"/>
    </row>
    <row r="802">
      <c r="E802" s="413"/>
    </row>
    <row r="803">
      <c r="E803" s="413"/>
    </row>
    <row r="804">
      <c r="E804" s="413"/>
    </row>
    <row r="805">
      <c r="E805" s="413"/>
    </row>
    <row r="806">
      <c r="E806" s="413"/>
    </row>
    <row r="807">
      <c r="E807" s="413"/>
    </row>
    <row r="808">
      <c r="E808" s="413"/>
    </row>
    <row r="809">
      <c r="E809" s="413"/>
    </row>
    <row r="810">
      <c r="E810" s="413"/>
    </row>
    <row r="811">
      <c r="E811" s="413"/>
    </row>
    <row r="812">
      <c r="E812" s="413"/>
    </row>
    <row r="813">
      <c r="E813" s="413"/>
    </row>
    <row r="814">
      <c r="E814" s="413"/>
    </row>
    <row r="815">
      <c r="E815" s="413"/>
    </row>
    <row r="816">
      <c r="E816" s="413"/>
    </row>
    <row r="817">
      <c r="E817" s="413"/>
    </row>
    <row r="818">
      <c r="E818" s="413"/>
    </row>
    <row r="819">
      <c r="E819" s="413"/>
    </row>
    <row r="820">
      <c r="E820" s="413"/>
    </row>
    <row r="821">
      <c r="E821" s="413"/>
    </row>
    <row r="822">
      <c r="E822" s="413"/>
    </row>
    <row r="823">
      <c r="E823" s="413"/>
    </row>
    <row r="824">
      <c r="E824" s="413"/>
    </row>
    <row r="825">
      <c r="E825" s="413"/>
    </row>
    <row r="826">
      <c r="E826" s="413"/>
    </row>
    <row r="827">
      <c r="E827" s="413"/>
    </row>
    <row r="828">
      <c r="E828" s="413"/>
    </row>
    <row r="829">
      <c r="E829" s="413"/>
    </row>
    <row r="830">
      <c r="E830" s="413"/>
    </row>
    <row r="831">
      <c r="E831" s="413"/>
    </row>
    <row r="832">
      <c r="E832" s="413"/>
    </row>
    <row r="833">
      <c r="E833" s="413"/>
    </row>
    <row r="834">
      <c r="E834" s="413"/>
    </row>
    <row r="835">
      <c r="E835" s="413"/>
    </row>
    <row r="836">
      <c r="E836" s="413"/>
    </row>
    <row r="837">
      <c r="E837" s="413"/>
    </row>
    <row r="838">
      <c r="E838" s="413"/>
    </row>
    <row r="839">
      <c r="E839" s="413"/>
    </row>
    <row r="840">
      <c r="E840" s="413"/>
    </row>
    <row r="841">
      <c r="E841" s="413"/>
    </row>
    <row r="842">
      <c r="E842" s="413"/>
    </row>
    <row r="843">
      <c r="E843" s="413"/>
    </row>
    <row r="844">
      <c r="E844" s="413"/>
    </row>
    <row r="845">
      <c r="E845" s="413"/>
    </row>
    <row r="846">
      <c r="E846" s="413"/>
    </row>
    <row r="847">
      <c r="E847" s="413"/>
    </row>
    <row r="848">
      <c r="E848" s="413"/>
    </row>
    <row r="849">
      <c r="E849" s="413"/>
    </row>
    <row r="850">
      <c r="E850" s="413"/>
    </row>
    <row r="851">
      <c r="E851" s="413"/>
    </row>
    <row r="852">
      <c r="E852" s="413"/>
    </row>
    <row r="853">
      <c r="E853" s="413"/>
    </row>
    <row r="854">
      <c r="E854" s="413"/>
    </row>
    <row r="855">
      <c r="E855" s="413"/>
    </row>
    <row r="856">
      <c r="E856" s="413"/>
    </row>
    <row r="857">
      <c r="E857" s="413"/>
    </row>
    <row r="858">
      <c r="E858" s="413"/>
    </row>
    <row r="859">
      <c r="E859" s="413"/>
    </row>
    <row r="860">
      <c r="E860" s="413"/>
    </row>
    <row r="861">
      <c r="E861" s="413"/>
    </row>
    <row r="862">
      <c r="E862" s="413"/>
    </row>
    <row r="863">
      <c r="E863" s="413"/>
    </row>
    <row r="864">
      <c r="E864" s="413"/>
    </row>
    <row r="865">
      <c r="E865" s="413"/>
    </row>
    <row r="866">
      <c r="E866" s="413"/>
    </row>
    <row r="867">
      <c r="E867" s="413"/>
    </row>
    <row r="868">
      <c r="E868" s="413"/>
    </row>
    <row r="869">
      <c r="E869" s="413"/>
    </row>
    <row r="870">
      <c r="E870" s="413"/>
    </row>
    <row r="871">
      <c r="E871" s="413"/>
    </row>
    <row r="872">
      <c r="E872" s="413"/>
    </row>
    <row r="873">
      <c r="E873" s="413"/>
    </row>
    <row r="874">
      <c r="E874" s="413"/>
    </row>
    <row r="875">
      <c r="E875" s="413"/>
    </row>
    <row r="876">
      <c r="E876" s="413"/>
    </row>
    <row r="877">
      <c r="E877" s="413"/>
    </row>
    <row r="878">
      <c r="E878" s="413"/>
    </row>
    <row r="879">
      <c r="E879" s="413"/>
    </row>
    <row r="880">
      <c r="E880" s="413"/>
    </row>
    <row r="881">
      <c r="E881" s="413"/>
    </row>
    <row r="882">
      <c r="E882" s="413"/>
    </row>
    <row r="883">
      <c r="E883" s="413"/>
    </row>
    <row r="884">
      <c r="E884" s="413"/>
    </row>
    <row r="885">
      <c r="E885" s="413"/>
    </row>
    <row r="886">
      <c r="E886" s="413"/>
    </row>
    <row r="887">
      <c r="E887" s="413"/>
    </row>
    <row r="888">
      <c r="E888" s="413"/>
    </row>
    <row r="889">
      <c r="E889" s="413"/>
    </row>
    <row r="890">
      <c r="E890" s="413"/>
    </row>
    <row r="891">
      <c r="E891" s="413"/>
    </row>
    <row r="892">
      <c r="E892" s="413"/>
    </row>
    <row r="893">
      <c r="E893" s="413"/>
    </row>
    <row r="894">
      <c r="E894" s="413"/>
    </row>
    <row r="895">
      <c r="E895" s="413"/>
    </row>
    <row r="896">
      <c r="E896" s="413"/>
    </row>
    <row r="897">
      <c r="E897" s="413"/>
    </row>
    <row r="898">
      <c r="E898" s="413"/>
    </row>
    <row r="899">
      <c r="E899" s="413"/>
    </row>
    <row r="900">
      <c r="E900" s="413"/>
    </row>
    <row r="901">
      <c r="E901" s="413"/>
    </row>
    <row r="902">
      <c r="E902" s="413"/>
    </row>
    <row r="903">
      <c r="E903" s="413"/>
    </row>
    <row r="904">
      <c r="E904" s="413"/>
    </row>
    <row r="905">
      <c r="E905" s="413"/>
    </row>
    <row r="906">
      <c r="E906" s="413"/>
    </row>
    <row r="907">
      <c r="E907" s="413"/>
    </row>
    <row r="908">
      <c r="E908" s="413"/>
    </row>
    <row r="909">
      <c r="E909" s="413"/>
    </row>
    <row r="910">
      <c r="E910" s="413"/>
    </row>
    <row r="911">
      <c r="E911" s="413"/>
    </row>
    <row r="912">
      <c r="E912" s="413"/>
    </row>
    <row r="913">
      <c r="E913" s="413"/>
    </row>
    <row r="914">
      <c r="E914" s="413"/>
    </row>
    <row r="915">
      <c r="E915" s="413"/>
    </row>
    <row r="916">
      <c r="E916" s="413"/>
    </row>
    <row r="917">
      <c r="E917" s="413"/>
    </row>
    <row r="918">
      <c r="E918" s="413"/>
    </row>
    <row r="919">
      <c r="E919" s="413"/>
    </row>
    <row r="920">
      <c r="E920" s="413"/>
    </row>
    <row r="921">
      <c r="E921" s="413"/>
    </row>
    <row r="922">
      <c r="E922" s="413"/>
    </row>
    <row r="923">
      <c r="E923" s="413"/>
    </row>
    <row r="924">
      <c r="E924" s="413"/>
    </row>
    <row r="925">
      <c r="E925" s="413"/>
    </row>
    <row r="926">
      <c r="E926" s="413"/>
    </row>
    <row r="927">
      <c r="E927" s="413"/>
    </row>
    <row r="928">
      <c r="E928" s="413"/>
    </row>
    <row r="929">
      <c r="E929" s="413"/>
    </row>
    <row r="930">
      <c r="E930" s="413"/>
    </row>
    <row r="931">
      <c r="E931" s="413"/>
    </row>
    <row r="932">
      <c r="E932" s="413"/>
    </row>
    <row r="933">
      <c r="E933" s="413"/>
    </row>
    <row r="934">
      <c r="E934" s="413"/>
    </row>
    <row r="935">
      <c r="E935" s="413"/>
    </row>
    <row r="936">
      <c r="E936" s="413"/>
    </row>
    <row r="937">
      <c r="E937" s="413"/>
    </row>
    <row r="938">
      <c r="E938" s="413"/>
    </row>
    <row r="939">
      <c r="E939" s="413"/>
    </row>
    <row r="940">
      <c r="E940" s="413"/>
    </row>
    <row r="941">
      <c r="E941" s="413"/>
    </row>
    <row r="942">
      <c r="E942" s="413"/>
    </row>
    <row r="943">
      <c r="E943" s="413"/>
    </row>
    <row r="944">
      <c r="E944" s="413"/>
    </row>
    <row r="945">
      <c r="E945" s="413"/>
    </row>
    <row r="946">
      <c r="E946" s="413"/>
    </row>
    <row r="947">
      <c r="E947" s="413"/>
    </row>
    <row r="948">
      <c r="E948" s="413"/>
    </row>
    <row r="949">
      <c r="E949" s="413"/>
    </row>
    <row r="950">
      <c r="E950" s="413"/>
    </row>
    <row r="951">
      <c r="E951" s="413"/>
    </row>
    <row r="952">
      <c r="E952" s="413"/>
    </row>
    <row r="953">
      <c r="E953" s="413"/>
    </row>
    <row r="954">
      <c r="E954" s="413"/>
    </row>
    <row r="955">
      <c r="E955" s="413"/>
    </row>
    <row r="956">
      <c r="E956" s="413"/>
    </row>
    <row r="957">
      <c r="E957" s="413"/>
    </row>
    <row r="958">
      <c r="E958" s="413"/>
    </row>
    <row r="959">
      <c r="E959" s="413"/>
    </row>
    <row r="960">
      <c r="E960" s="413"/>
    </row>
    <row r="961">
      <c r="E961" s="413"/>
    </row>
    <row r="962">
      <c r="E962" s="413"/>
    </row>
    <row r="963">
      <c r="E963" s="413"/>
    </row>
    <row r="964">
      <c r="E964" s="413"/>
    </row>
    <row r="965">
      <c r="E965" s="413"/>
    </row>
    <row r="966">
      <c r="E966" s="413"/>
    </row>
    <row r="967">
      <c r="E967" s="413"/>
    </row>
    <row r="968">
      <c r="E968" s="413"/>
    </row>
    <row r="969">
      <c r="E969" s="413"/>
    </row>
    <row r="970">
      <c r="E970" s="413"/>
    </row>
    <row r="971">
      <c r="E971" s="413"/>
    </row>
    <row r="972">
      <c r="E972" s="413"/>
    </row>
    <row r="973">
      <c r="E973" s="413"/>
    </row>
    <row r="974">
      <c r="E974" s="413"/>
    </row>
    <row r="975">
      <c r="E975" s="413"/>
    </row>
    <row r="976">
      <c r="E976" s="413"/>
    </row>
    <row r="977">
      <c r="E977" s="413"/>
    </row>
    <row r="978">
      <c r="E978" s="413"/>
    </row>
    <row r="979">
      <c r="E979" s="413"/>
    </row>
    <row r="980">
      <c r="E980" s="413"/>
    </row>
    <row r="981">
      <c r="E981" s="413"/>
    </row>
    <row r="982">
      <c r="E982" s="413"/>
    </row>
    <row r="983">
      <c r="E983" s="413"/>
    </row>
    <row r="984">
      <c r="E984" s="413"/>
    </row>
    <row r="985">
      <c r="E985" s="413"/>
    </row>
    <row r="986">
      <c r="E986" s="413"/>
    </row>
    <row r="987">
      <c r="E987" s="413"/>
    </row>
    <row r="988">
      <c r="E988" s="413"/>
    </row>
    <row r="989">
      <c r="E989" s="413"/>
    </row>
    <row r="990">
      <c r="E990" s="413"/>
    </row>
    <row r="991">
      <c r="E991" s="413"/>
    </row>
    <row r="992">
      <c r="E992" s="413"/>
    </row>
    <row r="993">
      <c r="E993" s="413"/>
    </row>
    <row r="994">
      <c r="E994" s="413"/>
    </row>
    <row r="995">
      <c r="E995" s="413"/>
    </row>
    <row r="996">
      <c r="E996" s="413"/>
    </row>
    <row r="997">
      <c r="E997" s="413"/>
    </row>
    <row r="998">
      <c r="E998" s="413"/>
    </row>
    <row r="999">
      <c r="E999" s="413"/>
    </row>
    <row r="1000">
      <c r="E1000" s="413"/>
    </row>
    <row r="1001">
      <c r="E1001" s="413"/>
    </row>
    <row r="1002">
      <c r="E1002" s="413"/>
    </row>
    <row r="1003">
      <c r="E1003" s="413"/>
    </row>
    <row r="1004">
      <c r="E1004" s="413"/>
    </row>
    <row r="1005">
      <c r="E1005" s="413"/>
    </row>
    <row r="1006">
      <c r="E1006" s="413"/>
    </row>
    <row r="1007">
      <c r="E1007" s="413"/>
    </row>
    <row r="1008">
      <c r="E1008" s="413"/>
    </row>
    <row r="1009">
      <c r="E1009" s="413"/>
    </row>
  </sheetData>
  <autoFilter ref="$E$1:$E$1009"/>
  <dataValidations>
    <dataValidation type="list" allowBlank="1" showErrorMessage="1" sqref="E2:E1009">
      <formula1>"Infra,Clinical,Both,??"</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13"/>
    <col customWidth="1" min="6" max="6" width="14.0"/>
  </cols>
  <sheetData>
    <row r="1">
      <c r="A1" s="431" t="s">
        <v>3049</v>
      </c>
    </row>
    <row r="2">
      <c r="A2" s="432" t="s">
        <v>3050</v>
      </c>
      <c r="B2" s="433"/>
      <c r="C2" s="434"/>
    </row>
    <row r="3">
      <c r="A3" s="435" t="s">
        <v>3051</v>
      </c>
      <c r="B3" s="436" t="s">
        <v>3052</v>
      </c>
      <c r="C3" s="436" t="s">
        <v>3053</v>
      </c>
    </row>
    <row r="4">
      <c r="A4" s="437" t="s">
        <v>44</v>
      </c>
      <c r="B4" s="438">
        <f>COUNTIF('Form Responses 1'!AL:AL,"Regular Represented")</f>
        <v>226</v>
      </c>
      <c r="C4" s="439">
        <f t="shared" ref="C4:C5" si="1">B4/sum($B$4:$B$5)</f>
        <v>0.8339483395</v>
      </c>
    </row>
    <row r="5">
      <c r="A5" s="437" t="s">
        <v>70</v>
      </c>
      <c r="B5" s="438">
        <f>COUNTIF('Form Responses 1'!AL:AL,"Regular Non-Represented")</f>
        <v>45</v>
      </c>
      <c r="C5" s="439">
        <f t="shared" si="1"/>
        <v>0.1660516605</v>
      </c>
    </row>
    <row r="6">
      <c r="B6" s="440"/>
      <c r="C6" s="441"/>
    </row>
    <row r="7">
      <c r="B7" s="440"/>
      <c r="C7" s="441"/>
    </row>
    <row r="8">
      <c r="A8" s="442" t="s">
        <v>3054</v>
      </c>
      <c r="B8" s="443"/>
      <c r="C8" s="444"/>
    </row>
    <row r="9">
      <c r="A9" s="435" t="s">
        <v>3051</v>
      </c>
      <c r="B9" s="436" t="s">
        <v>3055</v>
      </c>
      <c r="C9" s="436" t="s">
        <v>3053</v>
      </c>
    </row>
    <row r="10">
      <c r="A10" s="445" t="s">
        <v>44</v>
      </c>
      <c r="B10" s="446">
        <f>SUMIF('Form Responses 1'!AL:AL,"Regular Represented",'Form Responses 1'!I:I)</f>
        <v>505255.3</v>
      </c>
      <c r="C10" s="439">
        <f t="shared" ref="C10:C11" si="2">B10/sum($B$10:$B$11)</f>
        <v>0.7450008168</v>
      </c>
    </row>
    <row r="11">
      <c r="A11" s="447" t="s">
        <v>70</v>
      </c>
      <c r="B11" s="446">
        <f>SUMIF('Form Responses 1'!AL:AL,"Regular Non-Represented",'Form Responses 1'!I:I)</f>
        <v>172938.99</v>
      </c>
      <c r="C11" s="439">
        <f t="shared" si="2"/>
        <v>0.2549991832</v>
      </c>
    </row>
    <row r="12">
      <c r="A12" s="448"/>
      <c r="B12" s="449">
        <f>SUM(B9:B11)</f>
        <v>678194.29</v>
      </c>
      <c r="C12" s="439"/>
    </row>
    <row r="13">
      <c r="B13" s="440"/>
      <c r="C13" s="441"/>
    </row>
    <row r="14">
      <c r="A14" s="450" t="s">
        <v>3056</v>
      </c>
      <c r="B14" s="450"/>
      <c r="C14" s="450"/>
    </row>
    <row r="15">
      <c r="A15" s="435" t="s">
        <v>3057</v>
      </c>
      <c r="B15" s="436" t="s">
        <v>3055</v>
      </c>
      <c r="C15" s="436" t="s">
        <v>3053</v>
      </c>
      <c r="D15" s="451"/>
      <c r="E15" s="435" t="s">
        <v>3058</v>
      </c>
      <c r="F15" s="435" t="s">
        <v>3059</v>
      </c>
    </row>
    <row r="16">
      <c r="A16" s="452" t="s">
        <v>262</v>
      </c>
      <c r="B16" s="453">
        <f>COUNTIF('Form Responses 1'!J:J,"*Addiction and Prevention Program Unit*")</f>
        <v>20</v>
      </c>
      <c r="C16" s="439">
        <f t="shared" ref="C16:C41" si="3">B16/sum($B$16:$B$41)</f>
        <v>0.02288329519</v>
      </c>
      <c r="D16" s="445" t="s">
        <v>3060</v>
      </c>
      <c r="E16" s="445" t="s">
        <v>3060</v>
      </c>
      <c r="F16" s="454">
        <f t="array" ref="F16">SUM(COUNTIFS('Form Responses 1'!J:J,"*Addiction and Prevention Program Unit*"))</f>
        <v>20</v>
      </c>
    </row>
    <row r="17">
      <c r="A17" s="452" t="s">
        <v>194</v>
      </c>
      <c r="B17" s="453">
        <f>COUNTIF('Form Responses 1'!J:J,"*Adult Protective Services and Risk Case Management*")</f>
        <v>27</v>
      </c>
      <c r="C17" s="439">
        <f t="shared" si="3"/>
        <v>0.03089244851</v>
      </c>
      <c r="D17" s="445" t="s">
        <v>3061</v>
      </c>
      <c r="E17" s="445" t="s">
        <v>3061</v>
      </c>
      <c r="F17" s="455">
        <f>COUNTIF('Form Responses 1'!J:J,"*Adult Protective Services and Risk Case Management*")+COUNTIF('Form Responses 1'!J:J,"*Behavioral Health Resource Center*")+COUNTIF('Form Responses 1'!J:J,"*Call Center/Crisis Services*")+COUNTIF('Form Responses 1'!J:J,"*CMHP - Safety Net Services Unit*")+COUNTIF('Form Responses 1'!J:J,"*Disaster Management*")+COUNTIF('Form Responses 1'!J:J,"*Older Adult Behavioral Health Initiative*")</f>
        <v>245</v>
      </c>
    </row>
    <row r="18">
      <c r="A18" s="452" t="s">
        <v>43</v>
      </c>
      <c r="B18" s="453">
        <f>COUNTIF('Form Responses 1'!J:J,"*Aid and Assist*")</f>
        <v>23</v>
      </c>
      <c r="C18" s="439">
        <f t="shared" si="3"/>
        <v>0.02631578947</v>
      </c>
      <c r="D18" s="445" t="s">
        <v>3062</v>
      </c>
      <c r="E18" s="445" t="s">
        <v>3062</v>
      </c>
      <c r="F18" s="456">
        <f>COUNTIF('Form Responses 1'!J:J,"*CMHP - Diversion Courts and Commitment Program Unit*")+COUNTIF('Form Responses 1'!J:J,"*Bridge Treatment Team*")+COUNTIF('Form Responses 1'!J:J,"*Aid and Assist*")</f>
        <v>50</v>
      </c>
    </row>
    <row r="19">
      <c r="A19" s="452" t="s">
        <v>229</v>
      </c>
      <c r="B19" s="453">
        <f>COUNTIF('Form Responses 1'!J:J,"*Behavioral Health Resource Center*")</f>
        <v>16</v>
      </c>
      <c r="C19" s="439">
        <f t="shared" si="3"/>
        <v>0.01830663616</v>
      </c>
      <c r="D19" s="445" t="s">
        <v>3061</v>
      </c>
      <c r="E19" s="445" t="s">
        <v>3063</v>
      </c>
      <c r="F19" s="455">
        <f>COUNTIF('Form Responses 1'!J:J,"*BH Director's Office*")</f>
        <v>15</v>
      </c>
    </row>
    <row r="20">
      <c r="A20" s="452" t="s">
        <v>121</v>
      </c>
      <c r="B20" s="453">
        <f>COUNTIF('Form Responses 1'!J:J,"*BH Director's Office*")</f>
        <v>15</v>
      </c>
      <c r="C20" s="439">
        <f t="shared" si="3"/>
        <v>0.0171624714</v>
      </c>
      <c r="D20" s="445" t="s">
        <v>3063</v>
      </c>
      <c r="E20" s="445" t="s">
        <v>3064</v>
      </c>
      <c r="F20" s="456">
        <f>COUNTIF('Form Responses 1'!J:J,"*Records Team*")+COUNTIF('Form Responses 1'!J:J,"*Quality Management Unit*")+COUNTIF('Form Responses 1'!J:J,"*Quality Assurance and Compliance Unit*")+COUNTIF('Form Responses 1'!J:J,"*Evolv Administration Team*")+COUNTIF('Form Responses 1'!J:J,"*Billing Team*")</f>
        <v>92</v>
      </c>
    </row>
    <row r="21">
      <c r="A21" s="452" t="s">
        <v>62</v>
      </c>
      <c r="B21" s="453">
        <f>COUNTIF('Form Responses 1'!J:J,"*Billing Team*")</f>
        <v>15</v>
      </c>
      <c r="C21" s="439">
        <f t="shared" si="3"/>
        <v>0.0171624714</v>
      </c>
      <c r="D21" s="445" t="s">
        <v>3064</v>
      </c>
      <c r="E21" s="445" t="s">
        <v>3065</v>
      </c>
      <c r="F21" s="456">
        <f>COUNTIF('Form Responses 1'!J:J,"*Youth Intensive Care Coordination*")+COUNTIF('Form Responses 1'!J:J,"*Wraparound*")+COUNTIF('Form Responses 1'!J:J,"*Choice Model Program*")+COUNTIF('Form Responses 1'!J:J,"*Care Coordination Unit*")</f>
        <v>77</v>
      </c>
    </row>
    <row r="22">
      <c r="A22" s="452" t="s">
        <v>244</v>
      </c>
      <c r="B22" s="453">
        <f>COUNTIF('Form Responses 1'!J:J,"*Bridge Treatment Team*")</f>
        <v>12</v>
      </c>
      <c r="C22" s="439">
        <f t="shared" si="3"/>
        <v>0.01372997712</v>
      </c>
      <c r="D22" s="445" t="s">
        <v>3062</v>
      </c>
      <c r="E22" s="445" t="s">
        <v>3066</v>
      </c>
      <c r="F22" s="445">
        <v>102.0</v>
      </c>
    </row>
    <row r="23">
      <c r="A23" s="452" t="s">
        <v>100</v>
      </c>
      <c r="B23" s="453">
        <f>COUNTIF('Form Responses 1'!J:J,"*Call Center/Crisis Services*")</f>
        <v>142</v>
      </c>
      <c r="C23" s="439">
        <f t="shared" si="3"/>
        <v>0.1624713959</v>
      </c>
      <c r="D23" s="445" t="s">
        <v>3061</v>
      </c>
      <c r="E23" s="456"/>
      <c r="F23" s="456"/>
    </row>
    <row r="24">
      <c r="A24" s="452" t="s">
        <v>433</v>
      </c>
      <c r="B24" s="453">
        <f>COUNTIF('Form Responses 1'!J:J,"*Care Coordination Unit*")</f>
        <v>15</v>
      </c>
      <c r="C24" s="439">
        <f t="shared" si="3"/>
        <v>0.0171624714</v>
      </c>
      <c r="D24" s="445" t="s">
        <v>3065</v>
      </c>
      <c r="E24" s="456"/>
      <c r="F24" s="456"/>
    </row>
    <row r="25">
      <c r="A25" s="452" t="s">
        <v>90</v>
      </c>
      <c r="B25" s="453">
        <f>COUNTIF('Form Responses 1'!J:J,"*Choice Model Program*")</f>
        <v>12</v>
      </c>
      <c r="C25" s="439">
        <f t="shared" si="3"/>
        <v>0.01372997712</v>
      </c>
      <c r="D25" s="445" t="s">
        <v>3065</v>
      </c>
      <c r="E25" s="456"/>
      <c r="F25" s="456"/>
    </row>
    <row r="26">
      <c r="A26" s="452" t="s">
        <v>967</v>
      </c>
      <c r="B26" s="453">
        <f>COUNTIF('Form Responses 1'!J:J,"*CMHP - Diversion Courts and Commitment Program Unit*")</f>
        <v>15</v>
      </c>
      <c r="C26" s="439">
        <f t="shared" si="3"/>
        <v>0.0171624714</v>
      </c>
      <c r="D26" s="445" t="s">
        <v>3062</v>
      </c>
      <c r="E26" s="456"/>
      <c r="F26" s="456"/>
    </row>
    <row r="27">
      <c r="A27" s="452" t="s">
        <v>118</v>
      </c>
      <c r="B27" s="453">
        <f> COUNTIF('Form Responses 1'!J:J,"*CMHP - Safety Net Services Unit*")</f>
        <v>28</v>
      </c>
      <c r="C27" s="439">
        <f t="shared" si="3"/>
        <v>0.03203661327</v>
      </c>
      <c r="D27" s="445" t="s">
        <v>3061</v>
      </c>
      <c r="E27" s="456"/>
      <c r="F27" s="456"/>
    </row>
    <row r="28">
      <c r="A28" s="452" t="s">
        <v>189</v>
      </c>
      <c r="B28" s="453">
        <f>COUNTIF('Form Responses 1'!J:J,"*Direct Clinical Services Unit*")</f>
        <v>60</v>
      </c>
      <c r="C28" s="439">
        <f t="shared" si="3"/>
        <v>0.06864988558</v>
      </c>
      <c r="D28" s="445" t="s">
        <v>3066</v>
      </c>
      <c r="E28" s="456"/>
      <c r="F28" s="456"/>
    </row>
    <row r="29">
      <c r="A29" s="452" t="s">
        <v>3067</v>
      </c>
      <c r="B29" s="453">
        <f>COUNTIF('Form Responses 1'!J:J,"*Disaster Management*")</f>
        <v>10</v>
      </c>
      <c r="C29" s="439">
        <f t="shared" si="3"/>
        <v>0.0114416476</v>
      </c>
      <c r="D29" s="445" t="s">
        <v>3061</v>
      </c>
      <c r="E29" s="456"/>
      <c r="F29" s="456"/>
    </row>
    <row r="30">
      <c r="A30" s="452" t="s">
        <v>184</v>
      </c>
      <c r="B30" s="453">
        <f>COUNTIF('Form Responses 1'!J:J,"*Early Assessment and Support Alliance (EASA)*")</f>
        <v>42</v>
      </c>
      <c r="C30" s="439">
        <f t="shared" si="3"/>
        <v>0.04805491991</v>
      </c>
      <c r="D30" s="445" t="s">
        <v>3066</v>
      </c>
      <c r="E30" s="456"/>
      <c r="F30" s="456"/>
    </row>
    <row r="31">
      <c r="A31" s="452" t="s">
        <v>383</v>
      </c>
      <c r="B31" s="453">
        <f>COUNTIF('Form Responses 1'!J:J,"*Early Childhood Services (EC)*")</f>
        <v>78</v>
      </c>
      <c r="C31" s="439">
        <f t="shared" si="3"/>
        <v>0.08924485126</v>
      </c>
      <c r="D31" s="445" t="s">
        <v>3066</v>
      </c>
      <c r="E31" s="456"/>
      <c r="F31" s="456"/>
    </row>
    <row r="32">
      <c r="A32" s="452" t="s">
        <v>223</v>
      </c>
      <c r="B32" s="453">
        <f>COUNTIF('Form Responses 1'!J:J,"*Evolv Administration Team*")</f>
        <v>4</v>
      </c>
      <c r="C32" s="439">
        <f t="shared" si="3"/>
        <v>0.004576659039</v>
      </c>
      <c r="D32" s="445" t="s">
        <v>3064</v>
      </c>
      <c r="E32" s="456"/>
      <c r="F32" s="456"/>
    </row>
    <row r="33">
      <c r="A33" s="452" t="s">
        <v>226</v>
      </c>
      <c r="B33" s="453">
        <f>COUNTIF('Form Responses 1'!J:J,"*K-12*")</f>
        <v>16</v>
      </c>
      <c r="C33" s="439">
        <f t="shared" si="3"/>
        <v>0.01830663616</v>
      </c>
      <c r="D33" s="445" t="s">
        <v>3066</v>
      </c>
      <c r="E33" s="456"/>
      <c r="F33" s="456"/>
    </row>
    <row r="34">
      <c r="A34" s="452" t="s">
        <v>82</v>
      </c>
      <c r="B34" s="453">
        <f>COUNTIF('Form Responses 1'!J:J,"*Older Adult Behavioral Health Initiative*")</f>
        <v>22</v>
      </c>
      <c r="C34" s="439">
        <f t="shared" si="3"/>
        <v>0.02517162471</v>
      </c>
      <c r="D34" s="445" t="s">
        <v>3061</v>
      </c>
      <c r="E34" s="456"/>
      <c r="F34" s="456"/>
    </row>
    <row r="35">
      <c r="A35" s="452" t="s">
        <v>157</v>
      </c>
      <c r="B35" s="453">
        <f>COUNTIF('Form Responses 1'!J:J,"*Preschool for All - (PFA)*")</f>
        <v>35</v>
      </c>
      <c r="C35" s="439">
        <f t="shared" si="3"/>
        <v>0.04004576659</v>
      </c>
      <c r="D35" s="445" t="s">
        <v>3066</v>
      </c>
      <c r="E35" s="456"/>
      <c r="F35" s="456"/>
    </row>
    <row r="36">
      <c r="A36" s="452" t="s">
        <v>73</v>
      </c>
      <c r="B36" s="453">
        <f>COUNTIF('Form Responses 1'!J:J,"*Quality Assurance and Compliance Unit*")</f>
        <v>14</v>
      </c>
      <c r="C36" s="439">
        <f t="shared" si="3"/>
        <v>0.01601830664</v>
      </c>
      <c r="D36" s="445" t="s">
        <v>3064</v>
      </c>
      <c r="E36" s="456"/>
      <c r="F36" s="456"/>
    </row>
    <row r="37">
      <c r="A37" s="452" t="s">
        <v>128</v>
      </c>
      <c r="B37" s="453">
        <f>COUNTIF('Form Responses 1'!J:J,"*Quality Management Unit*")</f>
        <v>44</v>
      </c>
      <c r="C37" s="439">
        <f t="shared" si="3"/>
        <v>0.05034324943</v>
      </c>
      <c r="D37" s="445" t="s">
        <v>3064</v>
      </c>
      <c r="E37" s="456"/>
      <c r="F37" s="456"/>
    </row>
    <row r="38">
      <c r="A38" s="452" t="s">
        <v>336</v>
      </c>
      <c r="B38" s="453">
        <f>COUNTIF('Form Responses 1'!J:J,"*Records Team*")</f>
        <v>15</v>
      </c>
      <c r="C38" s="439">
        <f t="shared" si="3"/>
        <v>0.0171624714</v>
      </c>
      <c r="D38" s="445" t="s">
        <v>3064</v>
      </c>
      <c r="E38" s="456"/>
      <c r="F38" s="456"/>
      <c r="I38" s="454"/>
    </row>
    <row r="39">
      <c r="A39" s="452" t="s">
        <v>102</v>
      </c>
      <c r="B39" s="453">
        <f>COUNTIF('Form Responses 1'!J:J,"*School Based Mental Health (SBMH)*")</f>
        <v>144</v>
      </c>
      <c r="C39" s="439">
        <f t="shared" si="3"/>
        <v>0.1647597254</v>
      </c>
      <c r="D39" s="445" t="s">
        <v>3066</v>
      </c>
      <c r="E39" s="456"/>
      <c r="F39" s="456"/>
      <c r="I39" s="454"/>
    </row>
    <row r="40">
      <c r="A40" s="457" t="s">
        <v>86</v>
      </c>
      <c r="B40" s="453">
        <f>COUNTIF('Form Responses 1'!J:J,"*Wraparound*")</f>
        <v>34</v>
      </c>
      <c r="C40" s="439">
        <f t="shared" si="3"/>
        <v>0.03890160183</v>
      </c>
      <c r="D40" s="445" t="s">
        <v>3065</v>
      </c>
      <c r="E40" s="456"/>
      <c r="F40" s="456"/>
      <c r="I40" s="454"/>
    </row>
    <row r="41">
      <c r="A41" s="452" t="s">
        <v>48</v>
      </c>
      <c r="B41" s="453">
        <f>COUNTIF('Form Responses 1'!J:J,"*Youth Intensive Care Coordination*")</f>
        <v>16</v>
      </c>
      <c r="C41" s="439">
        <f t="shared" si="3"/>
        <v>0.01830663616</v>
      </c>
      <c r="D41" s="445" t="s">
        <v>3065</v>
      </c>
      <c r="E41" s="456"/>
      <c r="F41" s="456"/>
      <c r="I41" s="454"/>
    </row>
    <row r="42">
      <c r="B42" s="440"/>
      <c r="C42" s="441"/>
      <c r="I42" s="454"/>
    </row>
    <row r="43">
      <c r="A43" s="458" t="s">
        <v>3068</v>
      </c>
      <c r="B43" s="459"/>
      <c r="C43" s="460"/>
      <c r="I43" s="454"/>
    </row>
    <row r="44">
      <c r="A44" s="435" t="s">
        <v>3057</v>
      </c>
      <c r="B44" s="436" t="s">
        <v>3055</v>
      </c>
      <c r="C44" s="436" t="s">
        <v>3053</v>
      </c>
      <c r="D44" s="451"/>
      <c r="E44" s="461" t="s">
        <v>3058</v>
      </c>
      <c r="F44" s="461" t="s">
        <v>3055</v>
      </c>
      <c r="I44" s="454"/>
    </row>
    <row r="45">
      <c r="A45" s="452" t="s">
        <v>262</v>
      </c>
      <c r="B45" s="462">
        <f>SUMIF('Form Responses 1'!J:J,"*Addiction and Prevention Program Unit*",'Form Responses 1'!I:I)</f>
        <v>52968</v>
      </c>
      <c r="C45" s="439">
        <f t="shared" ref="C45:C70" si="4">B45/sum($B$45:$B$70)</f>
        <v>0.02949148715</v>
      </c>
      <c r="D45" s="445" t="s">
        <v>3060</v>
      </c>
      <c r="E45" s="445" t="s">
        <v>3060</v>
      </c>
      <c r="F45" s="463">
        <f>B45</f>
        <v>52968</v>
      </c>
      <c r="I45" s="454"/>
    </row>
    <row r="46">
      <c r="A46" s="452" t="s">
        <v>194</v>
      </c>
      <c r="B46" s="462">
        <f>SUMIF('Form Responses 1'!J:J,"*Adult Protective Services and Risk Case Management*",'Form Responses 1'!I:I)</f>
        <v>164733.99</v>
      </c>
      <c r="C46" s="439">
        <f t="shared" si="4"/>
        <v>0.09172047934</v>
      </c>
      <c r="D46" s="445" t="s">
        <v>3061</v>
      </c>
      <c r="E46" s="445" t="s">
        <v>3061</v>
      </c>
      <c r="F46" s="464">
        <f>B46+B47+B48+B49+B50+B51</f>
        <v>390493.81</v>
      </c>
      <c r="I46" s="454"/>
    </row>
    <row r="47">
      <c r="A47" s="452" t="s">
        <v>43</v>
      </c>
      <c r="B47" s="462">
        <f>SUMIF('Form Responses 1'!J:J,"*Aid and Assist*",'Form Responses 1'!I:I)</f>
        <v>58815.35</v>
      </c>
      <c r="C47" s="439">
        <f t="shared" si="4"/>
        <v>0.03274717072</v>
      </c>
      <c r="D47" s="445" t="s">
        <v>3062</v>
      </c>
      <c r="E47" s="445" t="s">
        <v>3062</v>
      </c>
      <c r="F47" s="463">
        <f>B52+B53+B54</f>
        <v>97762.98</v>
      </c>
      <c r="I47" s="454"/>
    </row>
    <row r="48">
      <c r="A48" s="452" t="s">
        <v>229</v>
      </c>
      <c r="B48" s="462">
        <f>SUMIF('Form Responses 1'!J:J,"*Behavioral Health Resource Center*",'Form Responses 1'!I:I)</f>
        <v>45308</v>
      </c>
      <c r="C48" s="439">
        <f t="shared" si="4"/>
        <v>0.02522655754</v>
      </c>
      <c r="D48" s="445" t="s">
        <v>3061</v>
      </c>
      <c r="E48" s="445" t="s">
        <v>3063</v>
      </c>
      <c r="F48" s="463">
        <f>B55</f>
        <v>29742.99</v>
      </c>
      <c r="I48" s="454"/>
    </row>
    <row r="49">
      <c r="A49" s="452" t="s">
        <v>121</v>
      </c>
      <c r="B49" s="462">
        <f>SUMIF('Form Responses 1'!J:J,"*BH Director's Office*",'Form Responses 1'!I:I)</f>
        <v>53445</v>
      </c>
      <c r="C49" s="439">
        <f t="shared" si="4"/>
        <v>0.02975707089</v>
      </c>
      <c r="D49" s="445" t="s">
        <v>3063</v>
      </c>
      <c r="E49" s="445" t="s">
        <v>3064</v>
      </c>
      <c r="F49" s="463">
        <f>B56+B57+B58+B59+B60</f>
        <v>527726.9</v>
      </c>
      <c r="I49" s="454"/>
    </row>
    <row r="50">
      <c r="A50" s="452" t="s">
        <v>62</v>
      </c>
      <c r="B50" s="462">
        <f>SUMIF('Form Responses 1'!J:J,"*Billing Team*",'Form Responses 1'!I:I)</f>
        <v>43896.48</v>
      </c>
      <c r="C50" s="439">
        <f t="shared" si="4"/>
        <v>0.02444065239</v>
      </c>
      <c r="D50" s="445" t="s">
        <v>3064</v>
      </c>
      <c r="E50" s="445" t="s">
        <v>3065</v>
      </c>
      <c r="F50" s="463">
        <f>B61+B62+B63+B64</f>
        <v>196225.23</v>
      </c>
      <c r="I50" s="454"/>
    </row>
    <row r="51">
      <c r="A51" s="452" t="s">
        <v>244</v>
      </c>
      <c r="B51" s="462">
        <f>SUMIF('Form Responses 1'!J:J,"*Bridge Treatment Team*",'Form Responses 1'!I:I)</f>
        <v>24294.99</v>
      </c>
      <c r="C51" s="439">
        <f t="shared" si="4"/>
        <v>0.01352694807</v>
      </c>
      <c r="D51" s="445" t="s">
        <v>3062</v>
      </c>
      <c r="E51" s="445" t="s">
        <v>3066</v>
      </c>
      <c r="F51" s="463">
        <f>B65+B66+B67+B68+B69+B70</f>
        <v>501123.8</v>
      </c>
      <c r="I51" s="454"/>
    </row>
    <row r="52">
      <c r="A52" s="452" t="s">
        <v>100</v>
      </c>
      <c r="B52" s="462">
        <f>SUMIF('Form Responses 1'!J:J,"*Bridge Treatment Team*",'Form Responses 1'!I:I)</f>
        <v>24294.99</v>
      </c>
      <c r="C52" s="439">
        <f t="shared" si="4"/>
        <v>0.01352694807</v>
      </c>
      <c r="D52" s="445" t="s">
        <v>3061</v>
      </c>
      <c r="E52" s="456"/>
      <c r="F52" s="456"/>
      <c r="I52" s="454"/>
    </row>
    <row r="53">
      <c r="A53" s="452" t="s">
        <v>433</v>
      </c>
      <c r="B53" s="462">
        <f>SUMIF('Form Responses 1'!J:J,"*Care Coordination Unit*",'Form Responses 1'!I:I)</f>
        <v>33568</v>
      </c>
      <c r="C53" s="439">
        <f t="shared" si="4"/>
        <v>0.0186899683</v>
      </c>
      <c r="D53" s="445" t="s">
        <v>3065</v>
      </c>
      <c r="E53" s="456"/>
      <c r="F53" s="456"/>
      <c r="I53" s="454"/>
    </row>
    <row r="54">
      <c r="A54" s="452" t="s">
        <v>90</v>
      </c>
      <c r="B54" s="462">
        <f>SUMIF('Form Responses 1'!J:J,"*Choice Model Program*",'Form Responses 1'!I:I)</f>
        <v>39899.99</v>
      </c>
      <c r="C54" s="439">
        <f t="shared" si="4"/>
        <v>0.0222154894</v>
      </c>
      <c r="D54" s="445" t="s">
        <v>3065</v>
      </c>
      <c r="E54" s="456"/>
      <c r="F54" s="456"/>
      <c r="I54" s="454"/>
    </row>
    <row r="55">
      <c r="A55" s="452" t="s">
        <v>967</v>
      </c>
      <c r="B55" s="462">
        <f>SUMIF('Form Responses 1'!J:J,"*CMHP - Diversion Courts and Commitment Program Unit*",'Form Responses 1'!I:I)</f>
        <v>29742.99</v>
      </c>
      <c r="C55" s="439">
        <f t="shared" si="4"/>
        <v>0.01656028182</v>
      </c>
      <c r="D55" s="445" t="s">
        <v>3062</v>
      </c>
      <c r="E55" s="456"/>
      <c r="F55" s="456"/>
      <c r="I55" s="454"/>
    </row>
    <row r="56">
      <c r="A56" s="452" t="s">
        <v>118</v>
      </c>
      <c r="B56" s="462">
        <f>SUMIF('Form Responses 1'!J:J,"*CMHP - Safety Net Services Unit*",'Form Responses 1'!I:I)</f>
        <v>67758.99</v>
      </c>
      <c r="C56" s="439">
        <f t="shared" si="4"/>
        <v>0.03772680454</v>
      </c>
      <c r="D56" s="445" t="s">
        <v>3061</v>
      </c>
      <c r="E56" s="456"/>
      <c r="F56" s="456"/>
      <c r="I56" s="454"/>
    </row>
    <row r="57" ht="12.75" customHeight="1">
      <c r="A57" s="452" t="s">
        <v>189</v>
      </c>
      <c r="B57" s="462">
        <f>SUMIF('Form Responses 1'!J:J,"*Direct Clinical Services Unit*",'Form Responses 1'!I:I)</f>
        <v>303271.88</v>
      </c>
      <c r="C57" s="439">
        <f t="shared" si="4"/>
        <v>0.1688555119</v>
      </c>
      <c r="D57" s="445" t="s">
        <v>3066</v>
      </c>
      <c r="E57" s="456"/>
      <c r="F57" s="456"/>
      <c r="I57" s="454"/>
    </row>
    <row r="58">
      <c r="A58" s="452" t="s">
        <v>3067</v>
      </c>
      <c r="B58" s="462">
        <f>SUMIF('Form Responses 1'!J:J,"*Disaster Management*",'Form Responses 1'!I:I)</f>
        <v>20523</v>
      </c>
      <c r="C58" s="439">
        <f t="shared" si="4"/>
        <v>0.01142678204</v>
      </c>
      <c r="D58" s="445" t="s">
        <v>3061</v>
      </c>
      <c r="E58" s="456"/>
      <c r="F58" s="456"/>
      <c r="I58" s="454"/>
    </row>
    <row r="59">
      <c r="A59" s="452" t="s">
        <v>184</v>
      </c>
      <c r="B59" s="462">
        <f>SUMIF('Form Responses 1'!J:J,"*Early Assessment and Support Alliance (EASA)*",'Form Responses 1'!I:I)</f>
        <v>32282.97</v>
      </c>
      <c r="C59" s="439">
        <f t="shared" si="4"/>
        <v>0.01797449016</v>
      </c>
      <c r="D59" s="445" t="s">
        <v>3066</v>
      </c>
      <c r="E59" s="456"/>
      <c r="F59" s="456"/>
      <c r="I59" s="454"/>
    </row>
    <row r="60">
      <c r="A60" s="452" t="s">
        <v>383</v>
      </c>
      <c r="B60" s="462">
        <f>SUMIF('Form Responses 1'!J:J,"*Early Childhood Services (EC)*",'Form Responses 1'!I:I)</f>
        <v>103890.06</v>
      </c>
      <c r="C60" s="439">
        <f t="shared" si="4"/>
        <v>0.05784383722</v>
      </c>
      <c r="D60" s="445" t="s">
        <v>3066</v>
      </c>
      <c r="E60" s="456"/>
      <c r="F60" s="456"/>
      <c r="I60" s="454"/>
    </row>
    <row r="61">
      <c r="A61" s="452" t="s">
        <v>223</v>
      </c>
      <c r="B61" s="462">
        <f>SUMIF('Form Responses 1'!J:J,"*Evolv Administration Team*",'Form Responses 1'!I:I)</f>
        <v>14254</v>
      </c>
      <c r="C61" s="439">
        <f t="shared" si="4"/>
        <v>0.007936332463</v>
      </c>
      <c r="D61" s="445" t="s">
        <v>3064</v>
      </c>
      <c r="E61" s="435"/>
      <c r="F61" s="436"/>
    </row>
    <row r="62">
      <c r="A62" s="452" t="s">
        <v>226</v>
      </c>
      <c r="B62" s="462">
        <f>SUMIF('Form Responses 1'!J:J,"*K-12*",'Form Responses 1'!I:I)</f>
        <v>25388</v>
      </c>
      <c r="C62" s="439">
        <f t="shared" si="4"/>
        <v>0.01413551344</v>
      </c>
      <c r="D62" s="445" t="s">
        <v>3066</v>
      </c>
      <c r="E62" s="435"/>
      <c r="F62" s="436"/>
    </row>
    <row r="63">
      <c r="A63" s="452" t="s">
        <v>82</v>
      </c>
      <c r="B63" s="462">
        <f>SUMIF('Form Responses 1'!J:J,"*Older Adult Behavioral Health Initiative*",'Form Responses 1'!I:I)</f>
        <v>98613.23</v>
      </c>
      <c r="C63" s="439">
        <f t="shared" si="4"/>
        <v>0.05490580739</v>
      </c>
      <c r="D63" s="445" t="s">
        <v>3061</v>
      </c>
      <c r="E63" s="456"/>
      <c r="F63" s="465"/>
    </row>
    <row r="64">
      <c r="A64" s="452" t="s">
        <v>157</v>
      </c>
      <c r="B64" s="462">
        <f>SUMIF('Form Responses 1'!J:J,"*Preschool for All - (PFA)*",'Form Responses 1'!I:I)</f>
        <v>57970</v>
      </c>
      <c r="C64" s="439">
        <f t="shared" si="4"/>
        <v>0.03227649732</v>
      </c>
      <c r="D64" s="445" t="s">
        <v>3066</v>
      </c>
      <c r="E64" s="456"/>
      <c r="F64" s="465"/>
    </row>
    <row r="65">
      <c r="A65" s="452" t="s">
        <v>73</v>
      </c>
      <c r="B65" s="462">
        <f>SUMIF('Form Responses 1'!J:J,"*Quality Assurance and Compliance Unit*",'Form Responses 1'!I:I)</f>
        <v>35754</v>
      </c>
      <c r="C65" s="439">
        <f t="shared" si="4"/>
        <v>0.0199070879</v>
      </c>
      <c r="D65" s="445" t="s">
        <v>3064</v>
      </c>
      <c r="E65" s="456"/>
      <c r="F65" s="465"/>
    </row>
    <row r="66">
      <c r="A66" s="452" t="s">
        <v>128</v>
      </c>
      <c r="B66" s="462">
        <f>SUMIF('Form Responses 1'!J:J,"*Quality Management Unit*",'Form Responses 1'!I:I)</f>
        <v>191940.95</v>
      </c>
      <c r="C66" s="439">
        <f t="shared" si="4"/>
        <v>0.1068687521</v>
      </c>
      <c r="D66" s="445" t="s">
        <v>3064</v>
      </c>
      <c r="E66" s="456"/>
      <c r="F66" s="465"/>
    </row>
    <row r="67">
      <c r="A67" s="452" t="s">
        <v>336</v>
      </c>
      <c r="B67" s="462">
        <f>SUMIF('Form Responses 1'!J:J,"*Records Team*",'Form Responses 1'!I:I)</f>
        <v>52962.85</v>
      </c>
      <c r="C67" s="439">
        <f t="shared" si="4"/>
        <v>0.02948861974</v>
      </c>
      <c r="D67" s="445" t="s">
        <v>3064</v>
      </c>
      <c r="E67" s="456"/>
      <c r="F67" s="465"/>
    </row>
    <row r="68">
      <c r="A68" s="452" t="s">
        <v>102</v>
      </c>
      <c r="B68" s="462">
        <f>SUMIF('Form Responses 1'!J:J,"*School Based Mental Health (SBMH)*",'Form Responses 1'!I:I)</f>
        <v>138861</v>
      </c>
      <c r="C68" s="439">
        <f t="shared" si="4"/>
        <v>0.0773149335</v>
      </c>
      <c r="D68" s="445" t="s">
        <v>3066</v>
      </c>
      <c r="E68" s="456"/>
      <c r="F68" s="465"/>
    </row>
    <row r="69">
      <c r="A69" s="457" t="s">
        <v>86</v>
      </c>
      <c r="B69" s="462">
        <f>SUMIF('Form Responses 1'!J:J,"*Wraparound*",'Form Responses 1'!I:I)</f>
        <v>35988</v>
      </c>
      <c r="C69" s="439">
        <f t="shared" si="4"/>
        <v>0.02003737426</v>
      </c>
      <c r="D69" s="445" t="s">
        <v>3065</v>
      </c>
      <c r="E69" s="456"/>
      <c r="F69" s="465"/>
    </row>
    <row r="70">
      <c r="A70" s="452" t="s">
        <v>48</v>
      </c>
      <c r="B70" s="462">
        <f>SUMIF('Form Responses 1'!J:J,"*Youth Intensive Care Coordination*",'Form Responses 1'!I:I)</f>
        <v>45617</v>
      </c>
      <c r="C70" s="439">
        <f t="shared" si="4"/>
        <v>0.02539860235</v>
      </c>
      <c r="D70" s="445" t="s">
        <v>3065</v>
      </c>
      <c r="E70" s="456"/>
      <c r="F70" s="465"/>
    </row>
    <row r="71">
      <c r="A71" s="466" t="s">
        <v>3069</v>
      </c>
      <c r="B71" s="462">
        <f>SUM(B45:B70)</f>
        <v>1796043.71</v>
      </c>
      <c r="C71" s="439"/>
      <c r="D71" s="467"/>
      <c r="E71" s="467"/>
      <c r="F71" s="438"/>
    </row>
    <row r="72">
      <c r="F72" s="440"/>
    </row>
    <row r="73">
      <c r="E73" s="468"/>
      <c r="F73" s="469"/>
    </row>
    <row r="74">
      <c r="A74" s="470" t="s">
        <v>3070</v>
      </c>
      <c r="B74" s="471"/>
      <c r="C74" s="472"/>
      <c r="E74" s="468"/>
      <c r="F74" s="473"/>
    </row>
    <row r="75">
      <c r="A75" s="435" t="s">
        <v>3071</v>
      </c>
      <c r="B75" s="436" t="s">
        <v>3055</v>
      </c>
      <c r="C75" s="436" t="s">
        <v>3053</v>
      </c>
      <c r="F75" s="474"/>
    </row>
    <row r="76">
      <c r="A76" s="437" t="s">
        <v>89</v>
      </c>
      <c r="B76" s="475">
        <f>SUMIFS('Form Responses 1'!I:I,'Form Responses 1'!AL:AL, "Regular Represented", 'Form Responses 1'!H:H, A76)</f>
        <v>120987</v>
      </c>
      <c r="C76" s="439">
        <f t="shared" ref="C76:C84" si="5">B76/sum($B$76:$B$84)</f>
        <v>0.265903753</v>
      </c>
      <c r="F76" s="474"/>
    </row>
    <row r="77">
      <c r="A77" s="437" t="s">
        <v>99</v>
      </c>
      <c r="B77" s="475">
        <f>SUMIFS('Form Responses 1'!I:I,'Form Responses 1'!AL:AL, "Regular Represented", 'Form Responses 1'!H:H, A77)</f>
        <v>130000</v>
      </c>
      <c r="C77" s="439">
        <f t="shared" si="5"/>
        <v>0.2857124145</v>
      </c>
      <c r="F77" s="474"/>
    </row>
    <row r="78">
      <c r="A78" s="437" t="s">
        <v>127</v>
      </c>
      <c r="B78" s="475">
        <f>SUMIFS('Form Responses 1'!I:I,'Form Responses 1'!AL:AL, "Regular Represented", 'Form Responses 1'!H:H, A78)</f>
        <v>99524.56</v>
      </c>
      <c r="C78" s="439">
        <f t="shared" si="5"/>
        <v>0.2187338641</v>
      </c>
      <c r="F78" s="474"/>
    </row>
    <row r="79">
      <c r="A79" s="437" t="s">
        <v>61</v>
      </c>
      <c r="B79" s="475">
        <f>SUMIFS('Form Responses 1'!I:I,'Form Responses 1'!AL:AL, "Regular Represented", 'Form Responses 1'!H:H, A79)</f>
        <v>36234.44</v>
      </c>
      <c r="C79" s="439">
        <f t="shared" si="5"/>
        <v>0.0796356103</v>
      </c>
      <c r="F79" s="474"/>
    </row>
    <row r="80">
      <c r="A80" s="437" t="s">
        <v>191</v>
      </c>
      <c r="B80" s="475">
        <f>SUMIFS('Form Responses 1'!I:I,'Form Responses 1'!AL:AL, "Regular Represented", 'Form Responses 1'!H:H, A80)</f>
        <v>0</v>
      </c>
      <c r="C80" s="439">
        <f t="shared" si="5"/>
        <v>0</v>
      </c>
      <c r="F80" s="474"/>
    </row>
    <row r="81">
      <c r="A81" s="437" t="s">
        <v>55</v>
      </c>
      <c r="B81" s="475">
        <f>SUMIFS('Form Responses 1'!I:I,'Form Responses 1'!AL:AL, "Regular Represented", 'Form Responses 1'!H:H, A81)</f>
        <v>14509</v>
      </c>
      <c r="C81" s="439">
        <f t="shared" si="5"/>
        <v>0.03188770324</v>
      </c>
      <c r="F81" s="474"/>
    </row>
    <row r="82">
      <c r="A82" s="437" t="s">
        <v>42</v>
      </c>
      <c r="B82" s="475">
        <f>SUMIFS('Form Responses 1'!I:I,'Form Responses 1'!AL:AL, "Regular Represented", 'Form Responses 1'!H:H, A82)</f>
        <v>9400</v>
      </c>
      <c r="C82" s="439">
        <f t="shared" si="5"/>
        <v>0.02065920535</v>
      </c>
      <c r="F82" s="474"/>
    </row>
    <row r="83">
      <c r="A83" s="437" t="s">
        <v>47</v>
      </c>
      <c r="B83" s="475">
        <f>SUMIFS('Form Responses 1'!I:I,'Form Responses 1'!AL:AL, "Regular Represented", 'Form Responses 1'!H:H, A83)</f>
        <v>41519.98</v>
      </c>
      <c r="C83" s="439">
        <f t="shared" si="5"/>
        <v>0.09125210565</v>
      </c>
    </row>
    <row r="84">
      <c r="A84" s="437" t="s">
        <v>143</v>
      </c>
      <c r="B84" s="475">
        <f>SUMIFS('Form Responses 1'!I:I,'Form Responses 1'!AL:AL, "Regular Represented", 'Form Responses 1'!H:H, A84)</f>
        <v>2828</v>
      </c>
      <c r="C84" s="439">
        <f t="shared" si="5"/>
        <v>0.006215343908</v>
      </c>
    </row>
    <row r="85">
      <c r="A85" s="411" t="s">
        <v>3069</v>
      </c>
      <c r="B85" s="464">
        <f>SUM(B76:B84)</f>
        <v>455002.98</v>
      </c>
      <c r="C85" s="441"/>
    </row>
    <row r="86">
      <c r="A86" s="468"/>
      <c r="B86" s="469"/>
      <c r="C86" s="441"/>
    </row>
    <row r="87">
      <c r="A87" s="468"/>
      <c r="B87" s="469"/>
      <c r="C87" s="441"/>
    </row>
    <row r="88">
      <c r="A88" s="476" t="s">
        <v>3072</v>
      </c>
      <c r="B88" s="477"/>
      <c r="C88" s="478"/>
    </row>
    <row r="89">
      <c r="A89" s="476" t="s">
        <v>3073</v>
      </c>
      <c r="B89" s="479" t="s">
        <v>3055</v>
      </c>
      <c r="C89" s="479" t="s">
        <v>3053</v>
      </c>
    </row>
    <row r="90">
      <c r="A90" s="437" t="s">
        <v>89</v>
      </c>
      <c r="B90" s="475">
        <f>SUMIFS('Form Responses 1'!I:I,'Form Responses 1'!AL:AL, "Regular Non-Represented", 'Form Responses 1'!H:H, A90)</f>
        <v>120000</v>
      </c>
      <c r="C90" s="439">
        <f t="shared" ref="C90:C98" si="6">B90/sum($B$90:$B$98)</f>
        <v>0.7138650863</v>
      </c>
    </row>
    <row r="91">
      <c r="A91" s="437" t="s">
        <v>99</v>
      </c>
      <c r="B91" s="475">
        <f>SUMIFS('Form Responses 1'!I:I,'Form Responses 1'!AL:AL, "Regular Non-Represented", 'Form Responses 1'!H:H, A91)</f>
        <v>0</v>
      </c>
      <c r="C91" s="439">
        <f t="shared" si="6"/>
        <v>0</v>
      </c>
    </row>
    <row r="92">
      <c r="A92" s="437" t="s">
        <v>127</v>
      </c>
      <c r="B92" s="475">
        <f>SUMIFS('Form Responses 1'!I:I,'Form Responses 1'!AL:AL, "Regular Non-Represented", 'Form Responses 1'!H:H, A92)</f>
        <v>9900</v>
      </c>
      <c r="C92" s="439">
        <f t="shared" si="6"/>
        <v>0.05889386962</v>
      </c>
    </row>
    <row r="93">
      <c r="A93" s="437" t="s">
        <v>61</v>
      </c>
      <c r="B93" s="475">
        <f>SUMIFS('Form Responses 1'!I:I,'Form Responses 1'!AL:AL, "Regular Non-Represented", 'Form Responses 1'!H:H, A93)</f>
        <v>20035</v>
      </c>
      <c r="C93" s="439">
        <f t="shared" si="6"/>
        <v>0.119185725</v>
      </c>
    </row>
    <row r="94">
      <c r="A94" s="437" t="s">
        <v>191</v>
      </c>
      <c r="B94" s="475">
        <f>SUMIFS('Form Responses 1'!I:I,'Form Responses 1'!AL:AL, "Regular Non-Represented", 'Form Responses 1'!H:H, A94)</f>
        <v>4080</v>
      </c>
      <c r="C94" s="439">
        <f t="shared" si="6"/>
        <v>0.02427141293</v>
      </c>
    </row>
    <row r="95">
      <c r="A95" s="437" t="s">
        <v>55</v>
      </c>
      <c r="B95" s="475">
        <f>SUMIFS('Form Responses 1'!I:I,'Form Responses 1'!AL:AL, "Regular Non-Represented", 'Form Responses 1'!H:H, A95)</f>
        <v>0</v>
      </c>
      <c r="C95" s="439">
        <f t="shared" si="6"/>
        <v>0</v>
      </c>
    </row>
    <row r="96">
      <c r="A96" s="437" t="s">
        <v>42</v>
      </c>
      <c r="B96" s="475">
        <f>SUMIFS('Form Responses 1'!I:I,'Form Responses 1'!AL:AL, "Regular Non-Represented", 'Form Responses 1'!H:H, A96)</f>
        <v>10000</v>
      </c>
      <c r="C96" s="439">
        <f t="shared" si="6"/>
        <v>0.05948875719</v>
      </c>
    </row>
    <row r="97">
      <c r="A97" s="437" t="s">
        <v>47</v>
      </c>
      <c r="B97" s="475">
        <f>SUMIFS('Form Responses 1'!I:I,'Form Responses 1'!AL:AL, "Regular Non-Represented", 'Form Responses 1'!H:H, A97)</f>
        <v>4083.99</v>
      </c>
      <c r="C97" s="439">
        <f t="shared" si="6"/>
        <v>0.02429514895</v>
      </c>
    </row>
    <row r="98">
      <c r="A98" s="437" t="s">
        <v>143</v>
      </c>
      <c r="B98" s="475">
        <f>SUMIFS('Form Responses 1'!I:I,'Form Responses 1'!AL:AL, "Regular Non-Represented", 'Form Responses 1'!H:H, A98)</f>
        <v>0</v>
      </c>
      <c r="C98" s="439">
        <f t="shared" si="6"/>
        <v>0</v>
      </c>
    </row>
    <row r="99">
      <c r="A99" s="411" t="s">
        <v>3069</v>
      </c>
      <c r="B99" s="464">
        <f>SUM(B90:B98)</f>
        <v>168098.99</v>
      </c>
      <c r="C99" s="441"/>
    </row>
    <row r="100">
      <c r="B100" s="440"/>
      <c r="C100" s="441"/>
    </row>
    <row r="101">
      <c r="C101" s="441"/>
    </row>
    <row r="102">
      <c r="A102" s="468" t="s">
        <v>3074</v>
      </c>
      <c r="B102" s="469"/>
      <c r="C102" s="441"/>
    </row>
    <row r="103">
      <c r="A103" s="468" t="s">
        <v>3075</v>
      </c>
      <c r="B103" s="473" t="s">
        <v>3052</v>
      </c>
      <c r="C103" s="441"/>
    </row>
    <row r="104">
      <c r="A104" s="454" t="s">
        <v>39</v>
      </c>
      <c r="B104" s="474">
        <f>COUNTIF('Form Responses 1'!E:E,A104)</f>
        <v>8</v>
      </c>
      <c r="C104" s="441"/>
    </row>
    <row r="105">
      <c r="A105" s="454" t="s">
        <v>52</v>
      </c>
      <c r="B105" s="474">
        <f>COUNTIF('Form Responses 1'!E:E,A105)</f>
        <v>544</v>
      </c>
      <c r="C105" s="441"/>
    </row>
    <row r="106">
      <c r="A106" s="454" t="s">
        <v>79</v>
      </c>
      <c r="B106" s="474">
        <f>COUNTIF('Form Responses 1'!E:E,A106)</f>
        <v>3</v>
      </c>
      <c r="C106" s="441"/>
    </row>
    <row r="107">
      <c r="A107" s="454" t="s">
        <v>40</v>
      </c>
      <c r="B107" s="474">
        <f>COUNTIF('Form Responses 1'!E:E,A107)</f>
        <v>30</v>
      </c>
      <c r="C107" s="441"/>
    </row>
    <row r="108">
      <c r="A108" s="454" t="s">
        <v>138</v>
      </c>
      <c r="B108" s="474">
        <f>COUNTIF('Form Responses 1'!E:E,A108)</f>
        <v>121</v>
      </c>
      <c r="C108" s="441"/>
    </row>
    <row r="109">
      <c r="A109" s="454" t="s">
        <v>149</v>
      </c>
      <c r="B109" s="474">
        <f>COUNTIF('Form Responses 1'!E:E,A109)</f>
        <v>26</v>
      </c>
      <c r="C109" s="441"/>
    </row>
    <row r="110">
      <c r="A110" s="454" t="s">
        <v>196</v>
      </c>
      <c r="B110" s="474">
        <f>COUNTIF('Form Responses 1'!E:E,A110)</f>
        <v>17</v>
      </c>
      <c r="C110" s="441"/>
    </row>
    <row r="111">
      <c r="A111" s="454" t="s">
        <v>241</v>
      </c>
      <c r="B111" s="474">
        <f>COUNTIF('Form Responses 1'!E:E,A111)</f>
        <v>5</v>
      </c>
      <c r="C111" s="441"/>
    </row>
    <row r="112">
      <c r="B112" s="440"/>
      <c r="C112" s="441"/>
    </row>
    <row r="113">
      <c r="B113" s="440"/>
      <c r="C113" s="441"/>
    </row>
    <row r="114">
      <c r="A114" s="468" t="s">
        <v>3076</v>
      </c>
      <c r="B114" s="469"/>
      <c r="C114" s="441"/>
    </row>
    <row r="115">
      <c r="A115" s="468" t="s">
        <v>3075</v>
      </c>
      <c r="B115" s="473" t="s">
        <v>3055</v>
      </c>
      <c r="C115" s="441"/>
    </row>
    <row r="116">
      <c r="A116" s="454" t="s">
        <v>39</v>
      </c>
      <c r="B116" s="474">
        <f>SUMIF('Form Responses 1'!E:E,A116,'Form Responses 1'!I:I)</f>
        <v>58000</v>
      </c>
      <c r="C116" s="441"/>
    </row>
    <row r="117">
      <c r="A117" s="454" t="s">
        <v>52</v>
      </c>
      <c r="B117" s="474">
        <f>SUMIF('Form Responses 1'!E:E,A117,'Form Responses 1'!I:I)</f>
        <v>805254.66</v>
      </c>
      <c r="C117" s="441"/>
    </row>
    <row r="118">
      <c r="A118" s="454" t="s">
        <v>79</v>
      </c>
      <c r="B118" s="474">
        <f>SUMIF('Form Responses 1'!E:E,A118,'Form Responses 1'!I:I)</f>
        <v>3070</v>
      </c>
      <c r="C118" s="441"/>
    </row>
    <row r="119">
      <c r="A119" s="454" t="s">
        <v>40</v>
      </c>
      <c r="B119" s="474">
        <f>SUMIF('Form Responses 1'!E:E,A119,'Form Responses 1'!I:I)</f>
        <v>36352.97</v>
      </c>
      <c r="C119" s="441"/>
    </row>
    <row r="120">
      <c r="A120" s="454" t="s">
        <v>138</v>
      </c>
      <c r="B120" s="474">
        <f>SUMIF('Form Responses 1'!E:E,A120,'Form Responses 1'!I:I)</f>
        <v>156314.86</v>
      </c>
      <c r="C120" s="441"/>
    </row>
    <row r="121">
      <c r="A121" s="454" t="s">
        <v>149</v>
      </c>
      <c r="B121" s="474">
        <f>SUMIF('Form Responses 1'!E:E,A121,'Form Responses 1'!I:I)</f>
        <v>8320</v>
      </c>
      <c r="C121" s="441"/>
    </row>
    <row r="122">
      <c r="A122" s="454" t="s">
        <v>196</v>
      </c>
      <c r="B122" s="474">
        <f>SUMIF('Form Responses 1'!E:E,A122,'Form Responses 1'!I:I)</f>
        <v>101020</v>
      </c>
      <c r="C122" s="441"/>
    </row>
    <row r="123">
      <c r="A123" s="454" t="s">
        <v>241</v>
      </c>
      <c r="B123" s="474">
        <f>SUMIF('Form Responses 1'!E:E,A123,'Form Responses 1'!I:I)</f>
        <v>9599.81</v>
      </c>
      <c r="C123" s="441"/>
    </row>
    <row r="124">
      <c r="B124" s="440"/>
      <c r="C124" s="441"/>
    </row>
    <row r="125">
      <c r="B125" s="440"/>
      <c r="C125" s="441"/>
    </row>
    <row r="126">
      <c r="B126" s="440"/>
      <c r="C126" s="441"/>
    </row>
    <row r="127">
      <c r="B127" s="440"/>
      <c r="C127" s="441"/>
    </row>
    <row r="128">
      <c r="B128" s="440"/>
      <c r="C128" s="441"/>
    </row>
    <row r="129">
      <c r="B129" s="440"/>
      <c r="C129" s="441"/>
    </row>
    <row r="130">
      <c r="B130" s="440"/>
      <c r="C130" s="441"/>
    </row>
    <row r="131">
      <c r="B131" s="440"/>
      <c r="C131" s="441"/>
    </row>
    <row r="132">
      <c r="B132" s="440"/>
      <c r="C132" s="441"/>
    </row>
    <row r="133">
      <c r="B133" s="440"/>
      <c r="C133" s="441"/>
    </row>
    <row r="134">
      <c r="B134" s="440"/>
      <c r="C134" s="441"/>
    </row>
    <row r="135">
      <c r="B135" s="440"/>
      <c r="C135" s="441"/>
    </row>
    <row r="136">
      <c r="B136" s="440"/>
      <c r="C136" s="441"/>
    </row>
    <row r="137">
      <c r="B137" s="440"/>
      <c r="C137" s="441"/>
    </row>
    <row r="138">
      <c r="B138" s="440"/>
      <c r="C138" s="441"/>
    </row>
    <row r="139">
      <c r="B139" s="440"/>
      <c r="C139" s="441"/>
    </row>
    <row r="140">
      <c r="B140" s="440"/>
      <c r="C140" s="441"/>
    </row>
    <row r="141">
      <c r="B141" s="440"/>
      <c r="C141" s="441"/>
    </row>
    <row r="142">
      <c r="B142" s="440"/>
      <c r="C142" s="441"/>
    </row>
    <row r="143">
      <c r="B143" s="440"/>
      <c r="C143" s="441"/>
    </row>
    <row r="144">
      <c r="B144" s="440"/>
      <c r="C144" s="441"/>
    </row>
    <row r="145">
      <c r="B145" s="440"/>
      <c r="C145" s="441"/>
    </row>
    <row r="146">
      <c r="B146" s="440"/>
      <c r="C146" s="441"/>
    </row>
    <row r="147">
      <c r="B147" s="440"/>
      <c r="C147" s="441"/>
    </row>
    <row r="148">
      <c r="B148" s="440"/>
      <c r="C148" s="441"/>
    </row>
    <row r="149">
      <c r="B149" s="440"/>
      <c r="C149" s="441"/>
    </row>
    <row r="150">
      <c r="B150" s="440"/>
      <c r="C150" s="441"/>
    </row>
    <row r="151">
      <c r="B151" s="440"/>
      <c r="C151" s="441"/>
    </row>
    <row r="152">
      <c r="B152" s="440"/>
      <c r="C152" s="441"/>
    </row>
    <row r="153">
      <c r="B153" s="440"/>
      <c r="C153" s="441"/>
    </row>
    <row r="154">
      <c r="B154" s="440"/>
      <c r="C154" s="441"/>
    </row>
    <row r="155">
      <c r="B155" s="440"/>
      <c r="C155" s="441"/>
    </row>
    <row r="156">
      <c r="B156" s="440"/>
      <c r="C156" s="441"/>
    </row>
    <row r="157">
      <c r="B157" s="440"/>
      <c r="C157" s="441"/>
    </row>
    <row r="158">
      <c r="B158" s="440"/>
      <c r="C158" s="441"/>
    </row>
    <row r="159">
      <c r="B159" s="440"/>
      <c r="C159" s="441"/>
    </row>
    <row r="160">
      <c r="B160" s="440"/>
      <c r="C160" s="441"/>
    </row>
    <row r="161">
      <c r="B161" s="440"/>
      <c r="C161" s="441"/>
    </row>
    <row r="162">
      <c r="B162" s="440"/>
      <c r="C162" s="441"/>
    </row>
    <row r="163">
      <c r="B163" s="440"/>
      <c r="C163" s="441"/>
    </row>
    <row r="164">
      <c r="B164" s="440"/>
      <c r="C164" s="441"/>
    </row>
    <row r="165">
      <c r="B165" s="440"/>
      <c r="C165" s="441"/>
    </row>
    <row r="166">
      <c r="B166" s="440"/>
      <c r="C166" s="441"/>
    </row>
    <row r="167">
      <c r="B167" s="440"/>
      <c r="C167" s="441"/>
    </row>
    <row r="168">
      <c r="B168" s="440"/>
      <c r="C168" s="441"/>
    </row>
    <row r="169">
      <c r="B169" s="440"/>
      <c r="C169" s="441"/>
    </row>
    <row r="170">
      <c r="B170" s="440"/>
      <c r="C170" s="441"/>
    </row>
    <row r="171">
      <c r="B171" s="440"/>
      <c r="C171" s="441"/>
    </row>
    <row r="172">
      <c r="B172" s="440"/>
      <c r="C172" s="441"/>
    </row>
    <row r="173">
      <c r="B173" s="440"/>
      <c r="C173" s="441"/>
    </row>
    <row r="174">
      <c r="B174" s="440"/>
      <c r="C174" s="441"/>
    </row>
    <row r="175">
      <c r="B175" s="440"/>
      <c r="C175" s="441"/>
    </row>
    <row r="176">
      <c r="B176" s="440"/>
      <c r="C176" s="441"/>
    </row>
    <row r="177">
      <c r="B177" s="440"/>
      <c r="C177" s="441"/>
    </row>
    <row r="178">
      <c r="B178" s="440"/>
      <c r="C178" s="441"/>
    </row>
    <row r="179">
      <c r="B179" s="440"/>
      <c r="C179" s="441"/>
    </row>
    <row r="180">
      <c r="B180" s="440"/>
      <c r="C180" s="441"/>
    </row>
    <row r="181">
      <c r="B181" s="440"/>
      <c r="C181" s="441"/>
    </row>
    <row r="182">
      <c r="B182" s="440"/>
      <c r="C182" s="441"/>
    </row>
    <row r="183">
      <c r="B183" s="440"/>
      <c r="C183" s="441"/>
    </row>
    <row r="184">
      <c r="B184" s="440"/>
      <c r="C184" s="441"/>
    </row>
    <row r="185">
      <c r="B185" s="440"/>
      <c r="C185" s="441"/>
    </row>
    <row r="186">
      <c r="B186" s="440"/>
      <c r="C186" s="441"/>
    </row>
    <row r="187">
      <c r="B187" s="440"/>
      <c r="C187" s="441"/>
    </row>
    <row r="188">
      <c r="B188" s="440"/>
      <c r="C188" s="441"/>
    </row>
    <row r="189">
      <c r="B189" s="440"/>
      <c r="C189" s="441"/>
    </row>
    <row r="190">
      <c r="B190" s="440"/>
      <c r="C190" s="441"/>
    </row>
    <row r="191">
      <c r="B191" s="440"/>
      <c r="C191" s="441"/>
    </row>
    <row r="192">
      <c r="B192" s="440"/>
      <c r="C192" s="441"/>
    </row>
    <row r="193">
      <c r="B193" s="440"/>
      <c r="C193" s="441"/>
    </row>
    <row r="194">
      <c r="B194" s="440"/>
      <c r="C194" s="441"/>
    </row>
    <row r="195">
      <c r="B195" s="440"/>
      <c r="C195" s="441"/>
    </row>
    <row r="196">
      <c r="B196" s="440"/>
      <c r="C196" s="441"/>
    </row>
    <row r="197">
      <c r="B197" s="440"/>
      <c r="C197" s="441"/>
    </row>
    <row r="198">
      <c r="B198" s="440"/>
      <c r="C198" s="441"/>
    </row>
    <row r="199">
      <c r="B199" s="440"/>
      <c r="C199" s="441"/>
    </row>
    <row r="200">
      <c r="B200" s="440"/>
      <c r="C200" s="441"/>
    </row>
    <row r="201">
      <c r="B201" s="440"/>
      <c r="C201" s="441"/>
    </row>
    <row r="202">
      <c r="B202" s="440"/>
      <c r="C202" s="441"/>
    </row>
    <row r="203">
      <c r="B203" s="440"/>
      <c r="C203" s="441"/>
    </row>
    <row r="204">
      <c r="B204" s="440"/>
      <c r="C204" s="441"/>
    </row>
    <row r="205">
      <c r="B205" s="440"/>
      <c r="C205" s="441"/>
    </row>
    <row r="206">
      <c r="B206" s="440"/>
      <c r="C206" s="441"/>
    </row>
    <row r="207">
      <c r="B207" s="440"/>
      <c r="C207" s="441"/>
    </row>
    <row r="208">
      <c r="B208" s="440"/>
      <c r="C208" s="441"/>
    </row>
    <row r="209">
      <c r="B209" s="440"/>
      <c r="C209" s="441"/>
    </row>
    <row r="210">
      <c r="B210" s="440"/>
      <c r="C210" s="441"/>
    </row>
    <row r="211">
      <c r="B211" s="440"/>
      <c r="C211" s="441"/>
    </row>
    <row r="212">
      <c r="B212" s="440"/>
      <c r="C212" s="441"/>
    </row>
    <row r="213">
      <c r="B213" s="440"/>
      <c r="C213" s="441"/>
    </row>
    <row r="214">
      <c r="B214" s="440"/>
      <c r="C214" s="441"/>
    </row>
    <row r="215">
      <c r="B215" s="440"/>
      <c r="C215" s="441"/>
    </row>
    <row r="216">
      <c r="B216" s="440"/>
      <c r="C216" s="441"/>
    </row>
    <row r="217">
      <c r="B217" s="440"/>
      <c r="C217" s="441"/>
    </row>
    <row r="218">
      <c r="B218" s="440"/>
      <c r="C218" s="441"/>
    </row>
    <row r="219">
      <c r="B219" s="440"/>
      <c r="C219" s="441"/>
    </row>
    <row r="220">
      <c r="B220" s="440"/>
      <c r="C220" s="441"/>
    </row>
    <row r="221">
      <c r="B221" s="440"/>
      <c r="C221" s="441"/>
    </row>
    <row r="222">
      <c r="B222" s="440"/>
      <c r="C222" s="441"/>
    </row>
    <row r="223">
      <c r="B223" s="440"/>
      <c r="C223" s="441"/>
    </row>
    <row r="224">
      <c r="B224" s="440"/>
      <c r="C224" s="441"/>
    </row>
    <row r="225">
      <c r="B225" s="440"/>
      <c r="C225" s="441"/>
    </row>
    <row r="226">
      <c r="B226" s="440"/>
      <c r="C226" s="441"/>
    </row>
    <row r="227">
      <c r="B227" s="440"/>
      <c r="C227" s="441"/>
    </row>
    <row r="228">
      <c r="B228" s="440"/>
      <c r="C228" s="441"/>
    </row>
    <row r="229">
      <c r="B229" s="440"/>
      <c r="C229" s="441"/>
    </row>
    <row r="230">
      <c r="B230" s="440"/>
      <c r="C230" s="441"/>
    </row>
    <row r="231">
      <c r="B231" s="440"/>
      <c r="C231" s="441"/>
    </row>
    <row r="232">
      <c r="B232" s="440"/>
      <c r="C232" s="441"/>
    </row>
    <row r="233">
      <c r="B233" s="440"/>
      <c r="C233" s="441"/>
    </row>
    <row r="234">
      <c r="B234" s="440"/>
      <c r="C234" s="441"/>
    </row>
    <row r="235">
      <c r="B235" s="440"/>
      <c r="C235" s="441"/>
    </row>
    <row r="236">
      <c r="B236" s="440"/>
      <c r="C236" s="441"/>
    </row>
    <row r="237">
      <c r="B237" s="440"/>
      <c r="C237" s="441"/>
    </row>
    <row r="238">
      <c r="B238" s="440"/>
      <c r="C238" s="441"/>
    </row>
    <row r="239">
      <c r="B239" s="440"/>
      <c r="C239" s="441"/>
    </row>
    <row r="240">
      <c r="B240" s="440"/>
      <c r="C240" s="441"/>
    </row>
    <row r="241">
      <c r="B241" s="440"/>
      <c r="C241" s="441"/>
    </row>
    <row r="242">
      <c r="B242" s="440"/>
      <c r="C242" s="441"/>
    </row>
    <row r="243">
      <c r="B243" s="440"/>
      <c r="C243" s="441"/>
    </row>
    <row r="244">
      <c r="B244" s="440"/>
      <c r="C244" s="441"/>
    </row>
    <row r="245">
      <c r="B245" s="440"/>
      <c r="C245" s="441"/>
    </row>
    <row r="246">
      <c r="B246" s="440"/>
      <c r="C246" s="441"/>
    </row>
    <row r="247">
      <c r="B247" s="440"/>
      <c r="C247" s="441"/>
    </row>
    <row r="248">
      <c r="B248" s="440"/>
      <c r="C248" s="441"/>
    </row>
    <row r="249">
      <c r="B249" s="440"/>
      <c r="C249" s="441"/>
    </row>
    <row r="250">
      <c r="B250" s="440"/>
      <c r="C250" s="441"/>
    </row>
    <row r="251">
      <c r="B251" s="440"/>
      <c r="C251" s="441"/>
    </row>
    <row r="252">
      <c r="B252" s="440"/>
      <c r="C252" s="441"/>
    </row>
    <row r="253">
      <c r="B253" s="440"/>
      <c r="C253" s="441"/>
    </row>
    <row r="254">
      <c r="B254" s="440"/>
      <c r="C254" s="441"/>
    </row>
    <row r="255">
      <c r="B255" s="440"/>
      <c r="C255" s="441"/>
    </row>
    <row r="256">
      <c r="B256" s="440"/>
      <c r="C256" s="441"/>
    </row>
    <row r="257">
      <c r="B257" s="440"/>
      <c r="C257" s="441"/>
    </row>
    <row r="258">
      <c r="B258" s="440"/>
      <c r="C258" s="441"/>
    </row>
    <row r="259">
      <c r="B259" s="440"/>
      <c r="C259" s="441"/>
    </row>
    <row r="260">
      <c r="B260" s="440"/>
      <c r="C260" s="441"/>
    </row>
    <row r="261">
      <c r="B261" s="440"/>
      <c r="C261" s="441"/>
    </row>
    <row r="262">
      <c r="B262" s="440"/>
      <c r="C262" s="441"/>
    </row>
    <row r="263">
      <c r="B263" s="440"/>
      <c r="C263" s="441"/>
    </row>
    <row r="264">
      <c r="B264" s="440"/>
      <c r="C264" s="441"/>
    </row>
    <row r="265">
      <c r="B265" s="440"/>
      <c r="C265" s="441"/>
    </row>
    <row r="266">
      <c r="B266" s="440"/>
      <c r="C266" s="441"/>
    </row>
    <row r="267">
      <c r="B267" s="440"/>
      <c r="C267" s="441"/>
    </row>
    <row r="268">
      <c r="B268" s="440"/>
      <c r="C268" s="441"/>
    </row>
    <row r="269">
      <c r="B269" s="440"/>
      <c r="C269" s="441"/>
    </row>
    <row r="270">
      <c r="B270" s="440"/>
      <c r="C270" s="441"/>
    </row>
    <row r="271">
      <c r="B271" s="440"/>
      <c r="C271" s="441"/>
    </row>
    <row r="272">
      <c r="B272" s="440"/>
      <c r="C272" s="441"/>
    </row>
    <row r="273">
      <c r="B273" s="440"/>
      <c r="C273" s="441"/>
    </row>
    <row r="274">
      <c r="B274" s="440"/>
      <c r="C274" s="441"/>
    </row>
    <row r="275">
      <c r="B275" s="440"/>
      <c r="C275" s="441"/>
    </row>
    <row r="276">
      <c r="B276" s="440"/>
      <c r="C276" s="441"/>
    </row>
    <row r="277">
      <c r="B277" s="440"/>
      <c r="C277" s="441"/>
    </row>
    <row r="278">
      <c r="B278" s="440"/>
      <c r="C278" s="441"/>
    </row>
    <row r="279">
      <c r="B279" s="440"/>
      <c r="C279" s="441"/>
    </row>
    <row r="280">
      <c r="B280" s="440"/>
      <c r="C280" s="441"/>
    </row>
    <row r="281">
      <c r="B281" s="440"/>
      <c r="C281" s="441"/>
    </row>
    <row r="282">
      <c r="B282" s="440"/>
      <c r="C282" s="441"/>
    </row>
    <row r="283">
      <c r="B283" s="440"/>
      <c r="C283" s="441"/>
    </row>
    <row r="284">
      <c r="B284" s="440"/>
      <c r="C284" s="441"/>
    </row>
    <row r="285">
      <c r="B285" s="440"/>
      <c r="C285" s="441"/>
    </row>
    <row r="286">
      <c r="B286" s="440"/>
      <c r="C286" s="441"/>
    </row>
    <row r="287">
      <c r="B287" s="440"/>
      <c r="C287" s="441"/>
    </row>
    <row r="288">
      <c r="B288" s="440"/>
      <c r="C288" s="441"/>
    </row>
    <row r="289">
      <c r="B289" s="440"/>
      <c r="C289" s="441"/>
    </row>
    <row r="290">
      <c r="B290" s="440"/>
      <c r="C290" s="441"/>
    </row>
    <row r="291">
      <c r="B291" s="440"/>
      <c r="C291" s="441"/>
    </row>
    <row r="292">
      <c r="B292" s="440"/>
      <c r="C292" s="441"/>
    </row>
    <row r="293">
      <c r="B293" s="440"/>
      <c r="C293" s="441"/>
    </row>
    <row r="294">
      <c r="B294" s="440"/>
      <c r="C294" s="441"/>
    </row>
    <row r="295">
      <c r="B295" s="440"/>
      <c r="C295" s="441"/>
    </row>
    <row r="296">
      <c r="B296" s="440"/>
      <c r="C296" s="441"/>
    </row>
    <row r="297">
      <c r="B297" s="440"/>
      <c r="C297" s="441"/>
    </row>
    <row r="298">
      <c r="B298" s="440"/>
      <c r="C298" s="441"/>
    </row>
    <row r="299">
      <c r="B299" s="440"/>
      <c r="C299" s="441"/>
    </row>
    <row r="300">
      <c r="B300" s="440"/>
      <c r="C300" s="441"/>
    </row>
    <row r="301">
      <c r="B301" s="440"/>
      <c r="C301" s="441"/>
    </row>
    <row r="302">
      <c r="B302" s="440"/>
      <c r="C302" s="441"/>
    </row>
    <row r="303">
      <c r="B303" s="440"/>
      <c r="C303" s="441"/>
    </row>
    <row r="304">
      <c r="B304" s="440"/>
      <c r="C304" s="441"/>
    </row>
    <row r="305">
      <c r="B305" s="440"/>
      <c r="C305" s="441"/>
    </row>
    <row r="306">
      <c r="B306" s="440"/>
      <c r="C306" s="441"/>
    </row>
    <row r="307">
      <c r="B307" s="440"/>
      <c r="C307" s="441"/>
    </row>
    <row r="308">
      <c r="B308" s="440"/>
      <c r="C308" s="441"/>
    </row>
    <row r="309">
      <c r="B309" s="440"/>
      <c r="C309" s="441"/>
    </row>
    <row r="310">
      <c r="B310" s="440"/>
      <c r="C310" s="441"/>
    </row>
    <row r="311">
      <c r="B311" s="440"/>
      <c r="C311" s="441"/>
    </row>
    <row r="312">
      <c r="B312" s="440"/>
      <c r="C312" s="441"/>
    </row>
    <row r="313">
      <c r="B313" s="440"/>
      <c r="C313" s="441"/>
    </row>
    <row r="314">
      <c r="B314" s="440"/>
      <c r="C314" s="441"/>
    </row>
    <row r="315">
      <c r="B315" s="440"/>
      <c r="C315" s="441"/>
    </row>
    <row r="316">
      <c r="B316" s="440"/>
      <c r="C316" s="441"/>
    </row>
    <row r="317">
      <c r="B317" s="440"/>
      <c r="C317" s="441"/>
    </row>
    <row r="318">
      <c r="B318" s="440"/>
      <c r="C318" s="441"/>
    </row>
    <row r="319">
      <c r="B319" s="440"/>
      <c r="C319" s="441"/>
    </row>
    <row r="320">
      <c r="B320" s="440"/>
      <c r="C320" s="441"/>
    </row>
    <row r="321">
      <c r="B321" s="440"/>
      <c r="C321" s="441"/>
    </row>
    <row r="322">
      <c r="B322" s="440"/>
      <c r="C322" s="441"/>
    </row>
    <row r="323">
      <c r="B323" s="440"/>
      <c r="C323" s="441"/>
    </row>
    <row r="324">
      <c r="B324" s="440"/>
      <c r="C324" s="441"/>
    </row>
    <row r="325">
      <c r="B325" s="440"/>
      <c r="C325" s="441"/>
    </row>
    <row r="326">
      <c r="B326" s="440"/>
      <c r="C326" s="441"/>
    </row>
    <row r="327">
      <c r="B327" s="440"/>
      <c r="C327" s="441"/>
    </row>
    <row r="328">
      <c r="B328" s="440"/>
      <c r="C328" s="441"/>
    </row>
    <row r="329">
      <c r="B329" s="440"/>
      <c r="C329" s="441"/>
    </row>
    <row r="330">
      <c r="B330" s="440"/>
      <c r="C330" s="441"/>
    </row>
    <row r="331">
      <c r="B331" s="440"/>
      <c r="C331" s="441"/>
    </row>
    <row r="332">
      <c r="B332" s="440"/>
      <c r="C332" s="441"/>
    </row>
    <row r="333">
      <c r="B333" s="440"/>
      <c r="C333" s="441"/>
    </row>
    <row r="334">
      <c r="B334" s="440"/>
      <c r="C334" s="441"/>
    </row>
    <row r="335">
      <c r="B335" s="440"/>
      <c r="C335" s="441"/>
    </row>
    <row r="336">
      <c r="B336" s="440"/>
      <c r="C336" s="441"/>
    </row>
    <row r="337">
      <c r="B337" s="440"/>
      <c r="C337" s="441"/>
    </row>
    <row r="338">
      <c r="B338" s="440"/>
      <c r="C338" s="441"/>
    </row>
    <row r="339">
      <c r="B339" s="440"/>
      <c r="C339" s="441"/>
    </row>
    <row r="340">
      <c r="B340" s="440"/>
      <c r="C340" s="441"/>
    </row>
    <row r="341">
      <c r="B341" s="440"/>
      <c r="C341" s="441"/>
    </row>
    <row r="342">
      <c r="B342" s="440"/>
      <c r="C342" s="441"/>
    </row>
    <row r="343">
      <c r="B343" s="440"/>
      <c r="C343" s="441"/>
    </row>
    <row r="344">
      <c r="B344" s="440"/>
      <c r="C344" s="441"/>
    </row>
    <row r="345">
      <c r="B345" s="440"/>
      <c r="C345" s="441"/>
    </row>
    <row r="346">
      <c r="B346" s="440"/>
      <c r="C346" s="441"/>
    </row>
    <row r="347">
      <c r="B347" s="440"/>
      <c r="C347" s="441"/>
    </row>
    <row r="348">
      <c r="B348" s="440"/>
      <c r="C348" s="441"/>
    </row>
    <row r="349">
      <c r="B349" s="440"/>
      <c r="C349" s="441"/>
    </row>
    <row r="350">
      <c r="B350" s="440"/>
      <c r="C350" s="441"/>
    </row>
    <row r="351">
      <c r="B351" s="440"/>
      <c r="C351" s="441"/>
    </row>
    <row r="352">
      <c r="B352" s="440"/>
      <c r="C352" s="441"/>
    </row>
    <row r="353">
      <c r="B353" s="440"/>
      <c r="C353" s="441"/>
    </row>
    <row r="354">
      <c r="B354" s="440"/>
      <c r="C354" s="441"/>
    </row>
    <row r="355">
      <c r="B355" s="440"/>
      <c r="C355" s="441"/>
    </row>
    <row r="356">
      <c r="B356" s="440"/>
      <c r="C356" s="441"/>
    </row>
    <row r="357">
      <c r="B357" s="440"/>
      <c r="C357" s="441"/>
    </row>
    <row r="358">
      <c r="B358" s="440"/>
      <c r="C358" s="441"/>
    </row>
    <row r="359">
      <c r="B359" s="440"/>
      <c r="C359" s="441"/>
    </row>
    <row r="360">
      <c r="B360" s="440"/>
      <c r="C360" s="441"/>
    </row>
    <row r="361">
      <c r="B361" s="440"/>
      <c r="C361" s="441"/>
    </row>
    <row r="362">
      <c r="B362" s="440"/>
      <c r="C362" s="441"/>
    </row>
    <row r="363">
      <c r="B363" s="440"/>
      <c r="C363" s="441"/>
    </row>
    <row r="364">
      <c r="B364" s="440"/>
      <c r="C364" s="441"/>
    </row>
    <row r="365">
      <c r="B365" s="440"/>
      <c r="C365" s="441"/>
    </row>
    <row r="366">
      <c r="B366" s="440"/>
      <c r="C366" s="441"/>
    </row>
    <row r="367">
      <c r="B367" s="440"/>
      <c r="C367" s="441"/>
    </row>
    <row r="368">
      <c r="B368" s="440"/>
      <c r="C368" s="441"/>
    </row>
    <row r="369">
      <c r="B369" s="440"/>
      <c r="C369" s="441"/>
    </row>
    <row r="370">
      <c r="B370" s="440"/>
      <c r="C370" s="441"/>
    </row>
    <row r="371">
      <c r="B371" s="440"/>
      <c r="C371" s="441"/>
    </row>
    <row r="372">
      <c r="B372" s="440"/>
      <c r="C372" s="441"/>
    </row>
    <row r="373">
      <c r="B373" s="440"/>
      <c r="C373" s="441"/>
    </row>
    <row r="374">
      <c r="B374" s="440"/>
      <c r="C374" s="441"/>
    </row>
    <row r="375">
      <c r="B375" s="440"/>
      <c r="C375" s="441"/>
    </row>
    <row r="376">
      <c r="B376" s="440"/>
      <c r="C376" s="441"/>
    </row>
    <row r="377">
      <c r="B377" s="440"/>
      <c r="C377" s="441"/>
    </row>
    <row r="378">
      <c r="B378" s="440"/>
      <c r="C378" s="441"/>
    </row>
    <row r="379">
      <c r="B379" s="440"/>
      <c r="C379" s="441"/>
    </row>
    <row r="380">
      <c r="B380" s="440"/>
      <c r="C380" s="441"/>
    </row>
    <row r="381">
      <c r="B381" s="440"/>
      <c r="C381" s="441"/>
    </row>
    <row r="382">
      <c r="B382" s="440"/>
      <c r="C382" s="441"/>
    </row>
    <row r="383">
      <c r="B383" s="440"/>
      <c r="C383" s="441"/>
    </row>
    <row r="384">
      <c r="B384" s="440"/>
      <c r="C384" s="441"/>
    </row>
    <row r="385">
      <c r="B385" s="440"/>
      <c r="C385" s="441"/>
    </row>
    <row r="386">
      <c r="B386" s="440"/>
      <c r="C386" s="441"/>
    </row>
    <row r="387">
      <c r="B387" s="440"/>
      <c r="C387" s="441"/>
    </row>
    <row r="388">
      <c r="B388" s="440"/>
      <c r="C388" s="441"/>
    </row>
    <row r="389">
      <c r="B389" s="440"/>
      <c r="C389" s="441"/>
    </row>
    <row r="390">
      <c r="B390" s="440"/>
      <c r="C390" s="441"/>
    </row>
    <row r="391">
      <c r="B391" s="440"/>
      <c r="C391" s="441"/>
    </row>
    <row r="392">
      <c r="B392" s="440"/>
      <c r="C392" s="441"/>
    </row>
    <row r="393">
      <c r="B393" s="440"/>
      <c r="C393" s="441"/>
    </row>
    <row r="394">
      <c r="B394" s="440"/>
      <c r="C394" s="441"/>
    </row>
    <row r="395">
      <c r="B395" s="440"/>
      <c r="C395" s="441"/>
    </row>
    <row r="396">
      <c r="B396" s="440"/>
      <c r="C396" s="441"/>
    </row>
    <row r="397">
      <c r="B397" s="440"/>
      <c r="C397" s="441"/>
    </row>
    <row r="398">
      <c r="B398" s="440"/>
      <c r="C398" s="441"/>
    </row>
    <row r="399">
      <c r="B399" s="440"/>
      <c r="C399" s="441"/>
    </row>
    <row r="400">
      <c r="B400" s="440"/>
      <c r="C400" s="441"/>
    </row>
    <row r="401">
      <c r="B401" s="440"/>
      <c r="C401" s="441"/>
    </row>
    <row r="402">
      <c r="B402" s="440"/>
      <c r="C402" s="441"/>
    </row>
    <row r="403">
      <c r="B403" s="440"/>
      <c r="C403" s="441"/>
    </row>
    <row r="404">
      <c r="B404" s="440"/>
      <c r="C404" s="441"/>
    </row>
    <row r="405">
      <c r="B405" s="440"/>
      <c r="C405" s="441"/>
    </row>
    <row r="406">
      <c r="B406" s="440"/>
      <c r="C406" s="441"/>
    </row>
    <row r="407">
      <c r="B407" s="440"/>
      <c r="C407" s="441"/>
    </row>
    <row r="408">
      <c r="B408" s="440"/>
      <c r="C408" s="441"/>
    </row>
    <row r="409">
      <c r="B409" s="440"/>
      <c r="C409" s="441"/>
    </row>
    <row r="410">
      <c r="B410" s="440"/>
      <c r="C410" s="441"/>
    </row>
    <row r="411">
      <c r="B411" s="440"/>
      <c r="C411" s="441"/>
    </row>
    <row r="412">
      <c r="B412" s="440"/>
      <c r="C412" s="441"/>
    </row>
    <row r="413">
      <c r="B413" s="440"/>
      <c r="C413" s="441"/>
    </row>
    <row r="414">
      <c r="B414" s="440"/>
      <c r="C414" s="441"/>
    </row>
    <row r="415">
      <c r="B415" s="440"/>
      <c r="C415" s="441"/>
    </row>
    <row r="416">
      <c r="B416" s="440"/>
      <c r="C416" s="441"/>
    </row>
    <row r="417">
      <c r="B417" s="440"/>
      <c r="C417" s="441"/>
    </row>
    <row r="418">
      <c r="B418" s="440"/>
      <c r="C418" s="441"/>
    </row>
    <row r="419">
      <c r="B419" s="440"/>
      <c r="C419" s="441"/>
    </row>
    <row r="420">
      <c r="B420" s="440"/>
      <c r="C420" s="441"/>
    </row>
    <row r="421">
      <c r="B421" s="440"/>
      <c r="C421" s="441"/>
    </row>
    <row r="422">
      <c r="B422" s="440"/>
      <c r="C422" s="441"/>
    </row>
    <row r="423">
      <c r="B423" s="440"/>
      <c r="C423" s="441"/>
    </row>
    <row r="424">
      <c r="B424" s="440"/>
      <c r="C424" s="441"/>
    </row>
    <row r="425">
      <c r="B425" s="440"/>
      <c r="C425" s="441"/>
    </row>
    <row r="426">
      <c r="B426" s="440"/>
      <c r="C426" s="441"/>
    </row>
    <row r="427">
      <c r="B427" s="440"/>
      <c r="C427" s="441"/>
    </row>
    <row r="428">
      <c r="B428" s="440"/>
      <c r="C428" s="441"/>
    </row>
    <row r="429">
      <c r="B429" s="440"/>
      <c r="C429" s="441"/>
    </row>
    <row r="430">
      <c r="B430" s="440"/>
      <c r="C430" s="441"/>
    </row>
    <row r="431">
      <c r="B431" s="440"/>
      <c r="C431" s="441"/>
    </row>
    <row r="432">
      <c r="B432" s="440"/>
      <c r="C432" s="441"/>
    </row>
    <row r="433">
      <c r="B433" s="440"/>
      <c r="C433" s="441"/>
    </row>
    <row r="434">
      <c r="B434" s="440"/>
      <c r="C434" s="441"/>
    </row>
    <row r="435">
      <c r="B435" s="440"/>
      <c r="C435" s="441"/>
    </row>
    <row r="436">
      <c r="B436" s="440"/>
      <c r="C436" s="441"/>
    </row>
    <row r="437">
      <c r="B437" s="440"/>
      <c r="C437" s="441"/>
    </row>
    <row r="438">
      <c r="B438" s="440"/>
      <c r="C438" s="441"/>
    </row>
    <row r="439">
      <c r="B439" s="440"/>
      <c r="C439" s="441"/>
    </row>
    <row r="440">
      <c r="B440" s="440"/>
      <c r="C440" s="441"/>
    </row>
    <row r="441">
      <c r="B441" s="440"/>
      <c r="C441" s="441"/>
    </row>
    <row r="442">
      <c r="B442" s="440"/>
      <c r="C442" s="441"/>
    </row>
    <row r="443">
      <c r="B443" s="440"/>
      <c r="C443" s="441"/>
    </row>
    <row r="444">
      <c r="B444" s="440"/>
      <c r="C444" s="441"/>
    </row>
    <row r="445">
      <c r="B445" s="440"/>
      <c r="C445" s="441"/>
    </row>
    <row r="446">
      <c r="B446" s="440"/>
      <c r="C446" s="441"/>
    </row>
    <row r="447">
      <c r="B447" s="440"/>
      <c r="C447" s="441"/>
    </row>
    <row r="448">
      <c r="B448" s="440"/>
      <c r="C448" s="441"/>
    </row>
    <row r="449">
      <c r="B449" s="440"/>
      <c r="C449" s="441"/>
    </row>
    <row r="450">
      <c r="B450" s="440"/>
      <c r="C450" s="441"/>
    </row>
    <row r="451">
      <c r="B451" s="440"/>
      <c r="C451" s="441"/>
    </row>
    <row r="452">
      <c r="B452" s="440"/>
      <c r="C452" s="441"/>
    </row>
    <row r="453">
      <c r="B453" s="440"/>
      <c r="C453" s="441"/>
    </row>
    <row r="454">
      <c r="B454" s="440"/>
      <c r="C454" s="441"/>
    </row>
    <row r="455">
      <c r="B455" s="440"/>
      <c r="C455" s="441"/>
    </row>
    <row r="456">
      <c r="B456" s="440"/>
      <c r="C456" s="441"/>
    </row>
    <row r="457">
      <c r="B457" s="440"/>
      <c r="C457" s="441"/>
    </row>
    <row r="458">
      <c r="B458" s="440"/>
      <c r="C458" s="441"/>
    </row>
    <row r="459">
      <c r="B459" s="440"/>
      <c r="C459" s="441"/>
    </row>
    <row r="460">
      <c r="B460" s="440"/>
      <c r="C460" s="441"/>
    </row>
    <row r="461">
      <c r="B461" s="440"/>
      <c r="C461" s="441"/>
    </row>
    <row r="462">
      <c r="B462" s="440"/>
      <c r="C462" s="441"/>
    </row>
    <row r="463">
      <c r="B463" s="440"/>
      <c r="C463" s="441"/>
    </row>
    <row r="464">
      <c r="B464" s="440"/>
      <c r="C464" s="441"/>
    </row>
    <row r="465">
      <c r="B465" s="440"/>
      <c r="C465" s="441"/>
    </row>
    <row r="466">
      <c r="B466" s="440"/>
      <c r="C466" s="441"/>
    </row>
    <row r="467">
      <c r="B467" s="440"/>
      <c r="C467" s="441"/>
    </row>
    <row r="468">
      <c r="B468" s="440"/>
      <c r="C468" s="441"/>
    </row>
    <row r="469">
      <c r="B469" s="440"/>
      <c r="C469" s="441"/>
    </row>
    <row r="470">
      <c r="B470" s="440"/>
      <c r="C470" s="441"/>
    </row>
    <row r="471">
      <c r="B471" s="440"/>
      <c r="C471" s="441"/>
    </row>
    <row r="472">
      <c r="B472" s="440"/>
      <c r="C472" s="441"/>
    </row>
    <row r="473">
      <c r="B473" s="440"/>
      <c r="C473" s="441"/>
    </row>
    <row r="474">
      <c r="B474" s="440"/>
      <c r="C474" s="441"/>
    </row>
    <row r="475">
      <c r="B475" s="440"/>
      <c r="C475" s="441"/>
    </row>
    <row r="476">
      <c r="B476" s="440"/>
      <c r="C476" s="441"/>
    </row>
    <row r="477">
      <c r="B477" s="440"/>
      <c r="C477" s="441"/>
    </row>
    <row r="478">
      <c r="B478" s="440"/>
      <c r="C478" s="441"/>
    </row>
    <row r="479">
      <c r="B479" s="440"/>
      <c r="C479" s="441"/>
    </row>
    <row r="480">
      <c r="B480" s="440"/>
      <c r="C480" s="441"/>
    </row>
    <row r="481">
      <c r="B481" s="440"/>
      <c r="C481" s="441"/>
    </row>
    <row r="482">
      <c r="B482" s="440"/>
      <c r="C482" s="441"/>
    </row>
    <row r="483">
      <c r="B483" s="440"/>
      <c r="C483" s="441"/>
    </row>
    <row r="484">
      <c r="B484" s="440"/>
      <c r="C484" s="441"/>
    </row>
    <row r="485">
      <c r="B485" s="440"/>
      <c r="C485" s="441"/>
    </row>
    <row r="486">
      <c r="B486" s="440"/>
      <c r="C486" s="441"/>
    </row>
    <row r="487">
      <c r="B487" s="440"/>
      <c r="C487" s="441"/>
    </row>
    <row r="488">
      <c r="B488" s="440"/>
      <c r="C488" s="441"/>
    </row>
    <row r="489">
      <c r="B489" s="440"/>
      <c r="C489" s="441"/>
    </row>
    <row r="490">
      <c r="B490" s="440"/>
      <c r="C490" s="441"/>
    </row>
    <row r="491">
      <c r="B491" s="440"/>
      <c r="C491" s="441"/>
    </row>
    <row r="492">
      <c r="B492" s="440"/>
      <c r="C492" s="441"/>
    </row>
    <row r="493">
      <c r="B493" s="440"/>
      <c r="C493" s="441"/>
    </row>
    <row r="494">
      <c r="B494" s="440"/>
      <c r="C494" s="441"/>
    </row>
    <row r="495">
      <c r="B495" s="440"/>
      <c r="C495" s="441"/>
    </row>
    <row r="496">
      <c r="B496" s="440"/>
      <c r="C496" s="441"/>
    </row>
    <row r="497">
      <c r="B497" s="440"/>
      <c r="C497" s="441"/>
    </row>
    <row r="498">
      <c r="B498" s="440"/>
      <c r="C498" s="441"/>
    </row>
    <row r="499">
      <c r="B499" s="440"/>
      <c r="C499" s="441"/>
    </row>
    <row r="500">
      <c r="B500" s="440"/>
      <c r="C500" s="441"/>
    </row>
    <row r="501">
      <c r="B501" s="440"/>
      <c r="C501" s="441"/>
    </row>
    <row r="502">
      <c r="B502" s="440"/>
      <c r="C502" s="441"/>
    </row>
    <row r="503">
      <c r="B503" s="440"/>
      <c r="C503" s="441"/>
    </row>
    <row r="504">
      <c r="B504" s="440"/>
      <c r="C504" s="441"/>
    </row>
    <row r="505">
      <c r="B505" s="440"/>
      <c r="C505" s="441"/>
    </row>
    <row r="506">
      <c r="B506" s="440"/>
      <c r="C506" s="441"/>
    </row>
    <row r="507">
      <c r="B507" s="440"/>
      <c r="C507" s="441"/>
    </row>
    <row r="508">
      <c r="B508" s="440"/>
      <c r="C508" s="441"/>
    </row>
    <row r="509">
      <c r="B509" s="440"/>
      <c r="C509" s="441"/>
    </row>
    <row r="510">
      <c r="B510" s="440"/>
      <c r="C510" s="441"/>
    </row>
    <row r="511">
      <c r="B511" s="440"/>
      <c r="C511" s="441"/>
    </row>
    <row r="512">
      <c r="B512" s="440"/>
      <c r="C512" s="441"/>
    </row>
    <row r="513">
      <c r="B513" s="440"/>
      <c r="C513" s="441"/>
    </row>
    <row r="514">
      <c r="B514" s="440"/>
      <c r="C514" s="441"/>
    </row>
    <row r="515">
      <c r="B515" s="440"/>
      <c r="C515" s="441"/>
    </row>
    <row r="516">
      <c r="B516" s="440"/>
      <c r="C516" s="441"/>
    </row>
    <row r="517">
      <c r="B517" s="440"/>
      <c r="C517" s="441"/>
    </row>
    <row r="518">
      <c r="B518" s="440"/>
      <c r="C518" s="441"/>
    </row>
    <row r="519">
      <c r="B519" s="440"/>
      <c r="C519" s="441"/>
    </row>
    <row r="520">
      <c r="B520" s="440"/>
      <c r="C520" s="441"/>
    </row>
    <row r="521">
      <c r="B521" s="440"/>
      <c r="C521" s="441"/>
    </row>
    <row r="522">
      <c r="B522" s="440"/>
      <c r="C522" s="441"/>
    </row>
    <row r="523">
      <c r="B523" s="440"/>
      <c r="C523" s="441"/>
    </row>
    <row r="524">
      <c r="B524" s="440"/>
      <c r="C524" s="441"/>
    </row>
    <row r="525">
      <c r="B525" s="440"/>
      <c r="C525" s="441"/>
    </row>
    <row r="526">
      <c r="B526" s="440"/>
      <c r="C526" s="441"/>
    </row>
    <row r="527">
      <c r="B527" s="440"/>
      <c r="C527" s="441"/>
    </row>
    <row r="528">
      <c r="B528" s="440"/>
      <c r="C528" s="441"/>
    </row>
    <row r="529">
      <c r="B529" s="440"/>
      <c r="C529" s="441"/>
    </row>
    <row r="530">
      <c r="B530" s="440"/>
      <c r="C530" s="441"/>
    </row>
    <row r="531">
      <c r="B531" s="440"/>
      <c r="C531" s="441"/>
    </row>
    <row r="532">
      <c r="B532" s="440"/>
      <c r="C532" s="441"/>
    </row>
    <row r="533">
      <c r="B533" s="440"/>
      <c r="C533" s="441"/>
    </row>
    <row r="534">
      <c r="B534" s="440"/>
      <c r="C534" s="441"/>
    </row>
    <row r="535">
      <c r="B535" s="440"/>
      <c r="C535" s="441"/>
    </row>
    <row r="536">
      <c r="B536" s="440"/>
      <c r="C536" s="441"/>
    </row>
    <row r="537">
      <c r="B537" s="440"/>
      <c r="C537" s="441"/>
    </row>
    <row r="538">
      <c r="B538" s="440"/>
      <c r="C538" s="441"/>
    </row>
    <row r="539">
      <c r="B539" s="440"/>
      <c r="C539" s="441"/>
    </row>
    <row r="540">
      <c r="B540" s="440"/>
      <c r="C540" s="441"/>
    </row>
    <row r="541">
      <c r="B541" s="440"/>
      <c r="C541" s="441"/>
    </row>
    <row r="542">
      <c r="B542" s="440"/>
      <c r="C542" s="441"/>
    </row>
    <row r="543">
      <c r="B543" s="440"/>
      <c r="C543" s="441"/>
    </row>
    <row r="544">
      <c r="B544" s="440"/>
      <c r="C544" s="441"/>
    </row>
    <row r="545">
      <c r="B545" s="440"/>
      <c r="C545" s="441"/>
    </row>
    <row r="546">
      <c r="B546" s="440"/>
      <c r="C546" s="441"/>
    </row>
    <row r="547">
      <c r="B547" s="440"/>
      <c r="C547" s="441"/>
    </row>
    <row r="548">
      <c r="B548" s="440"/>
      <c r="C548" s="441"/>
    </row>
    <row r="549">
      <c r="B549" s="440"/>
      <c r="C549" s="441"/>
    </row>
    <row r="550">
      <c r="B550" s="440"/>
      <c r="C550" s="441"/>
    </row>
    <row r="551">
      <c r="B551" s="440"/>
      <c r="C551" s="441"/>
    </row>
    <row r="552">
      <c r="B552" s="440"/>
      <c r="C552" s="441"/>
    </row>
    <row r="553">
      <c r="B553" s="440"/>
      <c r="C553" s="441"/>
    </row>
    <row r="554">
      <c r="B554" s="440"/>
      <c r="C554" s="441"/>
    </row>
    <row r="555">
      <c r="B555" s="440"/>
      <c r="C555" s="441"/>
    </row>
    <row r="556">
      <c r="B556" s="440"/>
      <c r="C556" s="441"/>
    </row>
    <row r="557">
      <c r="B557" s="440"/>
      <c r="C557" s="441"/>
    </row>
    <row r="558">
      <c r="B558" s="440"/>
      <c r="C558" s="441"/>
    </row>
    <row r="559">
      <c r="B559" s="440"/>
      <c r="C559" s="441"/>
    </row>
    <row r="560">
      <c r="B560" s="440"/>
      <c r="C560" s="441"/>
    </row>
    <row r="561">
      <c r="B561" s="440"/>
      <c r="C561" s="441"/>
    </row>
    <row r="562">
      <c r="B562" s="440"/>
      <c r="C562" s="441"/>
    </row>
    <row r="563">
      <c r="B563" s="440"/>
      <c r="C563" s="441"/>
    </row>
    <row r="564">
      <c r="B564" s="440"/>
      <c r="C564" s="441"/>
    </row>
    <row r="565">
      <c r="B565" s="440"/>
      <c r="C565" s="441"/>
    </row>
    <row r="566">
      <c r="B566" s="440"/>
      <c r="C566" s="441"/>
    </row>
    <row r="567">
      <c r="B567" s="440"/>
      <c r="C567" s="441"/>
    </row>
    <row r="568">
      <c r="B568" s="440"/>
      <c r="C568" s="441"/>
    </row>
    <row r="569">
      <c r="B569" s="440"/>
      <c r="C569" s="441"/>
    </row>
    <row r="570">
      <c r="B570" s="440"/>
      <c r="C570" s="441"/>
    </row>
    <row r="571">
      <c r="B571" s="440"/>
      <c r="C571" s="441"/>
    </row>
    <row r="572">
      <c r="B572" s="440"/>
      <c r="C572" s="441"/>
    </row>
    <row r="573">
      <c r="B573" s="440"/>
      <c r="C573" s="441"/>
    </row>
    <row r="574">
      <c r="B574" s="440"/>
      <c r="C574" s="441"/>
    </row>
    <row r="575">
      <c r="B575" s="440"/>
      <c r="C575" s="441"/>
    </row>
    <row r="576">
      <c r="B576" s="440"/>
      <c r="C576" s="441"/>
    </row>
    <row r="577">
      <c r="B577" s="440"/>
      <c r="C577" s="441"/>
    </row>
    <row r="578">
      <c r="B578" s="440"/>
      <c r="C578" s="441"/>
    </row>
    <row r="579">
      <c r="B579" s="440"/>
      <c r="C579" s="441"/>
    </row>
    <row r="580">
      <c r="B580" s="440"/>
      <c r="C580" s="441"/>
    </row>
    <row r="581">
      <c r="B581" s="440"/>
      <c r="C581" s="441"/>
    </row>
    <row r="582">
      <c r="B582" s="440"/>
      <c r="C582" s="441"/>
    </row>
    <row r="583">
      <c r="B583" s="440"/>
      <c r="C583" s="441"/>
    </row>
    <row r="584">
      <c r="B584" s="440"/>
      <c r="C584" s="441"/>
    </row>
    <row r="585">
      <c r="B585" s="440"/>
      <c r="C585" s="441"/>
    </row>
    <row r="586">
      <c r="B586" s="440"/>
      <c r="C586" s="441"/>
    </row>
    <row r="587">
      <c r="B587" s="440"/>
      <c r="C587" s="441"/>
    </row>
    <row r="588">
      <c r="B588" s="440"/>
      <c r="C588" s="441"/>
    </row>
    <row r="589">
      <c r="B589" s="440"/>
      <c r="C589" s="441"/>
    </row>
    <row r="590">
      <c r="B590" s="440"/>
      <c r="C590" s="441"/>
    </row>
    <row r="591">
      <c r="B591" s="440"/>
      <c r="C591" s="441"/>
    </row>
    <row r="592">
      <c r="B592" s="440"/>
      <c r="C592" s="441"/>
    </row>
    <row r="593">
      <c r="B593" s="440"/>
      <c r="C593" s="441"/>
    </row>
    <row r="594">
      <c r="B594" s="440"/>
      <c r="C594" s="441"/>
    </row>
    <row r="595">
      <c r="B595" s="440"/>
      <c r="C595" s="441"/>
    </row>
    <row r="596">
      <c r="B596" s="440"/>
      <c r="C596" s="441"/>
    </row>
    <row r="597">
      <c r="B597" s="440"/>
      <c r="C597" s="441"/>
    </row>
    <row r="598">
      <c r="B598" s="440"/>
      <c r="C598" s="441"/>
    </row>
    <row r="599">
      <c r="B599" s="440"/>
      <c r="C599" s="441"/>
    </row>
    <row r="600">
      <c r="B600" s="440"/>
      <c r="C600" s="441"/>
    </row>
    <row r="601">
      <c r="B601" s="440"/>
      <c r="C601" s="441"/>
    </row>
    <row r="602">
      <c r="B602" s="440"/>
      <c r="C602" s="441"/>
    </row>
    <row r="603">
      <c r="B603" s="440"/>
      <c r="C603" s="441"/>
    </row>
    <row r="604">
      <c r="B604" s="440"/>
      <c r="C604" s="441"/>
    </row>
    <row r="605">
      <c r="B605" s="440"/>
      <c r="C605" s="441"/>
    </row>
    <row r="606">
      <c r="B606" s="440"/>
      <c r="C606" s="441"/>
    </row>
    <row r="607">
      <c r="B607" s="440"/>
      <c r="C607" s="441"/>
    </row>
    <row r="608">
      <c r="B608" s="440"/>
      <c r="C608" s="441"/>
    </row>
    <row r="609">
      <c r="B609" s="440"/>
      <c r="C609" s="441"/>
    </row>
    <row r="610">
      <c r="B610" s="440"/>
      <c r="C610" s="441"/>
    </row>
    <row r="611">
      <c r="B611" s="440"/>
      <c r="C611" s="441"/>
    </row>
    <row r="612">
      <c r="B612" s="440"/>
      <c r="C612" s="441"/>
    </row>
    <row r="613">
      <c r="B613" s="440"/>
      <c r="C613" s="441"/>
    </row>
    <row r="614">
      <c r="B614" s="440"/>
      <c r="C614" s="441"/>
    </row>
    <row r="615">
      <c r="B615" s="440"/>
      <c r="C615" s="441"/>
    </row>
    <row r="616">
      <c r="B616" s="440"/>
      <c r="C616" s="441"/>
    </row>
    <row r="617">
      <c r="B617" s="440"/>
      <c r="C617" s="441"/>
    </row>
    <row r="618">
      <c r="B618" s="440"/>
      <c r="C618" s="441"/>
    </row>
    <row r="619">
      <c r="B619" s="440"/>
      <c r="C619" s="441"/>
    </row>
    <row r="620">
      <c r="B620" s="440"/>
      <c r="C620" s="441"/>
    </row>
    <row r="621">
      <c r="B621" s="440"/>
      <c r="C621" s="441"/>
    </row>
    <row r="622">
      <c r="B622" s="440"/>
      <c r="C622" s="441"/>
    </row>
    <row r="623">
      <c r="B623" s="440"/>
      <c r="C623" s="441"/>
    </row>
    <row r="624">
      <c r="B624" s="440"/>
      <c r="C624" s="441"/>
    </row>
    <row r="625">
      <c r="B625" s="440"/>
      <c r="C625" s="441"/>
    </row>
    <row r="626">
      <c r="B626" s="440"/>
      <c r="C626" s="441"/>
    </row>
    <row r="627">
      <c r="B627" s="440"/>
      <c r="C627" s="441"/>
    </row>
    <row r="628">
      <c r="B628" s="440"/>
      <c r="C628" s="441"/>
    </row>
    <row r="629">
      <c r="B629" s="440"/>
      <c r="C629" s="441"/>
    </row>
    <row r="630">
      <c r="B630" s="440"/>
      <c r="C630" s="441"/>
    </row>
    <row r="631">
      <c r="B631" s="440"/>
      <c r="C631" s="441"/>
    </row>
    <row r="632">
      <c r="B632" s="440"/>
      <c r="C632" s="441"/>
    </row>
    <row r="633">
      <c r="B633" s="440"/>
      <c r="C633" s="441"/>
    </row>
    <row r="634">
      <c r="B634" s="440"/>
      <c r="C634" s="441"/>
    </row>
    <row r="635">
      <c r="B635" s="440"/>
      <c r="C635" s="441"/>
    </row>
    <row r="636">
      <c r="B636" s="440"/>
      <c r="C636" s="441"/>
    </row>
    <row r="637">
      <c r="B637" s="440"/>
      <c r="C637" s="441"/>
    </row>
    <row r="638">
      <c r="B638" s="440"/>
      <c r="C638" s="441"/>
    </row>
    <row r="639">
      <c r="B639" s="440"/>
      <c r="C639" s="441"/>
    </row>
    <row r="640">
      <c r="B640" s="440"/>
      <c r="C640" s="441"/>
    </row>
    <row r="641">
      <c r="B641" s="440"/>
      <c r="C641" s="441"/>
    </row>
    <row r="642">
      <c r="B642" s="440"/>
      <c r="C642" s="441"/>
    </row>
    <row r="643">
      <c r="B643" s="440"/>
      <c r="C643" s="441"/>
    </row>
    <row r="644">
      <c r="B644" s="440"/>
      <c r="C644" s="441"/>
    </row>
    <row r="645">
      <c r="B645" s="440"/>
      <c r="C645" s="441"/>
    </row>
    <row r="646">
      <c r="B646" s="440"/>
      <c r="C646" s="441"/>
    </row>
    <row r="647">
      <c r="B647" s="440"/>
      <c r="C647" s="441"/>
    </row>
    <row r="648">
      <c r="B648" s="440"/>
      <c r="C648" s="441"/>
    </row>
    <row r="649">
      <c r="B649" s="440"/>
      <c r="C649" s="441"/>
    </row>
    <row r="650">
      <c r="B650" s="440"/>
      <c r="C650" s="441"/>
    </row>
    <row r="651">
      <c r="B651" s="440"/>
      <c r="C651" s="441"/>
    </row>
    <row r="652">
      <c r="B652" s="440"/>
      <c r="C652" s="441"/>
    </row>
    <row r="653">
      <c r="B653" s="440"/>
      <c r="C653" s="441"/>
    </row>
    <row r="654">
      <c r="B654" s="440"/>
      <c r="C654" s="441"/>
    </row>
    <row r="655">
      <c r="B655" s="440"/>
      <c r="C655" s="441"/>
    </row>
    <row r="656">
      <c r="B656" s="440"/>
      <c r="C656" s="441"/>
    </row>
    <row r="657">
      <c r="B657" s="440"/>
      <c r="C657" s="441"/>
    </row>
    <row r="658">
      <c r="B658" s="440"/>
      <c r="C658" s="441"/>
    </row>
    <row r="659">
      <c r="B659" s="440"/>
      <c r="C659" s="441"/>
    </row>
    <row r="660">
      <c r="B660" s="440"/>
      <c r="C660" s="441"/>
    </row>
    <row r="661">
      <c r="B661" s="440"/>
      <c r="C661" s="441"/>
    </row>
    <row r="662">
      <c r="B662" s="440"/>
      <c r="C662" s="441"/>
    </row>
    <row r="663">
      <c r="B663" s="440"/>
      <c r="C663" s="441"/>
    </row>
    <row r="664">
      <c r="B664" s="440"/>
      <c r="C664" s="441"/>
    </row>
    <row r="665">
      <c r="B665" s="440"/>
      <c r="C665" s="441"/>
    </row>
    <row r="666">
      <c r="B666" s="440"/>
      <c r="C666" s="441"/>
    </row>
    <row r="667">
      <c r="B667" s="440"/>
      <c r="C667" s="441"/>
    </row>
    <row r="668">
      <c r="B668" s="440"/>
      <c r="C668" s="441"/>
    </row>
    <row r="669">
      <c r="B669" s="440"/>
      <c r="C669" s="441"/>
    </row>
    <row r="670">
      <c r="B670" s="440"/>
      <c r="C670" s="441"/>
    </row>
    <row r="671">
      <c r="B671" s="440"/>
      <c r="C671" s="441"/>
    </row>
    <row r="672">
      <c r="B672" s="440"/>
      <c r="C672" s="441"/>
    </row>
    <row r="673">
      <c r="B673" s="440"/>
      <c r="C673" s="441"/>
    </row>
    <row r="674">
      <c r="B674" s="440"/>
      <c r="C674" s="441"/>
    </row>
    <row r="675">
      <c r="B675" s="440"/>
      <c r="C675" s="441"/>
    </row>
    <row r="676">
      <c r="B676" s="440"/>
      <c r="C676" s="441"/>
    </row>
    <row r="677">
      <c r="B677" s="440"/>
      <c r="C677" s="441"/>
    </row>
    <row r="678">
      <c r="B678" s="440"/>
      <c r="C678" s="441"/>
    </row>
    <row r="679">
      <c r="B679" s="440"/>
      <c r="C679" s="441"/>
    </row>
    <row r="680">
      <c r="B680" s="440"/>
      <c r="C680" s="441"/>
    </row>
    <row r="681">
      <c r="B681" s="440"/>
      <c r="C681" s="441"/>
    </row>
    <row r="682">
      <c r="B682" s="440"/>
      <c r="C682" s="441"/>
    </row>
    <row r="683">
      <c r="B683" s="440"/>
      <c r="C683" s="441"/>
    </row>
    <row r="684">
      <c r="B684" s="440"/>
      <c r="C684" s="441"/>
    </row>
    <row r="685">
      <c r="B685" s="440"/>
      <c r="C685" s="441"/>
    </row>
    <row r="686">
      <c r="B686" s="440"/>
      <c r="C686" s="441"/>
    </row>
    <row r="687">
      <c r="B687" s="440"/>
      <c r="C687" s="441"/>
    </row>
    <row r="688">
      <c r="B688" s="440"/>
      <c r="C688" s="441"/>
    </row>
    <row r="689">
      <c r="B689" s="440"/>
      <c r="C689" s="441"/>
    </row>
    <row r="690">
      <c r="B690" s="440"/>
      <c r="C690" s="441"/>
    </row>
    <row r="691">
      <c r="B691" s="440"/>
      <c r="C691" s="441"/>
    </row>
    <row r="692">
      <c r="B692" s="440"/>
      <c r="C692" s="441"/>
    </row>
    <row r="693">
      <c r="B693" s="440"/>
      <c r="C693" s="441"/>
    </row>
    <row r="694">
      <c r="B694" s="440"/>
      <c r="C694" s="441"/>
    </row>
    <row r="695">
      <c r="B695" s="440"/>
      <c r="C695" s="441"/>
    </row>
    <row r="696">
      <c r="B696" s="440"/>
      <c r="C696" s="441"/>
    </row>
    <row r="697">
      <c r="B697" s="440"/>
      <c r="C697" s="441"/>
    </row>
    <row r="698">
      <c r="B698" s="440"/>
      <c r="C698" s="441"/>
    </row>
    <row r="699">
      <c r="B699" s="440"/>
      <c r="C699" s="441"/>
    </row>
    <row r="700">
      <c r="B700" s="440"/>
      <c r="C700" s="441"/>
    </row>
    <row r="701">
      <c r="B701" s="440"/>
      <c r="C701" s="441"/>
    </row>
    <row r="702">
      <c r="B702" s="440"/>
      <c r="C702" s="441"/>
    </row>
    <row r="703">
      <c r="B703" s="440"/>
      <c r="C703" s="441"/>
    </row>
    <row r="704">
      <c r="B704" s="440"/>
      <c r="C704" s="441"/>
    </row>
    <row r="705">
      <c r="B705" s="440"/>
      <c r="C705" s="441"/>
    </row>
    <row r="706">
      <c r="B706" s="440"/>
      <c r="C706" s="441"/>
    </row>
    <row r="707">
      <c r="B707" s="440"/>
      <c r="C707" s="441"/>
    </row>
    <row r="708">
      <c r="B708" s="440"/>
      <c r="C708" s="441"/>
    </row>
    <row r="709">
      <c r="B709" s="440"/>
      <c r="C709" s="441"/>
    </row>
    <row r="710">
      <c r="B710" s="440"/>
      <c r="C710" s="441"/>
    </row>
    <row r="711">
      <c r="B711" s="440"/>
      <c r="C711" s="441"/>
    </row>
    <row r="712">
      <c r="B712" s="440"/>
      <c r="C712" s="441"/>
    </row>
    <row r="713">
      <c r="B713" s="440"/>
      <c r="C713" s="441"/>
    </row>
    <row r="714">
      <c r="B714" s="440"/>
      <c r="C714" s="441"/>
    </row>
    <row r="715">
      <c r="B715" s="440"/>
      <c r="C715" s="441"/>
    </row>
    <row r="716">
      <c r="B716" s="440"/>
      <c r="C716" s="441"/>
    </row>
    <row r="717">
      <c r="B717" s="440"/>
      <c r="C717" s="441"/>
    </row>
    <row r="718">
      <c r="B718" s="440"/>
      <c r="C718" s="441"/>
    </row>
    <row r="719">
      <c r="B719" s="440"/>
      <c r="C719" s="441"/>
    </row>
    <row r="720">
      <c r="B720" s="440"/>
      <c r="C720" s="441"/>
    </row>
    <row r="721">
      <c r="B721" s="440"/>
      <c r="C721" s="441"/>
    </row>
    <row r="722">
      <c r="B722" s="440"/>
      <c r="C722" s="441"/>
    </row>
    <row r="723">
      <c r="B723" s="440"/>
      <c r="C723" s="441"/>
    </row>
    <row r="724">
      <c r="B724" s="440"/>
      <c r="C724" s="441"/>
    </row>
    <row r="725">
      <c r="B725" s="440"/>
      <c r="C725" s="441"/>
    </row>
    <row r="726">
      <c r="B726" s="440"/>
      <c r="C726" s="441"/>
    </row>
    <row r="727">
      <c r="B727" s="440"/>
      <c r="C727" s="441"/>
    </row>
    <row r="728">
      <c r="B728" s="440"/>
      <c r="C728" s="441"/>
    </row>
    <row r="729">
      <c r="B729" s="440"/>
      <c r="C729" s="441"/>
    </row>
    <row r="730">
      <c r="B730" s="440"/>
      <c r="C730" s="441"/>
    </row>
    <row r="731">
      <c r="B731" s="440"/>
      <c r="C731" s="441"/>
    </row>
    <row r="732">
      <c r="B732" s="440"/>
      <c r="C732" s="441"/>
    </row>
    <row r="733">
      <c r="B733" s="440"/>
      <c r="C733" s="441"/>
    </row>
    <row r="734">
      <c r="B734" s="440"/>
      <c r="C734" s="441"/>
    </row>
    <row r="735">
      <c r="B735" s="440"/>
      <c r="C735" s="441"/>
    </row>
    <row r="736">
      <c r="B736" s="440"/>
      <c r="C736" s="441"/>
    </row>
    <row r="737">
      <c r="B737" s="440"/>
      <c r="C737" s="441"/>
    </row>
    <row r="738">
      <c r="B738" s="440"/>
      <c r="C738" s="441"/>
    </row>
    <row r="739">
      <c r="B739" s="440"/>
      <c r="C739" s="441"/>
    </row>
    <row r="740">
      <c r="B740" s="440"/>
      <c r="C740" s="441"/>
    </row>
    <row r="741">
      <c r="B741" s="440"/>
      <c r="C741" s="441"/>
    </row>
    <row r="742">
      <c r="B742" s="440"/>
      <c r="C742" s="441"/>
    </row>
    <row r="743">
      <c r="B743" s="440"/>
      <c r="C743" s="441"/>
    </row>
    <row r="744">
      <c r="B744" s="440"/>
      <c r="C744" s="441"/>
    </row>
    <row r="745">
      <c r="B745" s="440"/>
      <c r="C745" s="441"/>
    </row>
    <row r="746">
      <c r="B746" s="440"/>
      <c r="C746" s="441"/>
    </row>
    <row r="747">
      <c r="B747" s="440"/>
      <c r="C747" s="441"/>
    </row>
    <row r="748">
      <c r="B748" s="440"/>
      <c r="C748" s="441"/>
    </row>
    <row r="749">
      <c r="B749" s="440"/>
      <c r="C749" s="441"/>
    </row>
    <row r="750">
      <c r="B750" s="440"/>
      <c r="C750" s="441"/>
    </row>
    <row r="751">
      <c r="B751" s="440"/>
      <c r="C751" s="441"/>
    </row>
    <row r="752">
      <c r="B752" s="440"/>
      <c r="C752" s="441"/>
    </row>
    <row r="753">
      <c r="B753" s="440"/>
      <c r="C753" s="441"/>
    </row>
    <row r="754">
      <c r="B754" s="440"/>
      <c r="C754" s="441"/>
    </row>
    <row r="755">
      <c r="B755" s="440"/>
      <c r="C755" s="441"/>
    </row>
    <row r="756">
      <c r="B756" s="440"/>
      <c r="C756" s="441"/>
    </row>
    <row r="757">
      <c r="B757" s="440"/>
      <c r="C757" s="441"/>
    </row>
    <row r="758">
      <c r="B758" s="440"/>
      <c r="C758" s="441"/>
    </row>
    <row r="759">
      <c r="B759" s="440"/>
      <c r="C759" s="441"/>
    </row>
    <row r="760">
      <c r="B760" s="440"/>
      <c r="C760" s="441"/>
    </row>
    <row r="761">
      <c r="B761" s="440"/>
      <c r="C761" s="441"/>
    </row>
    <row r="762">
      <c r="B762" s="440"/>
      <c r="C762" s="441"/>
    </row>
    <row r="763">
      <c r="B763" s="440"/>
      <c r="C763" s="441"/>
    </row>
    <row r="764">
      <c r="B764" s="440"/>
      <c r="C764" s="441"/>
    </row>
    <row r="765">
      <c r="B765" s="440"/>
      <c r="C765" s="441"/>
    </row>
    <row r="766">
      <c r="B766" s="440"/>
      <c r="C766" s="441"/>
    </row>
    <row r="767">
      <c r="B767" s="440"/>
      <c r="C767" s="441"/>
    </row>
    <row r="768">
      <c r="B768" s="440"/>
      <c r="C768" s="441"/>
    </row>
    <row r="769">
      <c r="B769" s="440"/>
      <c r="C769" s="441"/>
    </row>
    <row r="770">
      <c r="B770" s="440"/>
      <c r="C770" s="441"/>
    </row>
    <row r="771">
      <c r="B771" s="440"/>
      <c r="C771" s="441"/>
    </row>
    <row r="772">
      <c r="B772" s="440"/>
      <c r="C772" s="441"/>
    </row>
    <row r="773">
      <c r="B773" s="440"/>
      <c r="C773" s="441"/>
    </row>
    <row r="774">
      <c r="B774" s="440"/>
      <c r="C774" s="441"/>
    </row>
    <row r="775">
      <c r="B775" s="440"/>
      <c r="C775" s="441"/>
    </row>
    <row r="776">
      <c r="B776" s="440"/>
      <c r="C776" s="441"/>
    </row>
    <row r="777">
      <c r="B777" s="440"/>
      <c r="C777" s="441"/>
    </row>
    <row r="778">
      <c r="B778" s="440"/>
      <c r="C778" s="441"/>
    </row>
    <row r="779">
      <c r="B779" s="440"/>
      <c r="C779" s="441"/>
    </row>
    <row r="780">
      <c r="B780" s="440"/>
      <c r="C780" s="441"/>
    </row>
    <row r="781">
      <c r="B781" s="440"/>
      <c r="C781" s="441"/>
    </row>
    <row r="782">
      <c r="B782" s="440"/>
      <c r="C782" s="441"/>
    </row>
    <row r="783">
      <c r="B783" s="440"/>
      <c r="C783" s="441"/>
    </row>
    <row r="784">
      <c r="B784" s="440"/>
      <c r="C784" s="441"/>
    </row>
    <row r="785">
      <c r="B785" s="440"/>
      <c r="C785" s="441"/>
    </row>
    <row r="786">
      <c r="B786" s="440"/>
      <c r="C786" s="441"/>
    </row>
    <row r="787">
      <c r="B787" s="440"/>
      <c r="C787" s="441"/>
    </row>
    <row r="788">
      <c r="B788" s="440"/>
      <c r="C788" s="441"/>
    </row>
    <row r="789">
      <c r="B789" s="440"/>
      <c r="C789" s="441"/>
    </row>
    <row r="790">
      <c r="B790" s="440"/>
      <c r="C790" s="441"/>
    </row>
    <row r="791">
      <c r="B791" s="440"/>
      <c r="C791" s="441"/>
    </row>
    <row r="792">
      <c r="B792" s="440"/>
      <c r="C792" s="441"/>
    </row>
    <row r="793">
      <c r="B793" s="440"/>
      <c r="C793" s="441"/>
    </row>
    <row r="794">
      <c r="B794" s="440"/>
      <c r="C794" s="441"/>
    </row>
    <row r="795">
      <c r="B795" s="440"/>
      <c r="C795" s="441"/>
    </row>
    <row r="796">
      <c r="B796" s="440"/>
      <c r="C796" s="441"/>
    </row>
    <row r="797">
      <c r="B797" s="440"/>
      <c r="C797" s="441"/>
    </row>
    <row r="798">
      <c r="B798" s="440"/>
      <c r="C798" s="441"/>
    </row>
    <row r="799">
      <c r="B799" s="440"/>
      <c r="C799" s="441"/>
    </row>
    <row r="800">
      <c r="B800" s="440"/>
      <c r="C800" s="441"/>
    </row>
    <row r="801">
      <c r="B801" s="440"/>
      <c r="C801" s="441"/>
    </row>
    <row r="802">
      <c r="B802" s="440"/>
      <c r="C802" s="441"/>
    </row>
    <row r="803">
      <c r="B803" s="440"/>
      <c r="C803" s="441"/>
    </row>
    <row r="804">
      <c r="B804" s="440"/>
      <c r="C804" s="441"/>
    </row>
    <row r="805">
      <c r="B805" s="440"/>
      <c r="C805" s="441"/>
    </row>
    <row r="806">
      <c r="B806" s="440"/>
      <c r="C806" s="441"/>
    </row>
    <row r="807">
      <c r="B807" s="440"/>
      <c r="C807" s="441"/>
    </row>
    <row r="808">
      <c r="B808" s="440"/>
      <c r="C808" s="441"/>
    </row>
    <row r="809">
      <c r="B809" s="440"/>
      <c r="C809" s="441"/>
    </row>
    <row r="810">
      <c r="B810" s="440"/>
      <c r="C810" s="441"/>
    </row>
    <row r="811">
      <c r="B811" s="440"/>
      <c r="C811" s="441"/>
    </row>
    <row r="812">
      <c r="B812" s="440"/>
      <c r="C812" s="441"/>
    </row>
    <row r="813">
      <c r="B813" s="440"/>
      <c r="C813" s="441"/>
    </row>
    <row r="814">
      <c r="B814" s="440"/>
      <c r="C814" s="441"/>
    </row>
    <row r="815">
      <c r="B815" s="440"/>
      <c r="C815" s="441"/>
    </row>
    <row r="816">
      <c r="B816" s="440"/>
      <c r="C816" s="441"/>
    </row>
    <row r="817">
      <c r="B817" s="440"/>
      <c r="C817" s="441"/>
    </row>
    <row r="818">
      <c r="B818" s="440"/>
      <c r="C818" s="441"/>
    </row>
    <row r="819">
      <c r="B819" s="440"/>
      <c r="C819" s="441"/>
    </row>
    <row r="820">
      <c r="B820" s="440"/>
      <c r="C820" s="441"/>
    </row>
    <row r="821">
      <c r="B821" s="440"/>
      <c r="C821" s="441"/>
    </row>
    <row r="822">
      <c r="B822" s="440"/>
      <c r="C822" s="441"/>
    </row>
    <row r="823">
      <c r="B823" s="440"/>
      <c r="C823" s="441"/>
    </row>
    <row r="824">
      <c r="B824" s="440"/>
      <c r="C824" s="441"/>
    </row>
    <row r="825">
      <c r="B825" s="440"/>
      <c r="C825" s="441"/>
    </row>
    <row r="826">
      <c r="B826" s="440"/>
      <c r="C826" s="441"/>
    </row>
    <row r="827">
      <c r="B827" s="440"/>
      <c r="C827" s="441"/>
    </row>
    <row r="828">
      <c r="B828" s="440"/>
      <c r="C828" s="441"/>
    </row>
    <row r="829">
      <c r="B829" s="440"/>
      <c r="C829" s="441"/>
    </row>
    <row r="830">
      <c r="B830" s="440"/>
      <c r="C830" s="441"/>
    </row>
    <row r="831">
      <c r="B831" s="440"/>
      <c r="C831" s="441"/>
    </row>
    <row r="832">
      <c r="B832" s="440"/>
      <c r="C832" s="441"/>
    </row>
    <row r="833">
      <c r="B833" s="440"/>
      <c r="C833" s="441"/>
    </row>
    <row r="834">
      <c r="B834" s="440"/>
      <c r="C834" s="441"/>
    </row>
    <row r="835">
      <c r="B835" s="440"/>
      <c r="C835" s="441"/>
    </row>
    <row r="836">
      <c r="B836" s="440"/>
      <c r="C836" s="441"/>
    </row>
    <row r="837">
      <c r="B837" s="440"/>
      <c r="C837" s="441"/>
    </row>
    <row r="838">
      <c r="B838" s="440"/>
      <c r="C838" s="441"/>
    </row>
    <row r="839">
      <c r="B839" s="440"/>
      <c r="C839" s="441"/>
    </row>
    <row r="840">
      <c r="B840" s="440"/>
      <c r="C840" s="441"/>
    </row>
    <row r="841">
      <c r="B841" s="440"/>
      <c r="C841" s="441"/>
    </row>
    <row r="842">
      <c r="B842" s="440"/>
      <c r="C842" s="441"/>
    </row>
    <row r="843">
      <c r="B843" s="440"/>
      <c r="C843" s="441"/>
    </row>
    <row r="844">
      <c r="B844" s="440"/>
      <c r="C844" s="441"/>
    </row>
    <row r="845">
      <c r="B845" s="440"/>
      <c r="C845" s="441"/>
    </row>
    <row r="846">
      <c r="B846" s="440"/>
      <c r="C846" s="441"/>
    </row>
    <row r="847">
      <c r="B847" s="440"/>
      <c r="C847" s="441"/>
    </row>
    <row r="848">
      <c r="B848" s="440"/>
      <c r="C848" s="441"/>
    </row>
    <row r="849">
      <c r="B849" s="440"/>
      <c r="C849" s="441"/>
    </row>
    <row r="850">
      <c r="B850" s="440"/>
      <c r="C850" s="441"/>
    </row>
    <row r="851">
      <c r="B851" s="440"/>
      <c r="C851" s="441"/>
    </row>
    <row r="852">
      <c r="B852" s="440"/>
      <c r="C852" s="441"/>
    </row>
    <row r="853">
      <c r="B853" s="440"/>
      <c r="C853" s="441"/>
    </row>
    <row r="854">
      <c r="B854" s="440"/>
      <c r="C854" s="441"/>
    </row>
    <row r="855">
      <c r="B855" s="440"/>
      <c r="C855" s="441"/>
    </row>
    <row r="856">
      <c r="B856" s="440"/>
      <c r="C856" s="441"/>
    </row>
    <row r="857">
      <c r="B857" s="440"/>
      <c r="C857" s="441"/>
    </row>
    <row r="858">
      <c r="B858" s="440"/>
      <c r="C858" s="441"/>
    </row>
    <row r="859">
      <c r="B859" s="440"/>
      <c r="C859" s="441"/>
    </row>
    <row r="860">
      <c r="B860" s="440"/>
      <c r="C860" s="441"/>
    </row>
    <row r="861">
      <c r="B861" s="440"/>
      <c r="C861" s="441"/>
    </row>
    <row r="862">
      <c r="B862" s="440"/>
      <c r="C862" s="441"/>
    </row>
    <row r="863">
      <c r="B863" s="440"/>
      <c r="C863" s="441"/>
    </row>
    <row r="864">
      <c r="B864" s="440"/>
      <c r="C864" s="441"/>
    </row>
    <row r="865">
      <c r="B865" s="440"/>
      <c r="C865" s="441"/>
    </row>
    <row r="866">
      <c r="B866" s="440"/>
      <c r="C866" s="441"/>
    </row>
    <row r="867">
      <c r="B867" s="440"/>
      <c r="C867" s="441"/>
    </row>
    <row r="868">
      <c r="B868" s="440"/>
      <c r="C868" s="441"/>
    </row>
    <row r="869">
      <c r="B869" s="440"/>
      <c r="C869" s="441"/>
    </row>
    <row r="870">
      <c r="B870" s="440"/>
      <c r="C870" s="441"/>
    </row>
    <row r="871">
      <c r="B871" s="440"/>
      <c r="C871" s="441"/>
    </row>
    <row r="872">
      <c r="B872" s="440"/>
      <c r="C872" s="441"/>
    </row>
    <row r="873">
      <c r="B873" s="440"/>
      <c r="C873" s="441"/>
    </row>
    <row r="874">
      <c r="B874" s="440"/>
      <c r="C874" s="441"/>
    </row>
    <row r="875">
      <c r="B875" s="440"/>
      <c r="C875" s="441"/>
    </row>
    <row r="876">
      <c r="B876" s="440"/>
      <c r="C876" s="441"/>
    </row>
    <row r="877">
      <c r="B877" s="440"/>
      <c r="C877" s="441"/>
    </row>
    <row r="878">
      <c r="B878" s="440"/>
      <c r="C878" s="441"/>
    </row>
    <row r="879">
      <c r="B879" s="440"/>
      <c r="C879" s="441"/>
    </row>
    <row r="880">
      <c r="B880" s="440"/>
      <c r="C880" s="441"/>
    </row>
    <row r="881">
      <c r="B881" s="440"/>
      <c r="C881" s="441"/>
    </row>
    <row r="882">
      <c r="B882" s="440"/>
      <c r="C882" s="441"/>
    </row>
    <row r="883">
      <c r="B883" s="440"/>
      <c r="C883" s="441"/>
    </row>
    <row r="884">
      <c r="B884" s="440"/>
      <c r="C884" s="441"/>
    </row>
    <row r="885">
      <c r="B885" s="440"/>
      <c r="C885" s="441"/>
    </row>
    <row r="886">
      <c r="B886" s="440"/>
      <c r="C886" s="441"/>
    </row>
    <row r="887">
      <c r="B887" s="440"/>
      <c r="C887" s="441"/>
    </row>
    <row r="888">
      <c r="B888" s="440"/>
      <c r="C888" s="441"/>
    </row>
    <row r="889">
      <c r="B889" s="440"/>
      <c r="C889" s="441"/>
    </row>
    <row r="890">
      <c r="B890" s="440"/>
      <c r="C890" s="441"/>
    </row>
    <row r="891">
      <c r="B891" s="440"/>
      <c r="C891" s="441"/>
    </row>
    <row r="892">
      <c r="B892" s="440"/>
      <c r="C892" s="441"/>
    </row>
    <row r="893">
      <c r="B893" s="440"/>
      <c r="C893" s="441"/>
    </row>
    <row r="894">
      <c r="B894" s="440"/>
      <c r="C894" s="441"/>
    </row>
    <row r="895">
      <c r="B895" s="440"/>
      <c r="C895" s="441"/>
    </row>
    <row r="896">
      <c r="B896" s="440"/>
      <c r="C896" s="441"/>
    </row>
    <row r="897">
      <c r="B897" s="440"/>
      <c r="C897" s="441"/>
    </row>
    <row r="898">
      <c r="B898" s="440"/>
      <c r="C898" s="441"/>
    </row>
    <row r="899">
      <c r="B899" s="440"/>
      <c r="C899" s="441"/>
    </row>
    <row r="900">
      <c r="B900" s="440"/>
      <c r="C900" s="441"/>
    </row>
    <row r="901">
      <c r="B901" s="440"/>
      <c r="C901" s="441"/>
    </row>
    <row r="902">
      <c r="B902" s="440"/>
      <c r="C902" s="441"/>
    </row>
    <row r="903">
      <c r="B903" s="440"/>
      <c r="C903" s="441"/>
    </row>
    <row r="904">
      <c r="B904" s="440"/>
      <c r="C904" s="441"/>
    </row>
    <row r="905">
      <c r="B905" s="440"/>
      <c r="C905" s="441"/>
    </row>
    <row r="906">
      <c r="B906" s="440"/>
      <c r="C906" s="441"/>
    </row>
    <row r="907">
      <c r="B907" s="440"/>
      <c r="C907" s="441"/>
    </row>
    <row r="908">
      <c r="B908" s="440"/>
      <c r="C908" s="441"/>
    </row>
    <row r="909">
      <c r="B909" s="440"/>
      <c r="C909" s="441"/>
    </row>
    <row r="910">
      <c r="B910" s="440"/>
      <c r="C910" s="441"/>
    </row>
    <row r="911">
      <c r="B911" s="440"/>
      <c r="C911" s="441"/>
    </row>
    <row r="912">
      <c r="B912" s="440"/>
      <c r="C912" s="441"/>
    </row>
    <row r="913">
      <c r="B913" s="440"/>
      <c r="C913" s="441"/>
    </row>
    <row r="914">
      <c r="B914" s="440"/>
      <c r="C914" s="441"/>
    </row>
    <row r="915">
      <c r="B915" s="440"/>
      <c r="C915" s="441"/>
    </row>
    <row r="916">
      <c r="B916" s="440"/>
      <c r="C916" s="441"/>
    </row>
    <row r="917">
      <c r="B917" s="440"/>
      <c r="C917" s="441"/>
    </row>
    <row r="918">
      <c r="B918" s="440"/>
      <c r="C918" s="441"/>
    </row>
    <row r="919">
      <c r="B919" s="440"/>
      <c r="C919" s="441"/>
    </row>
    <row r="920">
      <c r="B920" s="440"/>
      <c r="C920" s="441"/>
    </row>
    <row r="921">
      <c r="B921" s="440"/>
      <c r="C921" s="441"/>
    </row>
    <row r="922">
      <c r="B922" s="440"/>
      <c r="C922" s="441"/>
    </row>
    <row r="923">
      <c r="B923" s="440"/>
      <c r="C923" s="441"/>
    </row>
    <row r="924">
      <c r="B924" s="440"/>
      <c r="C924" s="441"/>
    </row>
    <row r="925">
      <c r="B925" s="440"/>
      <c r="C925" s="441"/>
    </row>
    <row r="926">
      <c r="B926" s="440"/>
      <c r="C926" s="441"/>
    </row>
    <row r="927">
      <c r="B927" s="440"/>
      <c r="C927" s="441"/>
    </row>
    <row r="928">
      <c r="B928" s="440"/>
      <c r="C928" s="441"/>
    </row>
    <row r="929">
      <c r="B929" s="440"/>
      <c r="C929" s="441"/>
    </row>
    <row r="930">
      <c r="B930" s="440"/>
      <c r="C930" s="441"/>
    </row>
    <row r="931">
      <c r="B931" s="440"/>
      <c r="C931" s="441"/>
    </row>
    <row r="932">
      <c r="B932" s="440"/>
      <c r="C932" s="441"/>
    </row>
    <row r="933">
      <c r="B933" s="440"/>
      <c r="C933" s="441"/>
    </row>
    <row r="934">
      <c r="B934" s="440"/>
      <c r="C934" s="441"/>
    </row>
    <row r="935">
      <c r="B935" s="440"/>
      <c r="C935" s="441"/>
    </row>
    <row r="936">
      <c r="B936" s="440"/>
      <c r="C936" s="441"/>
    </row>
    <row r="937">
      <c r="B937" s="440"/>
      <c r="C937" s="441"/>
    </row>
    <row r="938">
      <c r="B938" s="440"/>
      <c r="C938" s="441"/>
    </row>
    <row r="939">
      <c r="B939" s="440"/>
      <c r="C939" s="441"/>
    </row>
    <row r="940">
      <c r="B940" s="440"/>
      <c r="C940" s="441"/>
    </row>
    <row r="941">
      <c r="B941" s="440"/>
      <c r="C941" s="441"/>
    </row>
    <row r="942">
      <c r="B942" s="440"/>
      <c r="C942" s="441"/>
    </row>
    <row r="943">
      <c r="B943" s="440"/>
      <c r="C943" s="441"/>
    </row>
    <row r="944">
      <c r="B944" s="440"/>
      <c r="C944" s="441"/>
    </row>
    <row r="945">
      <c r="B945" s="440"/>
      <c r="C945" s="441"/>
    </row>
    <row r="946">
      <c r="B946" s="440"/>
      <c r="C946" s="441"/>
    </row>
    <row r="947">
      <c r="B947" s="440"/>
      <c r="C947" s="441"/>
    </row>
    <row r="948">
      <c r="B948" s="440"/>
      <c r="C948" s="441"/>
    </row>
    <row r="949">
      <c r="B949" s="440"/>
      <c r="C949" s="441"/>
    </row>
    <row r="950">
      <c r="B950" s="440"/>
      <c r="C950" s="441"/>
    </row>
    <row r="951">
      <c r="B951" s="440"/>
      <c r="C951" s="441"/>
    </row>
    <row r="952">
      <c r="B952" s="440"/>
      <c r="C952" s="441"/>
    </row>
    <row r="953">
      <c r="B953" s="440"/>
      <c r="C953" s="441"/>
    </row>
    <row r="954">
      <c r="B954" s="440"/>
      <c r="C954" s="441"/>
    </row>
    <row r="955">
      <c r="B955" s="440"/>
      <c r="C955" s="441"/>
    </row>
    <row r="956">
      <c r="B956" s="440"/>
      <c r="C956" s="441"/>
    </row>
    <row r="957">
      <c r="B957" s="440"/>
      <c r="C957" s="441"/>
    </row>
    <row r="958">
      <c r="B958" s="440"/>
      <c r="C958" s="441"/>
    </row>
    <row r="959">
      <c r="B959" s="440"/>
      <c r="C959" s="441"/>
    </row>
    <row r="960">
      <c r="B960" s="440"/>
      <c r="C960" s="441"/>
    </row>
    <row r="961">
      <c r="B961" s="440"/>
      <c r="C961" s="441"/>
    </row>
    <row r="962">
      <c r="B962" s="440"/>
      <c r="C962" s="441"/>
    </row>
    <row r="963">
      <c r="B963" s="440"/>
      <c r="C963" s="441"/>
    </row>
    <row r="964">
      <c r="B964" s="440"/>
      <c r="C964" s="441"/>
    </row>
    <row r="965">
      <c r="B965" s="440"/>
      <c r="C965" s="441"/>
    </row>
    <row r="966">
      <c r="B966" s="440"/>
      <c r="C966" s="441"/>
    </row>
    <row r="967">
      <c r="B967" s="440"/>
      <c r="C967" s="441"/>
    </row>
    <row r="968">
      <c r="B968" s="440"/>
      <c r="C968" s="441"/>
    </row>
    <row r="969">
      <c r="B969" s="440"/>
      <c r="C969" s="441"/>
    </row>
    <row r="970">
      <c r="B970" s="440"/>
      <c r="C970" s="441"/>
    </row>
    <row r="971">
      <c r="B971" s="440"/>
      <c r="C971" s="441"/>
    </row>
    <row r="972">
      <c r="B972" s="440"/>
      <c r="C972" s="441"/>
    </row>
    <row r="973">
      <c r="B973" s="440"/>
      <c r="C973" s="441"/>
    </row>
    <row r="974">
      <c r="B974" s="440"/>
      <c r="C974" s="441"/>
    </row>
    <row r="975">
      <c r="B975" s="440"/>
      <c r="C975" s="441"/>
    </row>
    <row r="976">
      <c r="B976" s="440"/>
      <c r="C976" s="441"/>
    </row>
    <row r="977">
      <c r="B977" s="440"/>
      <c r="C977" s="441"/>
    </row>
    <row r="978">
      <c r="B978" s="440"/>
      <c r="C978" s="441"/>
    </row>
    <row r="979">
      <c r="B979" s="440"/>
      <c r="C979" s="441"/>
    </row>
    <row r="980">
      <c r="B980" s="440"/>
      <c r="C980" s="441"/>
    </row>
    <row r="981">
      <c r="B981" s="440"/>
      <c r="C981" s="441"/>
    </row>
    <row r="982">
      <c r="B982" s="440"/>
      <c r="C982" s="441"/>
    </row>
    <row r="983">
      <c r="B983" s="440"/>
      <c r="C983" s="441"/>
    </row>
    <row r="984">
      <c r="B984" s="440"/>
      <c r="C984" s="441"/>
    </row>
    <row r="985">
      <c r="B985" s="440"/>
      <c r="C985" s="441"/>
    </row>
    <row r="986">
      <c r="B986" s="440"/>
      <c r="C986" s="441"/>
    </row>
    <row r="987">
      <c r="B987" s="440"/>
      <c r="C987" s="441"/>
    </row>
    <row r="988">
      <c r="B988" s="440"/>
      <c r="C988" s="441"/>
    </row>
    <row r="989">
      <c r="B989" s="440"/>
      <c r="C989" s="441"/>
    </row>
    <row r="990">
      <c r="B990" s="440"/>
      <c r="C990" s="441"/>
    </row>
    <row r="991">
      <c r="B991" s="440"/>
      <c r="C991" s="441"/>
    </row>
    <row r="992">
      <c r="B992" s="440"/>
      <c r="C992" s="441"/>
    </row>
    <row r="993">
      <c r="B993" s="440"/>
      <c r="C993" s="441"/>
    </row>
    <row r="994">
      <c r="B994" s="440"/>
      <c r="C994" s="441"/>
    </row>
    <row r="995">
      <c r="B995" s="440"/>
      <c r="C995" s="441"/>
    </row>
    <row r="996">
      <c r="B996" s="440"/>
      <c r="C996" s="441"/>
    </row>
    <row r="997">
      <c r="B997" s="440"/>
      <c r="C997" s="441"/>
    </row>
    <row r="998">
      <c r="B998" s="440"/>
      <c r="C998" s="441"/>
    </row>
    <row r="999">
      <c r="B999" s="440"/>
      <c r="C999" s="441"/>
    </row>
    <row r="1000">
      <c r="B1000" s="440"/>
      <c r="C1000" s="441"/>
    </row>
    <row r="1001">
      <c r="B1001" s="440"/>
      <c r="C1001" s="441"/>
    </row>
    <row r="1002">
      <c r="B1002" s="440"/>
      <c r="C1002" s="441"/>
    </row>
    <row r="1003">
      <c r="B1003" s="440"/>
      <c r="C1003" s="441"/>
    </row>
    <row r="1004">
      <c r="B1004" s="440"/>
      <c r="C1004" s="441"/>
    </row>
    <row r="1005">
      <c r="B1005" s="440"/>
      <c r="C1005" s="441"/>
    </row>
    <row r="1006">
      <c r="B1006" s="440"/>
      <c r="C1006" s="441"/>
    </row>
    <row r="1007">
      <c r="B1007" s="440"/>
      <c r="C1007" s="441"/>
    </row>
    <row r="1008">
      <c r="B1008" s="440"/>
      <c r="C1008" s="441"/>
    </row>
    <row r="1009">
      <c r="B1009" s="440"/>
      <c r="C1009" s="441"/>
    </row>
    <row r="1010">
      <c r="B1010" s="440"/>
      <c r="C1010" s="441"/>
    </row>
    <row r="1011">
      <c r="B1011" s="440"/>
      <c r="C1011" s="441"/>
    </row>
    <row r="1012">
      <c r="B1012" s="440"/>
      <c r="C1012" s="441"/>
    </row>
    <row r="1013">
      <c r="B1013" s="440"/>
      <c r="C1013" s="441"/>
    </row>
    <row r="1014">
      <c r="B1014" s="440"/>
      <c r="C1014" s="441"/>
    </row>
    <row r="1015">
      <c r="B1015" s="440"/>
      <c r="C1015" s="441"/>
    </row>
    <row r="1016">
      <c r="B1016" s="440"/>
      <c r="C1016" s="441"/>
    </row>
    <row r="1017">
      <c r="B1017" s="440"/>
      <c r="C1017" s="441"/>
    </row>
    <row r="1018">
      <c r="B1018" s="440"/>
      <c r="C1018" s="441"/>
    </row>
    <row r="1019">
      <c r="B1019" s="440"/>
      <c r="C1019" s="441"/>
    </row>
    <row r="1020">
      <c r="B1020" s="440"/>
      <c r="C1020" s="441"/>
    </row>
    <row r="1021">
      <c r="B1021" s="440"/>
      <c r="C1021" s="441"/>
    </row>
    <row r="1022">
      <c r="B1022" s="440"/>
      <c r="C1022" s="441"/>
    </row>
  </sheetData>
  <mergeCells count="1">
    <mergeCell ref="A1:C1"/>
  </mergeCells>
  <drawing r:id="rId1"/>
  <tableParts count="6">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63"/>
  </cols>
  <sheetData>
    <row r="1">
      <c r="A1" s="480" t="s">
        <v>3077</v>
      </c>
    </row>
    <row r="2">
      <c r="A2" s="481" t="s">
        <v>3078</v>
      </c>
      <c r="B2" s="482"/>
      <c r="C2" s="439"/>
    </row>
    <row r="3">
      <c r="A3" s="481" t="s">
        <v>3051</v>
      </c>
      <c r="B3" s="436" t="s">
        <v>3052</v>
      </c>
      <c r="C3" s="439"/>
    </row>
    <row r="4">
      <c r="A4" s="483" t="s">
        <v>44</v>
      </c>
      <c r="B4" s="438">
        <f>COUNTIF('Funding Tracking'!C:C,"Represented")</f>
        <v>200</v>
      </c>
      <c r="C4" s="439">
        <f t="shared" ref="C4:C5" si="1">B4/sum($B$4:$B$5)</f>
        <v>0.6849315068</v>
      </c>
    </row>
    <row r="5">
      <c r="A5" s="483" t="s">
        <v>70</v>
      </c>
      <c r="B5" s="438">
        <f>COUNTIF('Funding Tracking'!C:C,"Non-Represented")</f>
        <v>92</v>
      </c>
      <c r="C5" s="439">
        <f t="shared" si="1"/>
        <v>0.3150684932</v>
      </c>
    </row>
    <row r="6">
      <c r="A6" s="484"/>
      <c r="B6" s="440"/>
      <c r="C6" s="441"/>
    </row>
    <row r="7">
      <c r="A7" s="484"/>
      <c r="B7" s="440"/>
      <c r="C7" s="441"/>
    </row>
    <row r="8">
      <c r="A8" s="481" t="s">
        <v>3079</v>
      </c>
      <c r="B8" s="482"/>
      <c r="C8" s="439"/>
    </row>
    <row r="9">
      <c r="A9" s="481" t="s">
        <v>3051</v>
      </c>
      <c r="B9" s="436" t="s">
        <v>3055</v>
      </c>
      <c r="C9" s="439"/>
    </row>
    <row r="10">
      <c r="A10" s="485" t="s">
        <v>44</v>
      </c>
      <c r="B10" s="449">
        <f>SUMIF('Funding Tracking'!C:C,"Represented",'Funding Tracking'!E:E)</f>
        <v>237056.8</v>
      </c>
      <c r="C10" s="439">
        <f t="shared" ref="C10:C11" si="2">B10/sum($B$10:$B$11)</f>
        <v>0.3236806048</v>
      </c>
    </row>
    <row r="11">
      <c r="A11" s="486" t="s">
        <v>70</v>
      </c>
      <c r="B11" s="449">
        <f>SUMIF('Funding Tracking'!C:C, "Non-Represented",'Funding Tracking'!E:E)</f>
        <v>495321.96</v>
      </c>
      <c r="C11" s="439">
        <f t="shared" si="2"/>
        <v>0.6763193952</v>
      </c>
    </row>
    <row r="12">
      <c r="A12" s="484"/>
      <c r="B12" s="410"/>
      <c r="C12" s="441"/>
    </row>
    <row r="13">
      <c r="A13" s="484"/>
      <c r="C13" s="441"/>
    </row>
    <row r="14">
      <c r="A14" s="481" t="s">
        <v>3080</v>
      </c>
      <c r="B14" s="482"/>
      <c r="C14" s="439"/>
    </row>
    <row r="15">
      <c r="A15" s="481" t="s">
        <v>3081</v>
      </c>
      <c r="B15" s="436" t="s">
        <v>3055</v>
      </c>
      <c r="C15" s="439"/>
    </row>
    <row r="16">
      <c r="A16" s="485" t="s">
        <v>3082</v>
      </c>
      <c r="B16" s="475">
        <f>SUMIFS('Funding Tracking'!E:E,'Funding Tracking'!C:C, "Represented", 'Funding Tracking'!D:D, A16)</f>
        <v>0</v>
      </c>
      <c r="C16" s="439" t="str">
        <f t="shared" ref="C16:C24" si="3">B16/sum($B$16:$B$24)</f>
        <v>#DIV/0!</v>
      </c>
      <c r="D16" s="410"/>
      <c r="E16" s="410"/>
    </row>
    <row r="17">
      <c r="A17" s="485" t="s">
        <v>3083</v>
      </c>
      <c r="B17" s="475">
        <f>SUMIFS('Funding Tracking'!E:E,'Funding Tracking'!C:C, "Represented", 'Funding Tracking'!D:D, A17)</f>
        <v>0</v>
      </c>
      <c r="C17" s="439" t="str">
        <f t="shared" si="3"/>
        <v>#DIV/0!</v>
      </c>
      <c r="D17" s="410"/>
      <c r="E17" s="410"/>
    </row>
    <row r="18">
      <c r="A18" s="485" t="s">
        <v>3084</v>
      </c>
      <c r="B18" s="475">
        <f>SUMIFS('Funding Tracking'!E:E,'Funding Tracking'!C:C, "Represented", 'Funding Tracking'!D:D, A18)</f>
        <v>0</v>
      </c>
      <c r="C18" s="439" t="str">
        <f t="shared" si="3"/>
        <v>#DIV/0!</v>
      </c>
      <c r="D18" s="410"/>
      <c r="E18" s="410"/>
    </row>
    <row r="19">
      <c r="A19" s="485" t="s">
        <v>3085</v>
      </c>
      <c r="B19" s="475">
        <f>SUMIFS('Funding Tracking'!E:E,'Funding Tracking'!C:C, "Represented", 'Funding Tracking'!D:D, A19)</f>
        <v>0</v>
      </c>
      <c r="C19" s="439" t="str">
        <f t="shared" si="3"/>
        <v>#DIV/0!</v>
      </c>
      <c r="D19" s="410"/>
      <c r="E19" s="410"/>
    </row>
    <row r="20">
      <c r="A20" s="485" t="s">
        <v>127</v>
      </c>
      <c r="B20" s="475">
        <f>SUMIFS('Funding Tracking'!E:E,'Funding Tracking'!C:C, "Represented", 'Funding Tracking'!D:D, A20)</f>
        <v>0</v>
      </c>
      <c r="C20" s="439" t="str">
        <f t="shared" si="3"/>
        <v>#DIV/0!</v>
      </c>
      <c r="D20" s="410"/>
      <c r="E20" s="410"/>
    </row>
    <row r="21">
      <c r="A21" s="485" t="s">
        <v>3086</v>
      </c>
      <c r="B21" s="475">
        <f>SUMIFS('Funding Tracking'!E:E,'Funding Tracking'!C:C, "Represented", 'Funding Tracking'!D:D, A21)</f>
        <v>0</v>
      </c>
      <c r="C21" s="439" t="str">
        <f t="shared" si="3"/>
        <v>#DIV/0!</v>
      </c>
      <c r="D21" s="410"/>
      <c r="E21" s="410"/>
    </row>
    <row r="22">
      <c r="A22" s="485" t="s">
        <v>3087</v>
      </c>
      <c r="B22" s="475">
        <f>SUMIFS('Funding Tracking'!E:E,'Funding Tracking'!C:C, "Represented", 'Funding Tracking'!D:D, A22)</f>
        <v>0</v>
      </c>
      <c r="C22" s="439" t="str">
        <f t="shared" si="3"/>
        <v>#DIV/0!</v>
      </c>
      <c r="D22" s="410"/>
      <c r="E22" s="410"/>
    </row>
    <row r="23">
      <c r="A23" s="485" t="s">
        <v>61</v>
      </c>
      <c r="B23" s="475">
        <f>SUMIFS('Funding Tracking'!E:E,'Funding Tracking'!C:C, "Represented", 'Funding Tracking'!D:D, A23)</f>
        <v>0</v>
      </c>
      <c r="C23" s="439" t="str">
        <f t="shared" si="3"/>
        <v>#DIV/0!</v>
      </c>
      <c r="D23" s="410"/>
      <c r="E23" s="410"/>
    </row>
    <row r="24">
      <c r="A24" s="485" t="s">
        <v>3088</v>
      </c>
      <c r="B24" s="475">
        <f>SUMIFS('Funding Tracking'!E:E,'Funding Tracking'!C:C, "Represented", 'Funding Tracking'!D:D, A24)</f>
        <v>0</v>
      </c>
      <c r="C24" s="439" t="str">
        <f t="shared" si="3"/>
        <v>#DIV/0!</v>
      </c>
      <c r="D24" s="410"/>
      <c r="E24" s="410"/>
    </row>
    <row r="25">
      <c r="A25" s="487" t="s">
        <v>3069</v>
      </c>
      <c r="B25" s="464">
        <f>SUM(B16:B24)</f>
        <v>0</v>
      </c>
      <c r="C25" s="441"/>
      <c r="D25" s="410"/>
      <c r="E25" s="410"/>
    </row>
    <row r="26">
      <c r="A26" s="488"/>
      <c r="B26" s="469"/>
      <c r="C26" s="441"/>
      <c r="D26" s="410"/>
      <c r="E26" s="410"/>
    </row>
    <row r="27">
      <c r="A27" s="488"/>
      <c r="B27" s="469"/>
      <c r="C27" s="441"/>
      <c r="D27" s="410"/>
      <c r="E27" s="410"/>
    </row>
    <row r="28">
      <c r="A28" s="481" t="s">
        <v>3089</v>
      </c>
      <c r="B28" s="482"/>
      <c r="C28" s="439"/>
      <c r="D28" s="410"/>
      <c r="E28" s="410"/>
    </row>
    <row r="29">
      <c r="A29" s="481" t="s">
        <v>3090</v>
      </c>
      <c r="B29" s="436" t="s">
        <v>3055</v>
      </c>
      <c r="C29" s="439"/>
    </row>
    <row r="30">
      <c r="A30" s="485" t="s">
        <v>3082</v>
      </c>
      <c r="B30" s="475">
        <f>SUMIFS('Funding Tracking'!E:E,'Funding Tracking'!C:C, "nON-Represented", 'Funding Tracking'!D:D, A30)</f>
        <v>0</v>
      </c>
      <c r="C30" s="439" t="str">
        <f t="shared" ref="C30:C38" si="4">B30/sum($B$30:$B$38)</f>
        <v>#DIV/0!</v>
      </c>
    </row>
    <row r="31">
      <c r="A31" s="485" t="s">
        <v>3083</v>
      </c>
      <c r="B31" s="475">
        <f>SUMIFS('Funding Tracking'!E:E,'Funding Tracking'!C:C, "nON-Represented", 'Funding Tracking'!D:D, A31)</f>
        <v>0</v>
      </c>
      <c r="C31" s="439" t="str">
        <f t="shared" si="4"/>
        <v>#DIV/0!</v>
      </c>
    </row>
    <row r="32">
      <c r="A32" s="485" t="s">
        <v>3084</v>
      </c>
      <c r="B32" s="475">
        <f>SUMIFS('Funding Tracking'!E:E,'Funding Tracking'!C:C, "nON-Represented", 'Funding Tracking'!D:D, A32)</f>
        <v>0</v>
      </c>
      <c r="C32" s="439" t="str">
        <f t="shared" si="4"/>
        <v>#DIV/0!</v>
      </c>
    </row>
    <row r="33">
      <c r="A33" s="485" t="s">
        <v>3085</v>
      </c>
      <c r="B33" s="475">
        <f>SUMIFS('Funding Tracking'!E:E,'Funding Tracking'!C:C, "nON-Represented", 'Funding Tracking'!D:D, A33)</f>
        <v>0</v>
      </c>
      <c r="C33" s="439" t="str">
        <f t="shared" si="4"/>
        <v>#DIV/0!</v>
      </c>
    </row>
    <row r="34">
      <c r="A34" s="485" t="s">
        <v>127</v>
      </c>
      <c r="B34" s="475">
        <f>SUMIFS('Funding Tracking'!E:E,'Funding Tracking'!C:C, "nON-Represented", 'Funding Tracking'!D:D, A34)</f>
        <v>0</v>
      </c>
      <c r="C34" s="439" t="str">
        <f t="shared" si="4"/>
        <v>#DIV/0!</v>
      </c>
    </row>
    <row r="35">
      <c r="A35" s="485" t="s">
        <v>3086</v>
      </c>
      <c r="B35" s="475">
        <f>SUMIFS('Funding Tracking'!E:E,'Funding Tracking'!C:C, "nON-Represented", 'Funding Tracking'!D:D, A35)</f>
        <v>0</v>
      </c>
      <c r="C35" s="439" t="str">
        <f t="shared" si="4"/>
        <v>#DIV/0!</v>
      </c>
    </row>
    <row r="36">
      <c r="A36" s="485" t="s">
        <v>3087</v>
      </c>
      <c r="B36" s="475">
        <f>SUMIFS('Funding Tracking'!E:E,'Funding Tracking'!C:C, "nON-Represented", 'Funding Tracking'!D:D, A36)</f>
        <v>0</v>
      </c>
      <c r="C36" s="439" t="str">
        <f t="shared" si="4"/>
        <v>#DIV/0!</v>
      </c>
    </row>
    <row r="37">
      <c r="A37" s="485" t="s">
        <v>61</v>
      </c>
      <c r="B37" s="475">
        <f>SUMIFS('Funding Tracking'!E:E,'Funding Tracking'!C:C, "nON-Represented", 'Funding Tracking'!D:D, A37)</f>
        <v>0</v>
      </c>
      <c r="C37" s="439" t="str">
        <f t="shared" si="4"/>
        <v>#DIV/0!</v>
      </c>
    </row>
    <row r="38">
      <c r="A38" s="485" t="s">
        <v>3088</v>
      </c>
      <c r="B38" s="475">
        <f>SUMIFS('Funding Tracking'!E:E,'Funding Tracking'!C:C, "nON-Represented", 'Funding Tracking'!D:D, A38)</f>
        <v>0</v>
      </c>
      <c r="C38" s="439" t="str">
        <f t="shared" si="4"/>
        <v>#DIV/0!</v>
      </c>
    </row>
    <row r="39">
      <c r="A39" s="485" t="s">
        <v>3069</v>
      </c>
      <c r="B39" s="475">
        <f>SUM(B28:B38)</f>
        <v>0</v>
      </c>
      <c r="C39" s="439"/>
    </row>
    <row r="40">
      <c r="A40" s="484"/>
      <c r="C40" s="441"/>
    </row>
    <row r="41">
      <c r="A41" s="489" t="s">
        <v>3091</v>
      </c>
      <c r="B41" s="490"/>
      <c r="C41" s="439"/>
    </row>
    <row r="42">
      <c r="A42" s="481" t="s">
        <v>3090</v>
      </c>
      <c r="B42" s="436" t="s">
        <v>3055</v>
      </c>
      <c r="C42" s="439"/>
    </row>
    <row r="43">
      <c r="A43" s="491" t="s">
        <v>2892</v>
      </c>
      <c r="B43" s="490">
        <f>sum('Funding Tracking'!I7:I1042)</f>
        <v>2015</v>
      </c>
      <c r="C43" s="492">
        <f t="shared" ref="C43:C53" si="5">B43/sum($B$43:$B$53)</f>
        <v>0.001490965463</v>
      </c>
      <c r="D43" s="410"/>
      <c r="E43" s="410"/>
    </row>
    <row r="44">
      <c r="A44" s="491" t="s">
        <v>2893</v>
      </c>
      <c r="B44" s="493">
        <f>sum('Funding Tracking'!J7:J1042)</f>
        <v>8305</v>
      </c>
      <c r="C44" s="492">
        <f t="shared" si="5"/>
        <v>0.006145145495</v>
      </c>
    </row>
    <row r="45">
      <c r="A45" s="491" t="s">
        <v>2894</v>
      </c>
      <c r="B45" s="493">
        <f>sum('Funding Tracking'!K7:K1042)</f>
        <v>14664</v>
      </c>
      <c r="C45" s="492">
        <f t="shared" si="5"/>
        <v>0.01085038092</v>
      </c>
    </row>
    <row r="46">
      <c r="A46" s="491" t="s">
        <v>2895</v>
      </c>
      <c r="B46" s="490">
        <f>sum('Funding Tracking'!L7:L1042)</f>
        <v>0</v>
      </c>
      <c r="C46" s="492">
        <f t="shared" si="5"/>
        <v>0</v>
      </c>
    </row>
    <row r="47">
      <c r="A47" s="494" t="s">
        <v>2896</v>
      </c>
      <c r="B47" s="490">
        <f>sum('Funding Tracking'!M7:M1042)</f>
        <v>26189.87</v>
      </c>
      <c r="C47" s="492">
        <f t="shared" si="5"/>
        <v>0.01937875517</v>
      </c>
    </row>
    <row r="48">
      <c r="A48" s="494" t="s">
        <v>2897</v>
      </c>
      <c r="B48" s="490">
        <f>sum('Funding Tracking'!N7:N1042)</f>
        <v>537451.9</v>
      </c>
      <c r="C48" s="492">
        <f t="shared" si="5"/>
        <v>0.3976785216</v>
      </c>
    </row>
    <row r="49">
      <c r="A49" s="495" t="s">
        <v>2898</v>
      </c>
      <c r="B49" s="490">
        <f>sum('Funding Tracking'!O7:O1042)</f>
        <v>66915</v>
      </c>
      <c r="C49" s="492">
        <f t="shared" si="5"/>
        <v>0.04951263225</v>
      </c>
    </row>
    <row r="50">
      <c r="A50" s="495" t="s">
        <v>2899</v>
      </c>
      <c r="B50" s="493">
        <f>sum('Funding Tracking'!P7:P1042)</f>
        <v>141798.27</v>
      </c>
      <c r="C50" s="492">
        <f t="shared" si="5"/>
        <v>0.1049212523</v>
      </c>
    </row>
    <row r="51">
      <c r="A51" s="496" t="s">
        <v>992</v>
      </c>
      <c r="B51" s="493">
        <f>sum('Funding Tracking'!Q7:Q1042)</f>
        <v>5147.25</v>
      </c>
      <c r="C51" s="492">
        <f t="shared" si="5"/>
        <v>0.003808621331</v>
      </c>
    </row>
    <row r="52">
      <c r="A52" s="497" t="s">
        <v>2900</v>
      </c>
      <c r="B52" s="490">
        <f>sum('Funding Tracking'!R7:R1042)</f>
        <v>0</v>
      </c>
      <c r="C52" s="492">
        <f t="shared" si="5"/>
        <v>0</v>
      </c>
    </row>
    <row r="53">
      <c r="A53" s="498" t="s">
        <v>2901</v>
      </c>
      <c r="B53" s="490">
        <f>sum('Funding Tracking'!S7:S1042)</f>
        <v>548987</v>
      </c>
      <c r="C53" s="492">
        <f t="shared" si="5"/>
        <v>0.4062137255</v>
      </c>
    </row>
    <row r="54">
      <c r="A54" s="485" t="s">
        <v>3069</v>
      </c>
      <c r="B54" s="475">
        <f>SUM(B42:B53)</f>
        <v>1351473.29</v>
      </c>
      <c r="C54" s="439"/>
    </row>
    <row r="55">
      <c r="A55" s="484"/>
      <c r="C55" s="441"/>
    </row>
    <row r="56">
      <c r="A56" s="484"/>
      <c r="C56" s="441"/>
    </row>
    <row r="57">
      <c r="A57" s="484"/>
      <c r="C57" s="441"/>
    </row>
    <row r="58">
      <c r="A58" s="484"/>
      <c r="C58" s="441"/>
    </row>
    <row r="59">
      <c r="A59" s="484"/>
      <c r="C59" s="441"/>
    </row>
    <row r="60">
      <c r="A60" s="484"/>
      <c r="C60" s="441"/>
    </row>
    <row r="61">
      <c r="A61" s="484"/>
      <c r="C61" s="441"/>
    </row>
    <row r="62">
      <c r="A62" s="484"/>
      <c r="C62" s="441"/>
    </row>
    <row r="63">
      <c r="A63" s="484"/>
      <c r="C63" s="441"/>
    </row>
    <row r="64">
      <c r="A64" s="484"/>
      <c r="C64" s="441"/>
    </row>
    <row r="65">
      <c r="A65" s="484"/>
      <c r="C65" s="441"/>
    </row>
    <row r="66">
      <c r="A66" s="484"/>
      <c r="C66" s="441"/>
    </row>
    <row r="67">
      <c r="A67" s="484"/>
      <c r="C67" s="441"/>
    </row>
    <row r="68">
      <c r="A68" s="484"/>
      <c r="C68" s="441"/>
    </row>
    <row r="69">
      <c r="A69" s="484"/>
      <c r="C69" s="441"/>
    </row>
    <row r="70">
      <c r="A70" s="484"/>
      <c r="C70" s="441"/>
    </row>
    <row r="71">
      <c r="A71" s="484"/>
      <c r="C71" s="441"/>
    </row>
    <row r="72">
      <c r="A72" s="484"/>
      <c r="C72" s="441"/>
    </row>
    <row r="73">
      <c r="A73" s="484"/>
      <c r="C73" s="441"/>
    </row>
    <row r="74">
      <c r="A74" s="484"/>
      <c r="C74" s="441"/>
    </row>
    <row r="75">
      <c r="A75" s="484"/>
      <c r="C75" s="441"/>
    </row>
    <row r="76">
      <c r="A76" s="484"/>
      <c r="B76" s="440"/>
      <c r="C76" s="441"/>
    </row>
    <row r="77">
      <c r="A77" s="488"/>
      <c r="B77" s="469"/>
      <c r="C77" s="441"/>
    </row>
    <row r="78">
      <c r="A78" s="488"/>
      <c r="B78" s="473"/>
      <c r="C78" s="441"/>
    </row>
    <row r="79">
      <c r="A79" s="487"/>
      <c r="B79" s="440"/>
      <c r="C79" s="441"/>
    </row>
    <row r="80">
      <c r="A80" s="487"/>
      <c r="B80" s="440"/>
      <c r="C80" s="441"/>
    </row>
    <row r="81">
      <c r="A81" s="487"/>
      <c r="B81" s="440"/>
      <c r="C81" s="441"/>
    </row>
    <row r="82">
      <c r="A82" s="487"/>
      <c r="B82" s="440"/>
      <c r="C82" s="441"/>
    </row>
    <row r="83">
      <c r="A83" s="487"/>
      <c r="B83" s="440"/>
      <c r="C83" s="441"/>
    </row>
    <row r="84">
      <c r="A84" s="487"/>
      <c r="B84" s="440"/>
      <c r="C84" s="441"/>
    </row>
    <row r="85">
      <c r="A85" s="487"/>
      <c r="B85" s="440"/>
      <c r="C85" s="441"/>
    </row>
    <row r="86">
      <c r="A86" s="487"/>
      <c r="B86" s="440"/>
      <c r="C86" s="441"/>
    </row>
    <row r="87">
      <c r="A87" s="487"/>
      <c r="B87" s="440"/>
      <c r="C87" s="441"/>
    </row>
    <row r="88">
      <c r="A88" s="484"/>
      <c r="B88" s="440"/>
      <c r="C88" s="441"/>
    </row>
    <row r="89">
      <c r="A89" s="488"/>
      <c r="B89" s="469"/>
      <c r="C89" s="441"/>
    </row>
    <row r="90">
      <c r="A90" s="488"/>
      <c r="B90" s="473"/>
      <c r="C90" s="441"/>
    </row>
    <row r="91">
      <c r="A91" s="487"/>
      <c r="B91" s="440"/>
      <c r="C91" s="441"/>
    </row>
    <row r="92">
      <c r="A92" s="487"/>
      <c r="B92" s="440"/>
      <c r="C92" s="441"/>
    </row>
    <row r="93">
      <c r="A93" s="487"/>
      <c r="B93" s="440"/>
      <c r="C93" s="441"/>
    </row>
    <row r="94">
      <c r="A94" s="487"/>
      <c r="B94" s="440"/>
      <c r="C94" s="441"/>
    </row>
    <row r="95">
      <c r="A95" s="487"/>
      <c r="B95" s="440"/>
      <c r="C95" s="441"/>
    </row>
    <row r="96">
      <c r="A96" s="487"/>
      <c r="B96" s="440"/>
      <c r="C96" s="441"/>
    </row>
    <row r="97">
      <c r="A97" s="487"/>
      <c r="B97" s="440"/>
      <c r="C97" s="441"/>
    </row>
    <row r="98">
      <c r="A98" s="487"/>
      <c r="B98" s="440"/>
      <c r="C98" s="441"/>
    </row>
    <row r="99">
      <c r="A99" s="487"/>
      <c r="B99" s="440"/>
      <c r="C99" s="441"/>
    </row>
    <row r="100">
      <c r="A100" s="499"/>
      <c r="B100" s="440"/>
      <c r="C100" s="441"/>
    </row>
    <row r="101">
      <c r="A101" s="499"/>
      <c r="B101" s="469"/>
      <c r="C101" s="441"/>
    </row>
    <row r="102">
      <c r="A102" s="488"/>
      <c r="B102" s="473"/>
      <c r="C102" s="441"/>
    </row>
    <row r="103">
      <c r="A103" s="484"/>
      <c r="B103" s="440"/>
      <c r="C103" s="441"/>
    </row>
    <row r="104">
      <c r="A104" s="484"/>
      <c r="B104" s="440"/>
      <c r="C104" s="441"/>
    </row>
    <row r="105">
      <c r="A105" s="484"/>
      <c r="B105" s="440"/>
      <c r="C105" s="441"/>
    </row>
    <row r="106">
      <c r="A106" s="484"/>
      <c r="B106" s="440"/>
      <c r="C106" s="441"/>
    </row>
    <row r="107">
      <c r="A107" s="484"/>
      <c r="B107" s="440"/>
      <c r="C107" s="441"/>
    </row>
    <row r="108">
      <c r="A108" s="484"/>
      <c r="B108" s="440"/>
      <c r="C108" s="441"/>
    </row>
    <row r="109">
      <c r="A109" s="484"/>
      <c r="B109" s="440"/>
      <c r="C109" s="441"/>
    </row>
    <row r="110">
      <c r="A110" s="484"/>
      <c r="B110" s="440"/>
      <c r="C110" s="441"/>
    </row>
    <row r="111">
      <c r="A111" s="484"/>
      <c r="B111" s="440"/>
      <c r="C111" s="441"/>
    </row>
    <row r="112">
      <c r="A112" s="484"/>
      <c r="C112" s="441"/>
    </row>
    <row r="113">
      <c r="A113" s="500" t="s">
        <v>3074</v>
      </c>
      <c r="B113" s="501"/>
      <c r="C113" s="441"/>
    </row>
    <row r="114">
      <c r="A114" s="500" t="s">
        <v>3075</v>
      </c>
      <c r="B114" s="502" t="s">
        <v>3052</v>
      </c>
      <c r="C114" s="441"/>
    </row>
    <row r="115">
      <c r="A115" s="503" t="s">
        <v>39</v>
      </c>
      <c r="B115" s="504">
        <f>COUNTIF('Form Responses 1'!E:E,A115)</f>
        <v>8</v>
      </c>
      <c r="C115" s="441"/>
    </row>
    <row r="116">
      <c r="A116" s="503" t="s">
        <v>52</v>
      </c>
      <c r="B116" s="504">
        <f>COUNTIF('Form Responses 1'!E:E,A116)</f>
        <v>544</v>
      </c>
      <c r="C116" s="441"/>
    </row>
    <row r="117">
      <c r="A117" s="503" t="s">
        <v>79</v>
      </c>
      <c r="B117" s="504">
        <f>COUNTIF('Form Responses 1'!E:E,A117)</f>
        <v>3</v>
      </c>
      <c r="C117" s="441"/>
    </row>
    <row r="118">
      <c r="A118" s="503" t="s">
        <v>40</v>
      </c>
      <c r="B118" s="504">
        <f>COUNTIF('Form Responses 1'!E:E,A118)</f>
        <v>30</v>
      </c>
      <c r="C118" s="441"/>
    </row>
    <row r="119">
      <c r="A119" s="503" t="s">
        <v>138</v>
      </c>
      <c r="B119" s="504">
        <f>COUNTIF('Form Responses 1'!E:E,A119)</f>
        <v>121</v>
      </c>
      <c r="C119" s="441"/>
    </row>
    <row r="120">
      <c r="A120" s="503" t="s">
        <v>149</v>
      </c>
      <c r="B120" s="504">
        <f>COUNTIF('Form Responses 1'!E:E,A120)</f>
        <v>26</v>
      </c>
      <c r="C120" s="441"/>
    </row>
    <row r="121">
      <c r="A121" s="503" t="s">
        <v>196</v>
      </c>
      <c r="B121" s="504">
        <f>COUNTIF('Form Responses 1'!E:E,A121)</f>
        <v>17</v>
      </c>
      <c r="C121" s="441"/>
      <c r="E121" s="505" t="s">
        <v>3092</v>
      </c>
      <c r="F121" s="506"/>
    </row>
    <row r="122">
      <c r="A122" s="503" t="s">
        <v>241</v>
      </c>
      <c r="B122" s="504">
        <f>COUNTIF('Form Responses 1'!E:E,A122)</f>
        <v>5</v>
      </c>
      <c r="C122" s="441"/>
      <c r="E122" s="505" t="s">
        <v>3057</v>
      </c>
      <c r="F122" s="507" t="s">
        <v>3055</v>
      </c>
    </row>
    <row r="123">
      <c r="A123" s="508"/>
      <c r="B123" s="509"/>
      <c r="C123" s="441"/>
      <c r="E123" s="510" t="s">
        <v>262</v>
      </c>
      <c r="F123" s="511">
        <f>COUNTIF('Form Responses 1'!J:J,"*Addiction and Prevention Program Unit*")</f>
        <v>20</v>
      </c>
    </row>
    <row r="124">
      <c r="A124" s="508"/>
      <c r="B124" s="509"/>
      <c r="C124" s="441"/>
      <c r="E124" s="510" t="s">
        <v>194</v>
      </c>
      <c r="F124" s="511">
        <f>COUNTIF('Form Responses 1'!J:J,"*Adult Protective Services and Risk Case Management*")</f>
        <v>27</v>
      </c>
    </row>
    <row r="125">
      <c r="A125" s="500" t="s">
        <v>3076</v>
      </c>
      <c r="B125" s="501"/>
      <c r="C125" s="441"/>
      <c r="E125" s="510" t="s">
        <v>43</v>
      </c>
      <c r="F125" s="511">
        <f>COUNTIF('Form Responses 1'!J:J,"*Aid and Assist*")</f>
        <v>23</v>
      </c>
    </row>
    <row r="126">
      <c r="A126" s="500" t="s">
        <v>3075</v>
      </c>
      <c r="B126" s="502" t="s">
        <v>3055</v>
      </c>
      <c r="C126" s="441"/>
      <c r="E126" s="510" t="s">
        <v>229</v>
      </c>
      <c r="F126" s="511">
        <f>COUNTIF('Form Responses 1'!J:J,"*Behavioral Health Resource Center*")</f>
        <v>16</v>
      </c>
    </row>
    <row r="127">
      <c r="A127" s="503" t="s">
        <v>39</v>
      </c>
      <c r="B127" s="504">
        <f>SUMIF('Form Responses 1'!E:E,A127,'Form Responses 1'!I:I)</f>
        <v>58000</v>
      </c>
      <c r="C127" s="441"/>
      <c r="E127" s="510" t="s">
        <v>121</v>
      </c>
      <c r="F127" s="511">
        <f>COUNTIF('Form Responses 1'!J:J,"*BH Director's Office*")</f>
        <v>15</v>
      </c>
    </row>
    <row r="128">
      <c r="A128" s="503" t="s">
        <v>52</v>
      </c>
      <c r="B128" s="504">
        <f>SUMIF('Form Responses 1'!E:E,A128,'Form Responses 1'!I:I)</f>
        <v>805254.66</v>
      </c>
      <c r="C128" s="441"/>
      <c r="E128" s="510" t="s">
        <v>62</v>
      </c>
      <c r="F128" s="511">
        <f>COUNTIF('Form Responses 1'!J:J,"*Billing Team*")</f>
        <v>15</v>
      </c>
    </row>
    <row r="129">
      <c r="A129" s="503" t="s">
        <v>79</v>
      </c>
      <c r="B129" s="504">
        <f>SUMIF('Form Responses 1'!E:E,A129,'Form Responses 1'!I:I)</f>
        <v>3070</v>
      </c>
      <c r="C129" s="441"/>
      <c r="E129" s="510" t="s">
        <v>244</v>
      </c>
      <c r="F129" s="511">
        <f>COUNTIF('Form Responses 1'!J:J,"*Bridge Treatment Team*")</f>
        <v>12</v>
      </c>
    </row>
    <row r="130">
      <c r="A130" s="503" t="s">
        <v>40</v>
      </c>
      <c r="B130" s="504">
        <f>SUMIF('Form Responses 1'!E:E,A130,'Form Responses 1'!I:I)</f>
        <v>36352.97</v>
      </c>
      <c r="C130" s="441"/>
      <c r="E130" s="510" t="s">
        <v>100</v>
      </c>
      <c r="F130" s="511">
        <f>COUNTIF('Form Responses 1'!J:J,"*Call Center/Crisis Services*")</f>
        <v>142</v>
      </c>
    </row>
    <row r="131">
      <c r="A131" s="503" t="s">
        <v>138</v>
      </c>
      <c r="B131" s="504">
        <f>SUMIF('Form Responses 1'!E:E,A131,'Form Responses 1'!I:I)</f>
        <v>156314.86</v>
      </c>
      <c r="C131" s="441"/>
      <c r="E131" s="510" t="s">
        <v>433</v>
      </c>
      <c r="F131" s="511">
        <f>COUNTIF('Form Responses 1'!J:J,"*Care Coordination Unit*")</f>
        <v>15</v>
      </c>
    </row>
    <row r="132">
      <c r="A132" s="503" t="s">
        <v>149</v>
      </c>
      <c r="B132" s="504">
        <f>SUMIF('Form Responses 1'!E:E,A132,'Form Responses 1'!I:I)</f>
        <v>8320</v>
      </c>
      <c r="C132" s="441"/>
      <c r="E132" s="510" t="s">
        <v>90</v>
      </c>
      <c r="F132" s="511">
        <f>COUNTIF('Form Responses 1'!J:J,"*Choice Model Program*")</f>
        <v>12</v>
      </c>
    </row>
    <row r="133">
      <c r="A133" s="503" t="s">
        <v>196</v>
      </c>
      <c r="B133" s="504">
        <f>SUMIF('Form Responses 1'!E:E,A133,'Form Responses 1'!I:I)</f>
        <v>101020</v>
      </c>
      <c r="C133" s="441"/>
      <c r="E133" s="510" t="s">
        <v>967</v>
      </c>
      <c r="F133" s="511">
        <f>COUNTIF('Form Responses 1'!J:J,"*CMHP - Diversion Courts and Commitment Program Unit*")</f>
        <v>15</v>
      </c>
    </row>
    <row r="134">
      <c r="A134" s="503" t="s">
        <v>241</v>
      </c>
      <c r="B134" s="504">
        <f>SUMIF('Form Responses 1'!E:E,A134,'Form Responses 1'!I:I)</f>
        <v>9599.81</v>
      </c>
      <c r="C134" s="441"/>
      <c r="E134" s="510" t="s">
        <v>118</v>
      </c>
      <c r="F134" s="511">
        <f>COUNTIF('Form Responses 1'!J:J,"*CMHP - Safety Net Services Unit*")</f>
        <v>28</v>
      </c>
    </row>
    <row r="135">
      <c r="A135" s="484"/>
      <c r="B135" s="440"/>
      <c r="C135" s="441"/>
      <c r="E135" s="510" t="s">
        <v>189</v>
      </c>
      <c r="F135" s="511">
        <f>COUNTIF('Form Responses 1'!J:J,"*Direct Clinical Services Unit*")</f>
        <v>60</v>
      </c>
    </row>
    <row r="136">
      <c r="A136" s="484"/>
      <c r="B136" s="440"/>
      <c r="C136" s="441"/>
      <c r="E136" s="510" t="s">
        <v>3067</v>
      </c>
      <c r="F136" s="511">
        <f>COUNTIF('Form Responses 1'!J:J,"*Disaster Management*")</f>
        <v>10</v>
      </c>
    </row>
    <row r="137">
      <c r="A137" s="484"/>
      <c r="B137" s="440"/>
      <c r="C137" s="441"/>
      <c r="E137" s="510" t="s">
        <v>184</v>
      </c>
      <c r="F137" s="511">
        <f>COUNTIF('Form Responses 1'!J:J,"*Early Assessment and Support Alliance (EASA)*")</f>
        <v>42</v>
      </c>
    </row>
    <row r="138">
      <c r="A138" s="484"/>
      <c r="B138" s="440"/>
      <c r="C138" s="441"/>
      <c r="E138" s="510" t="s">
        <v>383</v>
      </c>
      <c r="F138" s="511">
        <f>COUNTIF('Form Responses 1'!J:J,"*Early Childhood Services (EC)*")</f>
        <v>78</v>
      </c>
    </row>
    <row r="139">
      <c r="A139" s="484"/>
      <c r="B139" s="440"/>
      <c r="C139" s="441"/>
      <c r="E139" s="510" t="s">
        <v>223</v>
      </c>
      <c r="F139" s="511">
        <f>COUNTIF('Form Responses 1'!J:J,"*Evolv Administration Team*")</f>
        <v>4</v>
      </c>
    </row>
    <row r="140">
      <c r="A140" s="484"/>
      <c r="B140" s="440"/>
      <c r="C140" s="441"/>
      <c r="E140" s="510" t="s">
        <v>226</v>
      </c>
      <c r="F140" s="511">
        <f>COUNTIF('Form Responses 1'!J:J,"*K-12*")</f>
        <v>16</v>
      </c>
    </row>
    <row r="141">
      <c r="A141" s="484"/>
      <c r="B141" s="440"/>
      <c r="C141" s="441"/>
      <c r="E141" s="510" t="s">
        <v>82</v>
      </c>
      <c r="F141" s="511">
        <f>COUNTIF('Form Responses 1'!J:J,"*Older Adult Behavioral Health Initiative*")</f>
        <v>22</v>
      </c>
    </row>
    <row r="142">
      <c r="A142" s="484"/>
      <c r="B142" s="440"/>
      <c r="C142" s="441"/>
      <c r="E142" s="510" t="s">
        <v>157</v>
      </c>
      <c r="F142" s="511">
        <f>COUNTIF('Form Responses 1'!J:J,"*Preschool for All - (PFA)*")</f>
        <v>35</v>
      </c>
    </row>
    <row r="143">
      <c r="A143" s="484"/>
      <c r="B143" s="440"/>
      <c r="C143" s="441"/>
      <c r="E143" s="510" t="s">
        <v>73</v>
      </c>
      <c r="F143" s="511">
        <f>COUNTIF('Form Responses 1'!J:J,"*Quality Assurance and Compliance Unit*")</f>
        <v>14</v>
      </c>
    </row>
    <row r="144">
      <c r="A144" s="484"/>
      <c r="B144" s="440"/>
      <c r="C144" s="441"/>
      <c r="E144" s="510" t="s">
        <v>128</v>
      </c>
      <c r="F144" s="511">
        <f>COUNTIF('Form Responses 1'!J:J,"*Quality Management Unit*")</f>
        <v>44</v>
      </c>
    </row>
    <row r="145">
      <c r="A145" s="484"/>
      <c r="B145" s="440"/>
      <c r="C145" s="441"/>
      <c r="E145" s="510" t="s">
        <v>336</v>
      </c>
      <c r="F145" s="511">
        <f>COUNTIF('Form Responses 1'!J:J,"*Records Team*")</f>
        <v>15</v>
      </c>
    </row>
    <row r="146">
      <c r="A146" s="484"/>
      <c r="B146" s="440"/>
      <c r="C146" s="441"/>
      <c r="E146" s="510" t="s">
        <v>102</v>
      </c>
      <c r="F146" s="511">
        <f>COUNTIF('Form Responses 1'!J:J,"*School Based Mental Health (SBMH)*")</f>
        <v>144</v>
      </c>
    </row>
    <row r="147">
      <c r="A147" s="484"/>
      <c r="B147" s="440"/>
      <c r="C147" s="441"/>
      <c r="E147" s="512" t="s">
        <v>86</v>
      </c>
      <c r="F147" s="511">
        <f>COUNTIF('Form Responses 1'!J:J,"*Wraparound*")</f>
        <v>34</v>
      </c>
    </row>
    <row r="148">
      <c r="A148" s="484"/>
      <c r="B148" s="440"/>
      <c r="C148" s="441"/>
      <c r="E148" s="510" t="s">
        <v>48</v>
      </c>
      <c r="F148" s="511">
        <f>COUNTIF('Form Responses 1'!J:J,"*Youth Intensive Care Coordination*")</f>
        <v>16</v>
      </c>
    </row>
    <row r="149">
      <c r="A149" s="484"/>
      <c r="B149" s="440"/>
      <c r="C149" s="441"/>
      <c r="E149" s="513"/>
      <c r="F149" s="514"/>
    </row>
    <row r="150">
      <c r="A150" s="484"/>
      <c r="B150" s="440"/>
      <c r="C150" s="441"/>
      <c r="E150" s="505" t="s">
        <v>3093</v>
      </c>
      <c r="F150" s="514"/>
    </row>
    <row r="151">
      <c r="A151" s="484"/>
      <c r="B151" s="440"/>
      <c r="C151" s="441"/>
      <c r="E151" s="505" t="s">
        <v>3057</v>
      </c>
      <c r="F151" s="507" t="s">
        <v>3055</v>
      </c>
    </row>
    <row r="152">
      <c r="A152" s="484"/>
      <c r="B152" s="440"/>
      <c r="C152" s="441"/>
      <c r="E152" s="510" t="s">
        <v>262</v>
      </c>
      <c r="F152" s="511">
        <f>SUMIF('Form Responses 1'!J:J,"*Addiction and Prevention Program Unit*",'Form Responses 1'!I:I)</f>
        <v>52968</v>
      </c>
    </row>
    <row r="153">
      <c r="A153" s="484"/>
      <c r="B153" s="440"/>
      <c r="C153" s="441"/>
      <c r="E153" s="510" t="s">
        <v>194</v>
      </c>
      <c r="F153" s="511">
        <f>SUMIF('Form Responses 1'!J:J,"*Adult Protective Services and Risk Case Management*",'Form Responses 1'!I:I)</f>
        <v>164733.99</v>
      </c>
    </row>
    <row r="154">
      <c r="A154" s="484"/>
      <c r="B154" s="440"/>
      <c r="C154" s="441"/>
      <c r="E154" s="510" t="s">
        <v>43</v>
      </c>
      <c r="F154" s="511">
        <f>SUMIF('Form Responses 1'!J:J,"*Aid and Assist*",'Form Responses 1'!I:I)</f>
        <v>58815.35</v>
      </c>
    </row>
    <row r="155">
      <c r="A155" s="484"/>
      <c r="B155" s="440"/>
      <c r="C155" s="441"/>
      <c r="E155" s="510" t="s">
        <v>229</v>
      </c>
      <c r="F155" s="511">
        <f>SUMIF('Form Responses 1'!J:J,"*Behavioral Health Resource Center*",'Form Responses 1'!I:I)</f>
        <v>45308</v>
      </c>
    </row>
    <row r="156">
      <c r="A156" s="484"/>
      <c r="B156" s="440"/>
      <c r="C156" s="441"/>
      <c r="E156" s="510" t="s">
        <v>121</v>
      </c>
      <c r="F156" s="511">
        <f>SUMIF('Form Responses 1'!J:J,"*BH Director's Office*",'Form Responses 1'!I:I)</f>
        <v>53445</v>
      </c>
    </row>
    <row r="157">
      <c r="A157" s="484"/>
      <c r="B157" s="440"/>
      <c r="C157" s="441"/>
      <c r="E157" s="510" t="s">
        <v>62</v>
      </c>
      <c r="F157" s="511">
        <f>SUMIF('Form Responses 1'!J:J,"*Billing Team*",'Form Responses 1'!I:I)</f>
        <v>43896.48</v>
      </c>
    </row>
    <row r="158">
      <c r="A158" s="484"/>
      <c r="B158" s="440"/>
      <c r="C158" s="441"/>
      <c r="E158" s="510" t="s">
        <v>244</v>
      </c>
      <c r="F158" s="511">
        <f>SUMIF('Form Responses 1'!J:J,"*Bridge Treatment Team*",'Form Responses 1'!I:I)</f>
        <v>24294.99</v>
      </c>
    </row>
    <row r="159">
      <c r="A159" s="484"/>
      <c r="B159" s="440"/>
      <c r="C159" s="441"/>
      <c r="E159" s="510" t="s">
        <v>100</v>
      </c>
      <c r="F159" s="511">
        <f>SUMIF('Form Responses 1'!J:J,"*Bridge Treatment Team*",'Form Responses 1'!I:I)</f>
        <v>24294.99</v>
      </c>
    </row>
    <row r="160">
      <c r="A160" s="484"/>
      <c r="B160" s="440"/>
      <c r="C160" s="441"/>
      <c r="E160" s="510" t="s">
        <v>433</v>
      </c>
      <c r="F160" s="511">
        <f>SUMIF('Form Responses 1'!J:J,"*Care Coordination Unit*",'Form Responses 1'!I:I)</f>
        <v>33568</v>
      </c>
    </row>
    <row r="161">
      <c r="A161" s="484"/>
      <c r="B161" s="440"/>
      <c r="C161" s="441"/>
      <c r="E161" s="510" t="s">
        <v>90</v>
      </c>
      <c r="F161" s="511">
        <f>SUMIF('Form Responses 1'!J:J,"*Choice Model Program*",'Form Responses 1'!I:I)</f>
        <v>39899.99</v>
      </c>
    </row>
    <row r="162">
      <c r="A162" s="484"/>
      <c r="B162" s="440"/>
      <c r="C162" s="441"/>
      <c r="E162" s="510" t="s">
        <v>967</v>
      </c>
      <c r="F162" s="511">
        <f>SUMIF('Form Responses 1'!J:J,"**",'Form Responses 1'!I:I)</f>
        <v>1464685.92</v>
      </c>
    </row>
    <row r="163">
      <c r="A163" s="484"/>
      <c r="B163" s="440"/>
      <c r="C163" s="441"/>
      <c r="E163" s="510" t="s">
        <v>118</v>
      </c>
      <c r="F163" s="511">
        <f>SUMIF('Form Responses 1'!J:J,"*CMHP - Safety Net Services Unit*",'Form Responses 1'!I:I)</f>
        <v>67758.99</v>
      </c>
    </row>
    <row r="164">
      <c r="A164" s="484"/>
      <c r="B164" s="440"/>
      <c r="C164" s="441"/>
      <c r="E164" s="510" t="s">
        <v>189</v>
      </c>
      <c r="F164" s="511">
        <f>SUMIF('Form Responses 1'!J:J,"*Direct Clinical Services Unit*",'Form Responses 1'!I:I)</f>
        <v>303271.88</v>
      </c>
    </row>
    <row r="165">
      <c r="A165" s="484"/>
      <c r="B165" s="440"/>
      <c r="C165" s="441"/>
      <c r="E165" s="510" t="s">
        <v>3067</v>
      </c>
      <c r="F165" s="511">
        <f>SUMIF('Form Responses 1'!J:J,"*Disaster Management*",'Form Responses 1'!I:I)</f>
        <v>20523</v>
      </c>
    </row>
    <row r="166">
      <c r="A166" s="484"/>
      <c r="B166" s="440"/>
      <c r="C166" s="441"/>
      <c r="E166" s="510" t="s">
        <v>184</v>
      </c>
      <c r="F166" s="511">
        <f>SUMIF('Form Responses 1'!J:J,"*Early Assessment and Support Alliance (EASA)*",'Form Responses 1'!I:I)</f>
        <v>32282.97</v>
      </c>
    </row>
    <row r="167">
      <c r="A167" s="484"/>
      <c r="B167" s="440"/>
      <c r="C167" s="441"/>
      <c r="E167" s="510" t="s">
        <v>383</v>
      </c>
      <c r="F167" s="511">
        <f>SUMIF('Form Responses 1'!J:J,"*Early Childhood Services (EC)*",'Form Responses 1'!I:I)</f>
        <v>103890.06</v>
      </c>
    </row>
    <row r="168">
      <c r="A168" s="484"/>
      <c r="B168" s="440"/>
      <c r="C168" s="441"/>
      <c r="E168" s="510" t="s">
        <v>223</v>
      </c>
      <c r="F168" s="511">
        <f>SUMIF('Form Responses 1'!J:J,"*Evolv Administration Team*",'Form Responses 1'!I:I)</f>
        <v>14254</v>
      </c>
    </row>
    <row r="169">
      <c r="A169" s="484"/>
      <c r="B169" s="440"/>
      <c r="C169" s="441"/>
      <c r="E169" s="510" t="s">
        <v>226</v>
      </c>
      <c r="F169" s="511">
        <f>SUMIF('Form Responses 1'!J:J,"*K-12*",'Form Responses 1'!I:I)</f>
        <v>25388</v>
      </c>
    </row>
    <row r="170">
      <c r="A170" s="484"/>
      <c r="B170" s="440"/>
      <c r="C170" s="441"/>
      <c r="E170" s="510" t="s">
        <v>82</v>
      </c>
      <c r="F170" s="511">
        <f>SUMIF('Form Responses 1'!J:J,"*Older Adult Behavioral Health Initiative*",'Form Responses 1'!I:I)</f>
        <v>98613.23</v>
      </c>
    </row>
    <row r="171">
      <c r="A171" s="484"/>
      <c r="B171" s="440"/>
      <c r="C171" s="441"/>
      <c r="E171" s="510" t="s">
        <v>157</v>
      </c>
      <c r="F171" s="511">
        <f>SUMIF('Form Responses 1'!J:J,"*Preschool for All - (PFA)*",'Form Responses 1'!I:I)</f>
        <v>57970</v>
      </c>
    </row>
    <row r="172">
      <c r="A172" s="484"/>
      <c r="B172" s="440"/>
      <c r="C172" s="441"/>
      <c r="E172" s="510" t="s">
        <v>73</v>
      </c>
      <c r="F172" s="511">
        <f>SUMIF('Form Responses 1'!J:J,"**",'Form Responses 1'!I:I)</f>
        <v>1464685.92</v>
      </c>
    </row>
    <row r="173">
      <c r="A173" s="484"/>
      <c r="B173" s="440"/>
      <c r="C173" s="441"/>
      <c r="E173" s="510" t="s">
        <v>128</v>
      </c>
      <c r="F173" s="511">
        <f>SUMIF('Form Responses 1'!J:J,"*Quality Management Unit*",'Form Responses 1'!I:I)</f>
        <v>191940.95</v>
      </c>
    </row>
    <row r="174">
      <c r="A174" s="484"/>
      <c r="B174" s="440"/>
      <c r="C174" s="441"/>
      <c r="E174" s="510" t="s">
        <v>336</v>
      </c>
      <c r="F174" s="511">
        <f>SUMIF('Form Responses 1'!J:J,"*Records Team*",'Form Responses 1'!I:I)</f>
        <v>52962.85</v>
      </c>
    </row>
    <row r="175">
      <c r="A175" s="484"/>
      <c r="B175" s="440"/>
      <c r="C175" s="441"/>
      <c r="E175" s="510" t="s">
        <v>102</v>
      </c>
      <c r="F175" s="511">
        <f>SUMIF('Form Responses 1'!J:J,"*School Based Mental Health (SBMH)*",'Form Responses 1'!I:I)</f>
        <v>138861</v>
      </c>
    </row>
    <row r="176">
      <c r="A176" s="484"/>
      <c r="B176" s="440"/>
      <c r="C176" s="441"/>
      <c r="E176" s="512" t="s">
        <v>86</v>
      </c>
      <c r="F176" s="511">
        <f>SUMIF('Form Responses 1'!J:J,"*Wraparound*",'Form Responses 1'!I:I)</f>
        <v>35988</v>
      </c>
    </row>
    <row r="177">
      <c r="A177" s="484"/>
      <c r="B177" s="440"/>
      <c r="C177" s="441"/>
      <c r="E177" s="510" t="s">
        <v>48</v>
      </c>
      <c r="F177" s="511">
        <f>SUMIF('Form Responses 1'!J:J,"*Youth Intensive Care Coordination*",'Form Responses 1'!I:I)</f>
        <v>45617</v>
      </c>
    </row>
    <row r="178">
      <c r="A178" s="484"/>
      <c r="B178" s="440"/>
      <c r="C178" s="441"/>
    </row>
    <row r="179">
      <c r="A179" s="484"/>
      <c r="B179" s="440"/>
      <c r="C179" s="441"/>
    </row>
    <row r="180">
      <c r="A180" s="484"/>
      <c r="B180" s="440"/>
      <c r="C180" s="441"/>
    </row>
    <row r="181">
      <c r="A181" s="484"/>
      <c r="B181" s="440"/>
      <c r="C181" s="441"/>
    </row>
    <row r="182">
      <c r="A182" s="484"/>
      <c r="B182" s="440"/>
      <c r="C182" s="441"/>
    </row>
    <row r="183">
      <c r="A183" s="484"/>
      <c r="B183" s="440"/>
      <c r="C183" s="441"/>
    </row>
    <row r="184">
      <c r="A184" s="484"/>
      <c r="B184" s="440"/>
      <c r="C184" s="441"/>
    </row>
    <row r="185">
      <c r="A185" s="484"/>
      <c r="B185" s="440"/>
      <c r="C185" s="441"/>
    </row>
    <row r="186">
      <c r="A186" s="484"/>
      <c r="B186" s="440"/>
      <c r="C186" s="441"/>
    </row>
    <row r="187">
      <c r="A187" s="484"/>
      <c r="B187" s="440"/>
      <c r="C187" s="441"/>
    </row>
    <row r="188">
      <c r="A188" s="484"/>
      <c r="B188" s="440"/>
      <c r="C188" s="441"/>
    </row>
    <row r="189">
      <c r="A189" s="484"/>
      <c r="B189" s="440"/>
      <c r="C189" s="441"/>
    </row>
    <row r="190">
      <c r="A190" s="484"/>
      <c r="B190" s="440"/>
      <c r="C190" s="441"/>
    </row>
    <row r="191">
      <c r="A191" s="484"/>
      <c r="B191" s="440"/>
      <c r="C191" s="441"/>
    </row>
    <row r="192">
      <c r="A192" s="484"/>
      <c r="B192" s="440"/>
      <c r="C192" s="441"/>
    </row>
    <row r="193">
      <c r="A193" s="484"/>
      <c r="B193" s="440"/>
      <c r="C193" s="441"/>
    </row>
    <row r="194">
      <c r="A194" s="484"/>
      <c r="B194" s="440"/>
      <c r="C194" s="441"/>
    </row>
    <row r="195">
      <c r="A195" s="484"/>
      <c r="B195" s="440"/>
      <c r="C195" s="441"/>
    </row>
    <row r="196">
      <c r="A196" s="484"/>
      <c r="B196" s="440"/>
      <c r="C196" s="441"/>
    </row>
    <row r="197">
      <c r="A197" s="484"/>
      <c r="B197" s="440"/>
      <c r="C197" s="441"/>
    </row>
    <row r="198">
      <c r="A198" s="484"/>
      <c r="B198" s="440"/>
      <c r="C198" s="441"/>
    </row>
    <row r="199">
      <c r="A199" s="484"/>
      <c r="B199" s="440"/>
      <c r="C199" s="441"/>
    </row>
    <row r="200">
      <c r="A200" s="484"/>
      <c r="B200" s="440"/>
      <c r="C200" s="441"/>
    </row>
    <row r="201">
      <c r="A201" s="484"/>
      <c r="B201" s="440"/>
      <c r="C201" s="441"/>
    </row>
    <row r="202">
      <c r="A202" s="484"/>
      <c r="B202" s="440"/>
      <c r="C202" s="441"/>
    </row>
    <row r="203">
      <c r="A203" s="484"/>
      <c r="B203" s="440"/>
      <c r="C203" s="441"/>
    </row>
    <row r="204">
      <c r="A204" s="484"/>
      <c r="B204" s="440"/>
      <c r="C204" s="441"/>
    </row>
    <row r="205">
      <c r="A205" s="484"/>
      <c r="B205" s="440"/>
      <c r="C205" s="441"/>
    </row>
    <row r="206">
      <c r="A206" s="484"/>
      <c r="B206" s="440"/>
      <c r="C206" s="441"/>
    </row>
    <row r="207">
      <c r="A207" s="484"/>
      <c r="B207" s="440"/>
      <c r="C207" s="441"/>
    </row>
    <row r="208">
      <c r="A208" s="484"/>
      <c r="B208" s="440"/>
      <c r="C208" s="441"/>
    </row>
    <row r="209">
      <c r="A209" s="484"/>
      <c r="B209" s="440"/>
      <c r="C209" s="441"/>
    </row>
    <row r="210">
      <c r="A210" s="484"/>
      <c r="B210" s="440"/>
      <c r="C210" s="441"/>
    </row>
    <row r="211">
      <c r="A211" s="484"/>
      <c r="B211" s="440"/>
      <c r="C211" s="441"/>
    </row>
    <row r="212">
      <c r="A212" s="484"/>
      <c r="B212" s="440"/>
      <c r="C212" s="441"/>
    </row>
    <row r="213">
      <c r="A213" s="484"/>
      <c r="B213" s="440"/>
      <c r="C213" s="441"/>
    </row>
    <row r="214">
      <c r="A214" s="484"/>
      <c r="B214" s="440"/>
      <c r="C214" s="441"/>
    </row>
    <row r="215">
      <c r="A215" s="484"/>
      <c r="B215" s="440"/>
      <c r="C215" s="441"/>
    </row>
    <row r="216">
      <c r="A216" s="484"/>
      <c r="B216" s="440"/>
      <c r="C216" s="441"/>
    </row>
    <row r="217">
      <c r="A217" s="484"/>
      <c r="B217" s="440"/>
      <c r="C217" s="441"/>
    </row>
    <row r="218">
      <c r="A218" s="484"/>
      <c r="B218" s="440"/>
      <c r="C218" s="441"/>
    </row>
    <row r="219">
      <c r="A219" s="484"/>
      <c r="B219" s="440"/>
      <c r="C219" s="441"/>
    </row>
    <row r="220">
      <c r="A220" s="484"/>
      <c r="B220" s="440"/>
      <c r="C220" s="441"/>
    </row>
    <row r="221">
      <c r="A221" s="484"/>
      <c r="B221" s="440"/>
      <c r="C221" s="441"/>
    </row>
    <row r="222">
      <c r="A222" s="484"/>
      <c r="B222" s="440"/>
      <c r="C222" s="441"/>
    </row>
    <row r="223">
      <c r="A223" s="484"/>
      <c r="B223" s="440"/>
      <c r="C223" s="441"/>
    </row>
    <row r="224">
      <c r="A224" s="484"/>
      <c r="B224" s="440"/>
      <c r="C224" s="441"/>
    </row>
    <row r="225">
      <c r="A225" s="484"/>
      <c r="B225" s="440"/>
      <c r="C225" s="441"/>
    </row>
    <row r="226">
      <c r="A226" s="484"/>
      <c r="B226" s="440"/>
      <c r="C226" s="441"/>
    </row>
    <row r="227">
      <c r="A227" s="484"/>
      <c r="B227" s="440"/>
      <c r="C227" s="441"/>
    </row>
    <row r="228">
      <c r="A228" s="484"/>
      <c r="B228" s="440"/>
      <c r="C228" s="441"/>
    </row>
    <row r="229">
      <c r="A229" s="484"/>
      <c r="B229" s="440"/>
      <c r="C229" s="441"/>
    </row>
    <row r="230">
      <c r="A230" s="484"/>
      <c r="B230" s="440"/>
      <c r="C230" s="441"/>
    </row>
    <row r="231">
      <c r="A231" s="484"/>
      <c r="B231" s="440"/>
      <c r="C231" s="441"/>
    </row>
    <row r="232">
      <c r="A232" s="484"/>
      <c r="B232" s="440"/>
      <c r="C232" s="441"/>
    </row>
    <row r="233">
      <c r="A233" s="484"/>
      <c r="B233" s="440"/>
      <c r="C233" s="441"/>
    </row>
    <row r="234">
      <c r="A234" s="484"/>
      <c r="B234" s="440"/>
      <c r="C234" s="441"/>
    </row>
    <row r="235">
      <c r="A235" s="484"/>
      <c r="B235" s="440"/>
      <c r="C235" s="441"/>
    </row>
    <row r="236">
      <c r="A236" s="484"/>
      <c r="B236" s="440"/>
      <c r="C236" s="441"/>
    </row>
    <row r="237">
      <c r="A237" s="484"/>
      <c r="B237" s="440"/>
      <c r="C237" s="441"/>
    </row>
    <row r="238">
      <c r="A238" s="484"/>
      <c r="B238" s="440"/>
      <c r="C238" s="441"/>
    </row>
    <row r="239">
      <c r="A239" s="484"/>
      <c r="B239" s="440"/>
      <c r="C239" s="441"/>
    </row>
    <row r="240">
      <c r="A240" s="484"/>
      <c r="B240" s="440"/>
      <c r="C240" s="441"/>
    </row>
    <row r="241">
      <c r="A241" s="484"/>
      <c r="B241" s="440"/>
      <c r="C241" s="441"/>
    </row>
    <row r="242">
      <c r="A242" s="484"/>
      <c r="B242" s="440"/>
      <c r="C242" s="441"/>
    </row>
    <row r="243">
      <c r="A243" s="484"/>
      <c r="B243" s="440"/>
      <c r="C243" s="441"/>
    </row>
    <row r="244">
      <c r="A244" s="484"/>
      <c r="B244" s="440"/>
      <c r="C244" s="441"/>
    </row>
    <row r="245">
      <c r="A245" s="484"/>
      <c r="B245" s="440"/>
      <c r="C245" s="441"/>
    </row>
    <row r="246">
      <c r="A246" s="484"/>
      <c r="B246" s="440"/>
      <c r="C246" s="441"/>
    </row>
    <row r="247">
      <c r="A247" s="484"/>
      <c r="B247" s="440"/>
      <c r="C247" s="441"/>
    </row>
    <row r="248">
      <c r="A248" s="484"/>
      <c r="B248" s="440"/>
      <c r="C248" s="441"/>
    </row>
    <row r="249">
      <c r="A249" s="484"/>
      <c r="B249" s="440"/>
      <c r="C249" s="441"/>
    </row>
    <row r="250">
      <c r="A250" s="484"/>
      <c r="B250" s="440"/>
      <c r="C250" s="441"/>
    </row>
    <row r="251">
      <c r="A251" s="484"/>
      <c r="B251" s="440"/>
      <c r="C251" s="441"/>
    </row>
    <row r="252">
      <c r="A252" s="484"/>
      <c r="B252" s="440"/>
      <c r="C252" s="441"/>
    </row>
    <row r="253">
      <c r="A253" s="484"/>
      <c r="B253" s="440"/>
      <c r="C253" s="441"/>
    </row>
    <row r="254">
      <c r="A254" s="484"/>
      <c r="B254" s="440"/>
      <c r="C254" s="441"/>
    </row>
    <row r="255">
      <c r="A255" s="484"/>
      <c r="B255" s="440"/>
      <c r="C255" s="441"/>
    </row>
    <row r="256">
      <c r="A256" s="484"/>
      <c r="B256" s="440"/>
      <c r="C256" s="441"/>
    </row>
    <row r="257">
      <c r="A257" s="484"/>
      <c r="B257" s="440"/>
      <c r="C257" s="441"/>
    </row>
    <row r="258">
      <c r="A258" s="484"/>
      <c r="B258" s="440"/>
      <c r="C258" s="441"/>
    </row>
    <row r="259">
      <c r="A259" s="484"/>
      <c r="B259" s="440"/>
      <c r="C259" s="441"/>
    </row>
    <row r="260">
      <c r="A260" s="484"/>
      <c r="B260" s="440"/>
      <c r="C260" s="441"/>
    </row>
    <row r="261">
      <c r="A261" s="484"/>
      <c r="B261" s="440"/>
      <c r="C261" s="441"/>
    </row>
    <row r="262">
      <c r="A262" s="484"/>
      <c r="B262" s="440"/>
      <c r="C262" s="441"/>
    </row>
    <row r="263">
      <c r="A263" s="484"/>
      <c r="B263" s="440"/>
      <c r="C263" s="441"/>
    </row>
    <row r="264">
      <c r="A264" s="484"/>
      <c r="B264" s="440"/>
      <c r="C264" s="441"/>
    </row>
    <row r="265">
      <c r="A265" s="484"/>
      <c r="B265" s="440"/>
      <c r="C265" s="441"/>
    </row>
    <row r="266">
      <c r="A266" s="484"/>
      <c r="B266" s="440"/>
      <c r="C266" s="441"/>
    </row>
    <row r="267">
      <c r="A267" s="484"/>
      <c r="B267" s="440"/>
      <c r="C267" s="441"/>
    </row>
    <row r="268">
      <c r="A268" s="484"/>
      <c r="B268" s="440"/>
      <c r="C268" s="441"/>
    </row>
    <row r="269">
      <c r="A269" s="484"/>
      <c r="B269" s="440"/>
      <c r="C269" s="441"/>
    </row>
    <row r="270">
      <c r="A270" s="484"/>
      <c r="B270" s="440"/>
      <c r="C270" s="441"/>
    </row>
    <row r="271">
      <c r="A271" s="484"/>
      <c r="B271" s="440"/>
      <c r="C271" s="441"/>
    </row>
    <row r="272">
      <c r="A272" s="484"/>
      <c r="B272" s="440"/>
      <c r="C272" s="441"/>
    </row>
    <row r="273">
      <c r="A273" s="484"/>
      <c r="B273" s="440"/>
      <c r="C273" s="441"/>
    </row>
    <row r="274">
      <c r="A274" s="484"/>
      <c r="B274" s="440"/>
      <c r="C274" s="441"/>
    </row>
    <row r="275">
      <c r="A275" s="484"/>
      <c r="B275" s="440"/>
      <c r="C275" s="441"/>
    </row>
    <row r="276">
      <c r="A276" s="484"/>
      <c r="B276" s="440"/>
      <c r="C276" s="441"/>
    </row>
    <row r="277">
      <c r="A277" s="484"/>
      <c r="B277" s="440"/>
      <c r="C277" s="441"/>
    </row>
    <row r="278">
      <c r="A278" s="484"/>
      <c r="B278" s="440"/>
      <c r="C278" s="441"/>
    </row>
    <row r="279">
      <c r="A279" s="484"/>
      <c r="B279" s="440"/>
      <c r="C279" s="441"/>
    </row>
    <row r="280">
      <c r="A280" s="484"/>
      <c r="B280" s="440"/>
      <c r="C280" s="441"/>
    </row>
    <row r="281">
      <c r="A281" s="484"/>
      <c r="B281" s="440"/>
      <c r="C281" s="441"/>
    </row>
    <row r="282">
      <c r="A282" s="484"/>
      <c r="B282" s="440"/>
      <c r="C282" s="441"/>
    </row>
    <row r="283">
      <c r="A283" s="484"/>
      <c r="B283" s="440"/>
      <c r="C283" s="441"/>
    </row>
    <row r="284">
      <c r="A284" s="484"/>
      <c r="B284" s="440"/>
      <c r="C284" s="441"/>
    </row>
    <row r="285">
      <c r="A285" s="484"/>
      <c r="B285" s="440"/>
      <c r="C285" s="441"/>
    </row>
    <row r="286">
      <c r="A286" s="484"/>
      <c r="B286" s="440"/>
      <c r="C286" s="441"/>
    </row>
    <row r="287">
      <c r="A287" s="484"/>
      <c r="B287" s="440"/>
      <c r="C287" s="441"/>
    </row>
    <row r="288">
      <c r="A288" s="484"/>
      <c r="B288" s="440"/>
      <c r="C288" s="441"/>
    </row>
    <row r="289">
      <c r="A289" s="484"/>
      <c r="B289" s="440"/>
      <c r="C289" s="441"/>
    </row>
    <row r="290">
      <c r="A290" s="484"/>
      <c r="B290" s="440"/>
      <c r="C290" s="441"/>
    </row>
    <row r="291">
      <c r="A291" s="484"/>
      <c r="B291" s="440"/>
      <c r="C291" s="441"/>
    </row>
    <row r="292">
      <c r="A292" s="484"/>
      <c r="B292" s="440"/>
      <c r="C292" s="441"/>
    </row>
    <row r="293">
      <c r="A293" s="484"/>
      <c r="B293" s="440"/>
      <c r="C293" s="441"/>
    </row>
    <row r="294">
      <c r="A294" s="484"/>
      <c r="B294" s="440"/>
      <c r="C294" s="441"/>
    </row>
    <row r="295">
      <c r="A295" s="484"/>
      <c r="B295" s="440"/>
      <c r="C295" s="441"/>
    </row>
    <row r="296">
      <c r="A296" s="484"/>
      <c r="B296" s="440"/>
      <c r="C296" s="441"/>
    </row>
    <row r="297">
      <c r="A297" s="484"/>
      <c r="B297" s="440"/>
      <c r="C297" s="441"/>
    </row>
    <row r="298">
      <c r="A298" s="484"/>
      <c r="B298" s="440"/>
      <c r="C298" s="441"/>
    </row>
    <row r="299">
      <c r="A299" s="484"/>
      <c r="B299" s="440"/>
      <c r="C299" s="441"/>
    </row>
    <row r="300">
      <c r="A300" s="484"/>
      <c r="B300" s="440"/>
      <c r="C300" s="441"/>
    </row>
    <row r="301">
      <c r="A301" s="484"/>
      <c r="B301" s="440"/>
      <c r="C301" s="441"/>
    </row>
    <row r="302">
      <c r="A302" s="484"/>
      <c r="B302" s="440"/>
      <c r="C302" s="441"/>
    </row>
    <row r="303">
      <c r="A303" s="484"/>
      <c r="B303" s="440"/>
      <c r="C303" s="441"/>
    </row>
    <row r="304">
      <c r="A304" s="484"/>
      <c r="B304" s="440"/>
      <c r="C304" s="441"/>
    </row>
    <row r="305">
      <c r="A305" s="484"/>
      <c r="B305" s="440"/>
      <c r="C305" s="441"/>
    </row>
    <row r="306">
      <c r="A306" s="484"/>
      <c r="B306" s="440"/>
      <c r="C306" s="441"/>
    </row>
    <row r="307">
      <c r="A307" s="484"/>
      <c r="B307" s="440"/>
      <c r="C307" s="441"/>
    </row>
    <row r="308">
      <c r="A308" s="484"/>
      <c r="B308" s="440"/>
      <c r="C308" s="441"/>
    </row>
    <row r="309">
      <c r="A309" s="484"/>
      <c r="B309" s="440"/>
      <c r="C309" s="441"/>
    </row>
    <row r="310">
      <c r="A310" s="484"/>
      <c r="B310" s="440"/>
      <c r="C310" s="441"/>
    </row>
    <row r="311">
      <c r="A311" s="484"/>
      <c r="B311" s="440"/>
      <c r="C311" s="441"/>
    </row>
    <row r="312">
      <c r="A312" s="484"/>
      <c r="B312" s="440"/>
      <c r="C312" s="441"/>
    </row>
    <row r="313">
      <c r="A313" s="484"/>
      <c r="B313" s="440"/>
      <c r="C313" s="441"/>
    </row>
    <row r="314">
      <c r="A314" s="484"/>
      <c r="B314" s="440"/>
      <c r="C314" s="441"/>
    </row>
    <row r="315">
      <c r="A315" s="484"/>
      <c r="B315" s="440"/>
      <c r="C315" s="441"/>
    </row>
    <row r="316">
      <c r="A316" s="484"/>
      <c r="B316" s="440"/>
      <c r="C316" s="441"/>
    </row>
    <row r="317">
      <c r="A317" s="484"/>
      <c r="B317" s="440"/>
      <c r="C317" s="441"/>
    </row>
    <row r="318">
      <c r="A318" s="484"/>
      <c r="B318" s="440"/>
      <c r="C318" s="441"/>
    </row>
    <row r="319">
      <c r="A319" s="484"/>
      <c r="B319" s="440"/>
      <c r="C319" s="441"/>
    </row>
    <row r="320">
      <c r="A320" s="484"/>
      <c r="B320" s="440"/>
      <c r="C320" s="441"/>
    </row>
    <row r="321">
      <c r="A321" s="484"/>
      <c r="B321" s="440"/>
      <c r="C321" s="441"/>
    </row>
    <row r="322">
      <c r="A322" s="484"/>
      <c r="B322" s="440"/>
      <c r="C322" s="441"/>
    </row>
    <row r="323">
      <c r="A323" s="484"/>
      <c r="B323" s="440"/>
      <c r="C323" s="441"/>
    </row>
    <row r="324">
      <c r="A324" s="484"/>
      <c r="B324" s="440"/>
      <c r="C324" s="441"/>
    </row>
    <row r="325">
      <c r="A325" s="484"/>
      <c r="B325" s="440"/>
      <c r="C325" s="441"/>
    </row>
    <row r="326">
      <c r="A326" s="484"/>
      <c r="B326" s="440"/>
      <c r="C326" s="441"/>
    </row>
    <row r="327">
      <c r="A327" s="484"/>
      <c r="B327" s="440"/>
      <c r="C327" s="441"/>
    </row>
    <row r="328">
      <c r="A328" s="484"/>
      <c r="B328" s="440"/>
      <c r="C328" s="441"/>
    </row>
    <row r="329">
      <c r="A329" s="484"/>
      <c r="B329" s="440"/>
      <c r="C329" s="441"/>
    </row>
    <row r="330">
      <c r="A330" s="484"/>
      <c r="B330" s="440"/>
      <c r="C330" s="441"/>
    </row>
    <row r="331">
      <c r="A331" s="484"/>
      <c r="B331" s="440"/>
      <c r="C331" s="441"/>
    </row>
    <row r="332">
      <c r="A332" s="484"/>
      <c r="B332" s="440"/>
      <c r="C332" s="441"/>
    </row>
    <row r="333">
      <c r="A333" s="484"/>
      <c r="B333" s="440"/>
      <c r="C333" s="441"/>
    </row>
    <row r="334">
      <c r="A334" s="484"/>
      <c r="B334" s="440"/>
      <c r="C334" s="441"/>
    </row>
    <row r="335">
      <c r="A335" s="484"/>
      <c r="B335" s="440"/>
      <c r="C335" s="441"/>
    </row>
    <row r="336">
      <c r="A336" s="484"/>
      <c r="B336" s="440"/>
      <c r="C336" s="441"/>
    </row>
    <row r="337">
      <c r="A337" s="484"/>
      <c r="B337" s="440"/>
      <c r="C337" s="441"/>
    </row>
    <row r="338">
      <c r="A338" s="484"/>
      <c r="B338" s="440"/>
      <c r="C338" s="441"/>
    </row>
    <row r="339">
      <c r="A339" s="484"/>
      <c r="B339" s="440"/>
      <c r="C339" s="441"/>
    </row>
    <row r="340">
      <c r="A340" s="484"/>
      <c r="B340" s="440"/>
      <c r="C340" s="441"/>
    </row>
    <row r="341">
      <c r="A341" s="484"/>
      <c r="B341" s="440"/>
      <c r="C341" s="441"/>
    </row>
    <row r="342">
      <c r="A342" s="484"/>
      <c r="B342" s="440"/>
      <c r="C342" s="441"/>
    </row>
    <row r="343">
      <c r="A343" s="484"/>
      <c r="B343" s="440"/>
      <c r="C343" s="441"/>
    </row>
    <row r="344">
      <c r="A344" s="484"/>
      <c r="B344" s="440"/>
      <c r="C344" s="441"/>
    </row>
    <row r="345">
      <c r="A345" s="484"/>
      <c r="B345" s="440"/>
      <c r="C345" s="441"/>
    </row>
    <row r="346">
      <c r="A346" s="484"/>
      <c r="B346" s="440"/>
      <c r="C346" s="441"/>
    </row>
    <row r="347">
      <c r="A347" s="484"/>
      <c r="B347" s="440"/>
      <c r="C347" s="441"/>
    </row>
    <row r="348">
      <c r="A348" s="484"/>
      <c r="B348" s="440"/>
      <c r="C348" s="441"/>
    </row>
    <row r="349">
      <c r="A349" s="484"/>
      <c r="B349" s="440"/>
      <c r="C349" s="441"/>
    </row>
    <row r="350">
      <c r="A350" s="484"/>
      <c r="B350" s="440"/>
      <c r="C350" s="441"/>
    </row>
    <row r="351">
      <c r="A351" s="484"/>
      <c r="B351" s="440"/>
      <c r="C351" s="441"/>
    </row>
    <row r="352">
      <c r="A352" s="484"/>
      <c r="B352" s="440"/>
      <c r="C352" s="441"/>
    </row>
    <row r="353">
      <c r="A353" s="484"/>
      <c r="B353" s="440"/>
      <c r="C353" s="441"/>
    </row>
    <row r="354">
      <c r="A354" s="484"/>
      <c r="B354" s="440"/>
      <c r="C354" s="441"/>
    </row>
    <row r="355">
      <c r="A355" s="484"/>
      <c r="B355" s="440"/>
      <c r="C355" s="441"/>
    </row>
    <row r="356">
      <c r="A356" s="484"/>
      <c r="B356" s="440"/>
      <c r="C356" s="441"/>
    </row>
    <row r="357">
      <c r="A357" s="484"/>
      <c r="B357" s="440"/>
      <c r="C357" s="441"/>
    </row>
    <row r="358">
      <c r="A358" s="484"/>
      <c r="B358" s="440"/>
      <c r="C358" s="441"/>
    </row>
    <row r="359">
      <c r="A359" s="484"/>
      <c r="B359" s="440"/>
      <c r="C359" s="441"/>
    </row>
    <row r="360">
      <c r="A360" s="484"/>
      <c r="B360" s="440"/>
      <c r="C360" s="441"/>
    </row>
    <row r="361">
      <c r="A361" s="484"/>
      <c r="B361" s="440"/>
      <c r="C361" s="441"/>
    </row>
    <row r="362">
      <c r="A362" s="484"/>
      <c r="B362" s="440"/>
      <c r="C362" s="441"/>
    </row>
    <row r="363">
      <c r="A363" s="484"/>
      <c r="B363" s="440"/>
      <c r="C363" s="441"/>
    </row>
    <row r="364">
      <c r="A364" s="484"/>
      <c r="B364" s="440"/>
      <c r="C364" s="441"/>
    </row>
    <row r="365">
      <c r="A365" s="484"/>
      <c r="B365" s="440"/>
      <c r="C365" s="441"/>
    </row>
    <row r="366">
      <c r="A366" s="484"/>
      <c r="B366" s="440"/>
      <c r="C366" s="441"/>
    </row>
    <row r="367">
      <c r="A367" s="484"/>
      <c r="B367" s="440"/>
      <c r="C367" s="441"/>
    </row>
    <row r="368">
      <c r="A368" s="484"/>
      <c r="B368" s="440"/>
      <c r="C368" s="441"/>
    </row>
    <row r="369">
      <c r="A369" s="484"/>
      <c r="B369" s="440"/>
      <c r="C369" s="441"/>
    </row>
    <row r="370">
      <c r="A370" s="484"/>
      <c r="B370" s="440"/>
      <c r="C370" s="441"/>
    </row>
    <row r="371">
      <c r="A371" s="484"/>
      <c r="B371" s="440"/>
      <c r="C371" s="441"/>
    </row>
    <row r="372">
      <c r="A372" s="484"/>
      <c r="B372" s="440"/>
      <c r="C372" s="441"/>
    </row>
    <row r="373">
      <c r="A373" s="484"/>
      <c r="B373" s="440"/>
      <c r="C373" s="441"/>
    </row>
    <row r="374">
      <c r="A374" s="484"/>
      <c r="B374" s="440"/>
      <c r="C374" s="441"/>
    </row>
    <row r="375">
      <c r="A375" s="484"/>
      <c r="B375" s="440"/>
      <c r="C375" s="441"/>
    </row>
    <row r="376">
      <c r="A376" s="484"/>
      <c r="B376" s="440"/>
      <c r="C376" s="441"/>
    </row>
    <row r="377">
      <c r="A377" s="484"/>
      <c r="B377" s="440"/>
      <c r="C377" s="441"/>
    </row>
    <row r="378">
      <c r="A378" s="484"/>
      <c r="B378" s="440"/>
      <c r="C378" s="441"/>
    </row>
    <row r="379">
      <c r="A379" s="484"/>
      <c r="B379" s="440"/>
      <c r="C379" s="441"/>
    </row>
    <row r="380">
      <c r="A380" s="484"/>
      <c r="B380" s="440"/>
      <c r="C380" s="441"/>
    </row>
    <row r="381">
      <c r="A381" s="484"/>
      <c r="B381" s="440"/>
      <c r="C381" s="441"/>
    </row>
    <row r="382">
      <c r="A382" s="484"/>
      <c r="B382" s="440"/>
      <c r="C382" s="441"/>
    </row>
    <row r="383">
      <c r="A383" s="484"/>
      <c r="B383" s="440"/>
      <c r="C383" s="441"/>
    </row>
    <row r="384">
      <c r="A384" s="484"/>
      <c r="B384" s="440"/>
      <c r="C384" s="441"/>
    </row>
    <row r="385">
      <c r="A385" s="484"/>
      <c r="B385" s="440"/>
      <c r="C385" s="441"/>
    </row>
    <row r="386">
      <c r="A386" s="484"/>
      <c r="B386" s="440"/>
      <c r="C386" s="441"/>
    </row>
    <row r="387">
      <c r="A387" s="484"/>
      <c r="B387" s="440"/>
      <c r="C387" s="441"/>
    </row>
    <row r="388">
      <c r="A388" s="484"/>
      <c r="B388" s="440"/>
      <c r="C388" s="441"/>
    </row>
    <row r="389">
      <c r="A389" s="484"/>
      <c r="B389" s="440"/>
      <c r="C389" s="441"/>
    </row>
    <row r="390">
      <c r="A390" s="484"/>
      <c r="B390" s="440"/>
      <c r="C390" s="441"/>
    </row>
    <row r="391">
      <c r="A391" s="484"/>
      <c r="B391" s="440"/>
      <c r="C391" s="441"/>
    </row>
    <row r="392">
      <c r="A392" s="484"/>
      <c r="B392" s="440"/>
      <c r="C392" s="441"/>
    </row>
    <row r="393">
      <c r="A393" s="484"/>
      <c r="B393" s="440"/>
      <c r="C393" s="441"/>
    </row>
    <row r="394">
      <c r="A394" s="484"/>
      <c r="B394" s="440"/>
      <c r="C394" s="441"/>
    </row>
    <row r="395">
      <c r="A395" s="484"/>
      <c r="B395" s="440"/>
      <c r="C395" s="441"/>
    </row>
    <row r="396">
      <c r="A396" s="484"/>
      <c r="B396" s="440"/>
      <c r="C396" s="441"/>
    </row>
    <row r="397">
      <c r="A397" s="484"/>
      <c r="B397" s="440"/>
      <c r="C397" s="441"/>
    </row>
    <row r="398">
      <c r="A398" s="484"/>
      <c r="B398" s="440"/>
      <c r="C398" s="441"/>
    </row>
    <row r="399">
      <c r="A399" s="484"/>
      <c r="B399" s="440"/>
      <c r="C399" s="441"/>
    </row>
    <row r="400">
      <c r="A400" s="484"/>
      <c r="B400" s="440"/>
      <c r="C400" s="441"/>
    </row>
    <row r="401">
      <c r="A401" s="484"/>
      <c r="B401" s="440"/>
      <c r="C401" s="441"/>
    </row>
    <row r="402">
      <c r="A402" s="484"/>
      <c r="B402" s="440"/>
      <c r="C402" s="441"/>
    </row>
    <row r="403">
      <c r="A403" s="484"/>
      <c r="B403" s="440"/>
      <c r="C403" s="441"/>
    </row>
    <row r="404">
      <c r="A404" s="484"/>
      <c r="B404" s="440"/>
      <c r="C404" s="441"/>
    </row>
    <row r="405">
      <c r="A405" s="484"/>
      <c r="B405" s="440"/>
      <c r="C405" s="441"/>
    </row>
    <row r="406">
      <c r="A406" s="484"/>
      <c r="B406" s="440"/>
      <c r="C406" s="441"/>
    </row>
    <row r="407">
      <c r="A407" s="484"/>
      <c r="B407" s="440"/>
      <c r="C407" s="441"/>
    </row>
    <row r="408">
      <c r="A408" s="484"/>
      <c r="B408" s="440"/>
      <c r="C408" s="441"/>
    </row>
    <row r="409">
      <c r="A409" s="484"/>
      <c r="B409" s="440"/>
      <c r="C409" s="441"/>
    </row>
    <row r="410">
      <c r="A410" s="484"/>
      <c r="B410" s="440"/>
      <c r="C410" s="441"/>
    </row>
    <row r="411">
      <c r="A411" s="484"/>
      <c r="B411" s="440"/>
      <c r="C411" s="441"/>
    </row>
    <row r="412">
      <c r="A412" s="484"/>
      <c r="B412" s="440"/>
      <c r="C412" s="441"/>
    </row>
    <row r="413">
      <c r="A413" s="484"/>
      <c r="B413" s="440"/>
      <c r="C413" s="441"/>
    </row>
    <row r="414">
      <c r="A414" s="484"/>
      <c r="B414" s="440"/>
      <c r="C414" s="441"/>
    </row>
    <row r="415">
      <c r="A415" s="484"/>
      <c r="B415" s="440"/>
      <c r="C415" s="441"/>
    </row>
    <row r="416">
      <c r="A416" s="484"/>
      <c r="B416" s="440"/>
      <c r="C416" s="441"/>
    </row>
    <row r="417">
      <c r="A417" s="484"/>
      <c r="B417" s="440"/>
      <c r="C417" s="441"/>
    </row>
    <row r="418">
      <c r="A418" s="484"/>
      <c r="B418" s="440"/>
      <c r="C418" s="441"/>
    </row>
    <row r="419">
      <c r="A419" s="484"/>
      <c r="B419" s="440"/>
      <c r="C419" s="441"/>
    </row>
    <row r="420">
      <c r="A420" s="484"/>
      <c r="B420" s="440"/>
      <c r="C420" s="441"/>
    </row>
    <row r="421">
      <c r="A421" s="484"/>
      <c r="B421" s="440"/>
      <c r="C421" s="441"/>
    </row>
    <row r="422">
      <c r="A422" s="484"/>
      <c r="B422" s="440"/>
      <c r="C422" s="441"/>
    </row>
    <row r="423">
      <c r="A423" s="484"/>
      <c r="B423" s="440"/>
      <c r="C423" s="441"/>
    </row>
    <row r="424">
      <c r="A424" s="484"/>
      <c r="B424" s="440"/>
      <c r="C424" s="441"/>
    </row>
    <row r="425">
      <c r="A425" s="484"/>
      <c r="B425" s="440"/>
      <c r="C425" s="441"/>
    </row>
    <row r="426">
      <c r="A426" s="484"/>
      <c r="B426" s="440"/>
      <c r="C426" s="441"/>
    </row>
    <row r="427">
      <c r="A427" s="484"/>
      <c r="B427" s="440"/>
      <c r="C427" s="441"/>
    </row>
    <row r="428">
      <c r="A428" s="484"/>
      <c r="B428" s="440"/>
      <c r="C428" s="441"/>
    </row>
    <row r="429">
      <c r="A429" s="484"/>
      <c r="B429" s="440"/>
      <c r="C429" s="441"/>
    </row>
    <row r="430">
      <c r="A430" s="484"/>
      <c r="B430" s="440"/>
      <c r="C430" s="441"/>
    </row>
    <row r="431">
      <c r="A431" s="484"/>
      <c r="B431" s="440"/>
      <c r="C431" s="441"/>
    </row>
    <row r="432">
      <c r="A432" s="484"/>
      <c r="B432" s="440"/>
      <c r="C432" s="441"/>
    </row>
    <row r="433">
      <c r="A433" s="484"/>
      <c r="B433" s="440"/>
      <c r="C433" s="441"/>
    </row>
    <row r="434">
      <c r="A434" s="484"/>
      <c r="B434" s="440"/>
      <c r="C434" s="441"/>
    </row>
    <row r="435">
      <c r="A435" s="484"/>
      <c r="B435" s="440"/>
      <c r="C435" s="441"/>
    </row>
    <row r="436">
      <c r="A436" s="484"/>
      <c r="B436" s="440"/>
      <c r="C436" s="441"/>
    </row>
    <row r="437">
      <c r="A437" s="484"/>
      <c r="B437" s="440"/>
      <c r="C437" s="441"/>
    </row>
    <row r="438">
      <c r="A438" s="484"/>
      <c r="B438" s="440"/>
      <c r="C438" s="441"/>
    </row>
    <row r="439">
      <c r="A439" s="484"/>
      <c r="B439" s="440"/>
      <c r="C439" s="441"/>
    </row>
    <row r="440">
      <c r="A440" s="484"/>
      <c r="B440" s="440"/>
      <c r="C440" s="441"/>
    </row>
    <row r="441">
      <c r="A441" s="484"/>
      <c r="B441" s="440"/>
      <c r="C441" s="441"/>
    </row>
    <row r="442">
      <c r="A442" s="484"/>
      <c r="B442" s="440"/>
      <c r="C442" s="441"/>
    </row>
    <row r="443">
      <c r="A443" s="484"/>
      <c r="B443" s="440"/>
      <c r="C443" s="441"/>
    </row>
    <row r="444">
      <c r="A444" s="484"/>
      <c r="B444" s="440"/>
      <c r="C444" s="441"/>
    </row>
    <row r="445">
      <c r="A445" s="484"/>
      <c r="B445" s="440"/>
      <c r="C445" s="441"/>
    </row>
    <row r="446">
      <c r="A446" s="484"/>
      <c r="B446" s="440"/>
      <c r="C446" s="441"/>
    </row>
    <row r="447">
      <c r="A447" s="484"/>
      <c r="B447" s="440"/>
      <c r="C447" s="441"/>
    </row>
    <row r="448">
      <c r="A448" s="484"/>
      <c r="B448" s="440"/>
      <c r="C448" s="441"/>
    </row>
    <row r="449">
      <c r="A449" s="484"/>
      <c r="B449" s="440"/>
      <c r="C449" s="441"/>
    </row>
    <row r="450">
      <c r="A450" s="484"/>
      <c r="B450" s="440"/>
      <c r="C450" s="441"/>
    </row>
    <row r="451">
      <c r="A451" s="484"/>
      <c r="B451" s="440"/>
      <c r="C451" s="441"/>
    </row>
    <row r="452">
      <c r="A452" s="484"/>
      <c r="B452" s="440"/>
      <c r="C452" s="441"/>
    </row>
    <row r="453">
      <c r="A453" s="484"/>
      <c r="B453" s="440"/>
      <c r="C453" s="441"/>
    </row>
    <row r="454">
      <c r="A454" s="484"/>
      <c r="B454" s="440"/>
      <c r="C454" s="441"/>
    </row>
    <row r="455">
      <c r="A455" s="484"/>
      <c r="B455" s="440"/>
      <c r="C455" s="441"/>
    </row>
    <row r="456">
      <c r="A456" s="484"/>
      <c r="B456" s="440"/>
      <c r="C456" s="441"/>
    </row>
    <row r="457">
      <c r="A457" s="484"/>
      <c r="B457" s="440"/>
      <c r="C457" s="441"/>
    </row>
    <row r="458">
      <c r="A458" s="484"/>
      <c r="B458" s="440"/>
      <c r="C458" s="441"/>
    </row>
    <row r="459">
      <c r="A459" s="484"/>
      <c r="B459" s="440"/>
      <c r="C459" s="441"/>
    </row>
    <row r="460">
      <c r="A460" s="484"/>
      <c r="B460" s="440"/>
      <c r="C460" s="441"/>
    </row>
    <row r="461">
      <c r="A461" s="484"/>
      <c r="B461" s="440"/>
      <c r="C461" s="441"/>
    </row>
    <row r="462">
      <c r="A462" s="484"/>
      <c r="B462" s="440"/>
      <c r="C462" s="441"/>
    </row>
    <row r="463">
      <c r="A463" s="484"/>
      <c r="B463" s="440"/>
      <c r="C463" s="441"/>
    </row>
    <row r="464">
      <c r="A464" s="484"/>
      <c r="B464" s="440"/>
      <c r="C464" s="441"/>
    </row>
    <row r="465">
      <c r="A465" s="484"/>
      <c r="B465" s="440"/>
      <c r="C465" s="441"/>
    </row>
    <row r="466">
      <c r="A466" s="484"/>
      <c r="B466" s="440"/>
      <c r="C466" s="441"/>
    </row>
    <row r="467">
      <c r="A467" s="484"/>
      <c r="B467" s="440"/>
      <c r="C467" s="441"/>
    </row>
    <row r="468">
      <c r="A468" s="484"/>
      <c r="B468" s="440"/>
      <c r="C468" s="441"/>
    </row>
    <row r="469">
      <c r="A469" s="484"/>
      <c r="B469" s="440"/>
      <c r="C469" s="441"/>
    </row>
    <row r="470">
      <c r="A470" s="484"/>
      <c r="B470" s="440"/>
      <c r="C470" s="441"/>
    </row>
    <row r="471">
      <c r="A471" s="484"/>
      <c r="B471" s="440"/>
      <c r="C471" s="441"/>
    </row>
    <row r="472">
      <c r="A472" s="484"/>
      <c r="B472" s="440"/>
      <c r="C472" s="441"/>
    </row>
    <row r="473">
      <c r="A473" s="484"/>
      <c r="B473" s="440"/>
      <c r="C473" s="441"/>
    </row>
    <row r="474">
      <c r="A474" s="484"/>
      <c r="B474" s="440"/>
      <c r="C474" s="441"/>
    </row>
    <row r="475">
      <c r="A475" s="484"/>
      <c r="B475" s="440"/>
      <c r="C475" s="441"/>
    </row>
    <row r="476">
      <c r="A476" s="484"/>
      <c r="B476" s="440"/>
      <c r="C476" s="441"/>
    </row>
    <row r="477">
      <c r="A477" s="484"/>
      <c r="B477" s="440"/>
      <c r="C477" s="441"/>
    </row>
    <row r="478">
      <c r="A478" s="484"/>
      <c r="B478" s="440"/>
      <c r="C478" s="441"/>
    </row>
    <row r="479">
      <c r="A479" s="484"/>
      <c r="B479" s="440"/>
      <c r="C479" s="441"/>
    </row>
    <row r="480">
      <c r="A480" s="484"/>
      <c r="B480" s="440"/>
      <c r="C480" s="441"/>
    </row>
    <row r="481">
      <c r="A481" s="484"/>
      <c r="B481" s="440"/>
      <c r="C481" s="441"/>
    </row>
    <row r="482">
      <c r="A482" s="484"/>
      <c r="B482" s="440"/>
      <c r="C482" s="441"/>
    </row>
    <row r="483">
      <c r="A483" s="484"/>
      <c r="B483" s="440"/>
      <c r="C483" s="441"/>
    </row>
    <row r="484">
      <c r="A484" s="484"/>
      <c r="B484" s="440"/>
      <c r="C484" s="441"/>
    </row>
    <row r="485">
      <c r="A485" s="484"/>
      <c r="B485" s="440"/>
      <c r="C485" s="441"/>
    </row>
    <row r="486">
      <c r="A486" s="484"/>
      <c r="B486" s="440"/>
      <c r="C486" s="441"/>
    </row>
    <row r="487">
      <c r="A487" s="484"/>
      <c r="B487" s="440"/>
      <c r="C487" s="441"/>
    </row>
    <row r="488">
      <c r="A488" s="484"/>
      <c r="B488" s="440"/>
      <c r="C488" s="441"/>
    </row>
    <row r="489">
      <c r="A489" s="484"/>
      <c r="B489" s="440"/>
      <c r="C489" s="441"/>
    </row>
    <row r="490">
      <c r="A490" s="484"/>
      <c r="B490" s="440"/>
      <c r="C490" s="441"/>
    </row>
    <row r="491">
      <c r="A491" s="484"/>
      <c r="B491" s="440"/>
      <c r="C491" s="441"/>
    </row>
    <row r="492">
      <c r="A492" s="484"/>
      <c r="B492" s="440"/>
      <c r="C492" s="441"/>
    </row>
    <row r="493">
      <c r="A493" s="484"/>
      <c r="B493" s="440"/>
      <c r="C493" s="441"/>
    </row>
    <row r="494">
      <c r="A494" s="484"/>
      <c r="B494" s="440"/>
      <c r="C494" s="441"/>
    </row>
    <row r="495">
      <c r="A495" s="484"/>
      <c r="B495" s="440"/>
      <c r="C495" s="441"/>
    </row>
    <row r="496">
      <c r="A496" s="484"/>
      <c r="B496" s="440"/>
      <c r="C496" s="441"/>
    </row>
    <row r="497">
      <c r="A497" s="484"/>
      <c r="B497" s="440"/>
      <c r="C497" s="441"/>
    </row>
    <row r="498">
      <c r="A498" s="484"/>
      <c r="B498" s="440"/>
      <c r="C498" s="441"/>
    </row>
    <row r="499">
      <c r="A499" s="484"/>
      <c r="B499" s="440"/>
      <c r="C499" s="441"/>
    </row>
    <row r="500">
      <c r="A500" s="484"/>
      <c r="B500" s="440"/>
      <c r="C500" s="441"/>
    </row>
    <row r="501">
      <c r="A501" s="484"/>
      <c r="B501" s="440"/>
      <c r="C501" s="441"/>
    </row>
    <row r="502">
      <c r="A502" s="484"/>
      <c r="B502" s="440"/>
      <c r="C502" s="441"/>
    </row>
    <row r="503">
      <c r="A503" s="484"/>
      <c r="B503" s="440"/>
      <c r="C503" s="441"/>
    </row>
    <row r="504">
      <c r="A504" s="484"/>
      <c r="B504" s="440"/>
      <c r="C504" s="441"/>
    </row>
    <row r="505">
      <c r="A505" s="484"/>
      <c r="B505" s="440"/>
      <c r="C505" s="441"/>
    </row>
    <row r="506">
      <c r="A506" s="484"/>
      <c r="B506" s="440"/>
      <c r="C506" s="441"/>
    </row>
    <row r="507">
      <c r="A507" s="484"/>
      <c r="B507" s="440"/>
      <c r="C507" s="441"/>
    </row>
    <row r="508">
      <c r="A508" s="484"/>
      <c r="B508" s="440"/>
      <c r="C508" s="441"/>
    </row>
    <row r="509">
      <c r="A509" s="484"/>
      <c r="B509" s="440"/>
      <c r="C509" s="441"/>
    </row>
    <row r="510">
      <c r="A510" s="484"/>
      <c r="B510" s="440"/>
      <c r="C510" s="441"/>
    </row>
    <row r="511">
      <c r="A511" s="484"/>
      <c r="B511" s="440"/>
      <c r="C511" s="441"/>
    </row>
    <row r="512">
      <c r="A512" s="484"/>
      <c r="B512" s="440"/>
      <c r="C512" s="441"/>
    </row>
    <row r="513">
      <c r="A513" s="484"/>
      <c r="B513" s="440"/>
      <c r="C513" s="441"/>
    </row>
    <row r="514">
      <c r="A514" s="484"/>
      <c r="B514" s="440"/>
      <c r="C514" s="441"/>
    </row>
    <row r="515">
      <c r="A515" s="484"/>
      <c r="B515" s="440"/>
      <c r="C515" s="441"/>
    </row>
    <row r="516">
      <c r="A516" s="484"/>
      <c r="B516" s="440"/>
      <c r="C516" s="441"/>
    </row>
    <row r="517">
      <c r="A517" s="484"/>
      <c r="B517" s="440"/>
      <c r="C517" s="441"/>
    </row>
    <row r="518">
      <c r="A518" s="484"/>
      <c r="B518" s="440"/>
      <c r="C518" s="441"/>
    </row>
    <row r="519">
      <c r="A519" s="484"/>
      <c r="B519" s="440"/>
      <c r="C519" s="441"/>
    </row>
    <row r="520">
      <c r="A520" s="484"/>
      <c r="B520" s="440"/>
      <c r="C520" s="441"/>
    </row>
    <row r="521">
      <c r="A521" s="484"/>
      <c r="B521" s="440"/>
      <c r="C521" s="441"/>
    </row>
    <row r="522">
      <c r="A522" s="484"/>
      <c r="B522" s="440"/>
      <c r="C522" s="441"/>
    </row>
    <row r="523">
      <c r="A523" s="484"/>
      <c r="B523" s="440"/>
      <c r="C523" s="441"/>
    </row>
    <row r="524">
      <c r="A524" s="484"/>
      <c r="B524" s="440"/>
      <c r="C524" s="441"/>
    </row>
    <row r="525">
      <c r="A525" s="484"/>
      <c r="B525" s="440"/>
      <c r="C525" s="441"/>
    </row>
    <row r="526">
      <c r="A526" s="484"/>
      <c r="B526" s="440"/>
      <c r="C526" s="441"/>
    </row>
    <row r="527">
      <c r="A527" s="484"/>
      <c r="B527" s="440"/>
      <c r="C527" s="441"/>
    </row>
    <row r="528">
      <c r="A528" s="484"/>
      <c r="B528" s="440"/>
      <c r="C528" s="441"/>
    </row>
    <row r="529">
      <c r="A529" s="484"/>
      <c r="B529" s="440"/>
      <c r="C529" s="441"/>
    </row>
    <row r="530">
      <c r="A530" s="484"/>
      <c r="B530" s="440"/>
      <c r="C530" s="441"/>
    </row>
    <row r="531">
      <c r="A531" s="484"/>
      <c r="B531" s="440"/>
      <c r="C531" s="441"/>
    </row>
    <row r="532">
      <c r="A532" s="484"/>
      <c r="B532" s="440"/>
      <c r="C532" s="441"/>
    </row>
    <row r="533">
      <c r="A533" s="484"/>
      <c r="B533" s="440"/>
      <c r="C533" s="441"/>
    </row>
    <row r="534">
      <c r="A534" s="484"/>
      <c r="B534" s="440"/>
      <c r="C534" s="441"/>
    </row>
    <row r="535">
      <c r="A535" s="484"/>
      <c r="B535" s="440"/>
      <c r="C535" s="441"/>
    </row>
    <row r="536">
      <c r="A536" s="484"/>
      <c r="B536" s="440"/>
      <c r="C536" s="441"/>
    </row>
    <row r="537">
      <c r="A537" s="484"/>
      <c r="B537" s="440"/>
      <c r="C537" s="441"/>
    </row>
    <row r="538">
      <c r="A538" s="484"/>
      <c r="B538" s="440"/>
      <c r="C538" s="441"/>
    </row>
    <row r="539">
      <c r="A539" s="484"/>
      <c r="B539" s="440"/>
      <c r="C539" s="441"/>
    </row>
    <row r="540">
      <c r="A540" s="484"/>
      <c r="B540" s="440"/>
      <c r="C540" s="441"/>
    </row>
    <row r="541">
      <c r="A541" s="484"/>
      <c r="B541" s="440"/>
      <c r="C541" s="441"/>
    </row>
    <row r="542">
      <c r="A542" s="484"/>
      <c r="B542" s="440"/>
      <c r="C542" s="441"/>
    </row>
    <row r="543">
      <c r="A543" s="484"/>
      <c r="B543" s="440"/>
      <c r="C543" s="441"/>
    </row>
    <row r="544">
      <c r="A544" s="484"/>
      <c r="B544" s="440"/>
      <c r="C544" s="441"/>
    </row>
    <row r="545">
      <c r="A545" s="484"/>
      <c r="B545" s="440"/>
      <c r="C545" s="441"/>
    </row>
    <row r="546">
      <c r="A546" s="484"/>
      <c r="B546" s="440"/>
      <c r="C546" s="441"/>
    </row>
    <row r="547">
      <c r="A547" s="484"/>
      <c r="B547" s="440"/>
      <c r="C547" s="441"/>
    </row>
    <row r="548">
      <c r="A548" s="484"/>
      <c r="B548" s="440"/>
      <c r="C548" s="441"/>
    </row>
    <row r="549">
      <c r="A549" s="484"/>
      <c r="B549" s="440"/>
      <c r="C549" s="441"/>
    </row>
    <row r="550">
      <c r="A550" s="484"/>
      <c r="B550" s="440"/>
      <c r="C550" s="441"/>
    </row>
    <row r="551">
      <c r="A551" s="484"/>
      <c r="B551" s="440"/>
      <c r="C551" s="441"/>
    </row>
    <row r="552">
      <c r="A552" s="484"/>
      <c r="B552" s="440"/>
      <c r="C552" s="441"/>
    </row>
    <row r="553">
      <c r="A553" s="484"/>
      <c r="B553" s="440"/>
      <c r="C553" s="441"/>
    </row>
    <row r="554">
      <c r="A554" s="484"/>
      <c r="B554" s="440"/>
      <c r="C554" s="441"/>
    </row>
    <row r="555">
      <c r="A555" s="484"/>
      <c r="B555" s="440"/>
      <c r="C555" s="441"/>
    </row>
    <row r="556">
      <c r="A556" s="484"/>
      <c r="B556" s="440"/>
      <c r="C556" s="441"/>
    </row>
    <row r="557">
      <c r="A557" s="484"/>
      <c r="B557" s="440"/>
      <c r="C557" s="441"/>
    </row>
    <row r="558">
      <c r="A558" s="484"/>
      <c r="B558" s="440"/>
      <c r="C558" s="441"/>
    </row>
    <row r="559">
      <c r="A559" s="484"/>
      <c r="B559" s="440"/>
      <c r="C559" s="441"/>
    </row>
    <row r="560">
      <c r="A560" s="484"/>
      <c r="B560" s="440"/>
      <c r="C560" s="441"/>
    </row>
    <row r="561">
      <c r="A561" s="484"/>
      <c r="B561" s="440"/>
      <c r="C561" s="441"/>
    </row>
    <row r="562">
      <c r="A562" s="484"/>
      <c r="B562" s="440"/>
      <c r="C562" s="441"/>
    </row>
    <row r="563">
      <c r="A563" s="484"/>
      <c r="B563" s="440"/>
      <c r="C563" s="441"/>
    </row>
    <row r="564">
      <c r="A564" s="484"/>
      <c r="B564" s="440"/>
      <c r="C564" s="441"/>
    </row>
    <row r="565">
      <c r="A565" s="484"/>
      <c r="B565" s="440"/>
      <c r="C565" s="441"/>
    </row>
    <row r="566">
      <c r="A566" s="484"/>
      <c r="B566" s="440"/>
      <c r="C566" s="441"/>
    </row>
    <row r="567">
      <c r="A567" s="484"/>
      <c r="B567" s="440"/>
      <c r="C567" s="441"/>
    </row>
    <row r="568">
      <c r="A568" s="484"/>
      <c r="B568" s="440"/>
      <c r="C568" s="441"/>
    </row>
    <row r="569">
      <c r="A569" s="484"/>
      <c r="B569" s="440"/>
      <c r="C569" s="441"/>
    </row>
    <row r="570">
      <c r="A570" s="484"/>
      <c r="B570" s="440"/>
      <c r="C570" s="441"/>
    </row>
    <row r="571">
      <c r="A571" s="484"/>
      <c r="B571" s="440"/>
      <c r="C571" s="441"/>
    </row>
    <row r="572">
      <c r="A572" s="484"/>
      <c r="B572" s="440"/>
      <c r="C572" s="441"/>
    </row>
    <row r="573">
      <c r="A573" s="484"/>
      <c r="B573" s="440"/>
      <c r="C573" s="441"/>
    </row>
    <row r="574">
      <c r="A574" s="484"/>
      <c r="B574" s="440"/>
      <c r="C574" s="441"/>
    </row>
    <row r="575">
      <c r="A575" s="484"/>
      <c r="B575" s="440"/>
      <c r="C575" s="441"/>
    </row>
    <row r="576">
      <c r="A576" s="484"/>
      <c r="B576" s="440"/>
      <c r="C576" s="441"/>
    </row>
    <row r="577">
      <c r="A577" s="484"/>
      <c r="B577" s="440"/>
      <c r="C577" s="441"/>
    </row>
    <row r="578">
      <c r="A578" s="484"/>
      <c r="B578" s="440"/>
      <c r="C578" s="441"/>
    </row>
    <row r="579">
      <c r="A579" s="484"/>
      <c r="B579" s="440"/>
      <c r="C579" s="441"/>
    </row>
    <row r="580">
      <c r="A580" s="484"/>
      <c r="B580" s="440"/>
      <c r="C580" s="441"/>
    </row>
    <row r="581">
      <c r="A581" s="484"/>
      <c r="B581" s="440"/>
      <c r="C581" s="441"/>
    </row>
    <row r="582">
      <c r="A582" s="484"/>
      <c r="B582" s="440"/>
      <c r="C582" s="441"/>
    </row>
    <row r="583">
      <c r="A583" s="484"/>
      <c r="B583" s="440"/>
      <c r="C583" s="441"/>
    </row>
    <row r="584">
      <c r="A584" s="484"/>
      <c r="B584" s="440"/>
      <c r="C584" s="441"/>
    </row>
    <row r="585">
      <c r="A585" s="484"/>
      <c r="B585" s="440"/>
      <c r="C585" s="441"/>
    </row>
    <row r="586">
      <c r="A586" s="484"/>
      <c r="B586" s="440"/>
      <c r="C586" s="441"/>
    </row>
    <row r="587">
      <c r="A587" s="484"/>
      <c r="B587" s="440"/>
      <c r="C587" s="441"/>
    </row>
    <row r="588">
      <c r="A588" s="484"/>
      <c r="B588" s="440"/>
      <c r="C588" s="441"/>
    </row>
    <row r="589">
      <c r="A589" s="484"/>
      <c r="B589" s="440"/>
      <c r="C589" s="441"/>
    </row>
    <row r="590">
      <c r="A590" s="484"/>
      <c r="B590" s="440"/>
      <c r="C590" s="441"/>
    </row>
    <row r="591">
      <c r="A591" s="484"/>
      <c r="B591" s="440"/>
      <c r="C591" s="441"/>
    </row>
    <row r="592">
      <c r="A592" s="484"/>
      <c r="B592" s="440"/>
      <c r="C592" s="441"/>
    </row>
    <row r="593">
      <c r="A593" s="484"/>
      <c r="B593" s="440"/>
      <c r="C593" s="441"/>
    </row>
    <row r="594">
      <c r="A594" s="484"/>
      <c r="B594" s="440"/>
      <c r="C594" s="441"/>
    </row>
    <row r="595">
      <c r="A595" s="484"/>
      <c r="B595" s="440"/>
      <c r="C595" s="441"/>
    </row>
    <row r="596">
      <c r="A596" s="484"/>
      <c r="B596" s="440"/>
      <c r="C596" s="441"/>
    </row>
    <row r="597">
      <c r="A597" s="484"/>
      <c r="B597" s="440"/>
      <c r="C597" s="441"/>
    </row>
    <row r="598">
      <c r="A598" s="484"/>
      <c r="B598" s="440"/>
      <c r="C598" s="441"/>
    </row>
    <row r="599">
      <c r="A599" s="484"/>
      <c r="B599" s="440"/>
      <c r="C599" s="441"/>
    </row>
    <row r="600">
      <c r="A600" s="484"/>
      <c r="B600" s="440"/>
      <c r="C600" s="441"/>
    </row>
    <row r="601">
      <c r="A601" s="484"/>
      <c r="B601" s="440"/>
      <c r="C601" s="441"/>
    </row>
    <row r="602">
      <c r="A602" s="484"/>
      <c r="B602" s="440"/>
      <c r="C602" s="441"/>
    </row>
    <row r="603">
      <c r="A603" s="484"/>
      <c r="B603" s="440"/>
      <c r="C603" s="441"/>
    </row>
    <row r="604">
      <c r="A604" s="484"/>
      <c r="B604" s="440"/>
      <c r="C604" s="441"/>
    </row>
    <row r="605">
      <c r="A605" s="484"/>
      <c r="B605" s="440"/>
      <c r="C605" s="441"/>
    </row>
    <row r="606">
      <c r="A606" s="484"/>
      <c r="B606" s="440"/>
      <c r="C606" s="441"/>
    </row>
    <row r="607">
      <c r="A607" s="484"/>
      <c r="B607" s="440"/>
      <c r="C607" s="441"/>
    </row>
    <row r="608">
      <c r="A608" s="484"/>
      <c r="B608" s="440"/>
      <c r="C608" s="441"/>
    </row>
    <row r="609">
      <c r="A609" s="484"/>
      <c r="B609" s="440"/>
      <c r="C609" s="441"/>
    </row>
    <row r="610">
      <c r="A610" s="484"/>
      <c r="B610" s="440"/>
      <c r="C610" s="441"/>
    </row>
    <row r="611">
      <c r="A611" s="484"/>
      <c r="B611" s="440"/>
      <c r="C611" s="441"/>
    </row>
    <row r="612">
      <c r="A612" s="484"/>
      <c r="B612" s="440"/>
      <c r="C612" s="441"/>
    </row>
    <row r="613">
      <c r="A613" s="484"/>
      <c r="B613" s="440"/>
      <c r="C613" s="441"/>
    </row>
    <row r="614">
      <c r="A614" s="484"/>
      <c r="B614" s="440"/>
      <c r="C614" s="441"/>
    </row>
    <row r="615">
      <c r="A615" s="484"/>
      <c r="B615" s="440"/>
      <c r="C615" s="441"/>
    </row>
    <row r="616">
      <c r="A616" s="484"/>
      <c r="B616" s="440"/>
      <c r="C616" s="441"/>
    </row>
    <row r="617">
      <c r="A617" s="484"/>
      <c r="B617" s="440"/>
      <c r="C617" s="441"/>
    </row>
    <row r="618">
      <c r="A618" s="484"/>
      <c r="B618" s="440"/>
      <c r="C618" s="441"/>
    </row>
    <row r="619">
      <c r="A619" s="484"/>
      <c r="B619" s="440"/>
      <c r="C619" s="441"/>
    </row>
    <row r="620">
      <c r="A620" s="484"/>
      <c r="B620" s="440"/>
      <c r="C620" s="441"/>
    </row>
    <row r="621">
      <c r="A621" s="484"/>
      <c r="B621" s="440"/>
      <c r="C621" s="441"/>
    </row>
    <row r="622">
      <c r="A622" s="484"/>
      <c r="B622" s="440"/>
      <c r="C622" s="441"/>
    </row>
    <row r="623">
      <c r="A623" s="484"/>
      <c r="B623" s="440"/>
      <c r="C623" s="441"/>
    </row>
    <row r="624">
      <c r="A624" s="484"/>
      <c r="B624" s="440"/>
      <c r="C624" s="441"/>
    </row>
    <row r="625">
      <c r="A625" s="484"/>
      <c r="B625" s="440"/>
      <c r="C625" s="441"/>
    </row>
    <row r="626">
      <c r="A626" s="484"/>
      <c r="B626" s="440"/>
      <c r="C626" s="441"/>
    </row>
    <row r="627">
      <c r="A627" s="484"/>
      <c r="B627" s="440"/>
      <c r="C627" s="441"/>
    </row>
    <row r="628">
      <c r="A628" s="484"/>
      <c r="B628" s="440"/>
      <c r="C628" s="441"/>
    </row>
    <row r="629">
      <c r="A629" s="484"/>
      <c r="B629" s="440"/>
      <c r="C629" s="441"/>
    </row>
    <row r="630">
      <c r="A630" s="484"/>
      <c r="B630" s="440"/>
      <c r="C630" s="441"/>
    </row>
    <row r="631">
      <c r="A631" s="484"/>
      <c r="B631" s="440"/>
      <c r="C631" s="441"/>
    </row>
    <row r="632">
      <c r="A632" s="484"/>
      <c r="B632" s="440"/>
      <c r="C632" s="441"/>
    </row>
    <row r="633">
      <c r="A633" s="484"/>
      <c r="B633" s="440"/>
      <c r="C633" s="441"/>
    </row>
    <row r="634">
      <c r="A634" s="484"/>
      <c r="B634" s="440"/>
      <c r="C634" s="441"/>
    </row>
    <row r="635">
      <c r="A635" s="484"/>
      <c r="B635" s="440"/>
      <c r="C635" s="441"/>
    </row>
    <row r="636">
      <c r="A636" s="484"/>
      <c r="B636" s="440"/>
      <c r="C636" s="441"/>
    </row>
    <row r="637">
      <c r="A637" s="484"/>
      <c r="B637" s="440"/>
      <c r="C637" s="441"/>
    </row>
    <row r="638">
      <c r="A638" s="484"/>
      <c r="B638" s="440"/>
      <c r="C638" s="441"/>
    </row>
    <row r="639">
      <c r="A639" s="484"/>
      <c r="B639" s="440"/>
      <c r="C639" s="441"/>
    </row>
    <row r="640">
      <c r="A640" s="484"/>
      <c r="B640" s="440"/>
      <c r="C640" s="441"/>
    </row>
    <row r="641">
      <c r="A641" s="484"/>
      <c r="B641" s="440"/>
      <c r="C641" s="441"/>
    </row>
    <row r="642">
      <c r="A642" s="484"/>
      <c r="B642" s="440"/>
      <c r="C642" s="441"/>
    </row>
    <row r="643">
      <c r="A643" s="484"/>
      <c r="B643" s="440"/>
      <c r="C643" s="441"/>
    </row>
    <row r="644">
      <c r="A644" s="484"/>
      <c r="B644" s="440"/>
      <c r="C644" s="441"/>
    </row>
    <row r="645">
      <c r="A645" s="484"/>
      <c r="B645" s="440"/>
      <c r="C645" s="441"/>
    </row>
    <row r="646">
      <c r="A646" s="484"/>
      <c r="B646" s="440"/>
      <c r="C646" s="441"/>
    </row>
    <row r="647">
      <c r="A647" s="484"/>
      <c r="B647" s="440"/>
      <c r="C647" s="441"/>
    </row>
    <row r="648">
      <c r="A648" s="484"/>
      <c r="B648" s="440"/>
      <c r="C648" s="441"/>
    </row>
    <row r="649">
      <c r="A649" s="484"/>
      <c r="B649" s="440"/>
      <c r="C649" s="441"/>
    </row>
    <row r="650">
      <c r="A650" s="484"/>
      <c r="B650" s="440"/>
      <c r="C650" s="441"/>
    </row>
    <row r="651">
      <c r="A651" s="484"/>
      <c r="B651" s="440"/>
      <c r="C651" s="441"/>
    </row>
    <row r="652">
      <c r="A652" s="484"/>
      <c r="B652" s="440"/>
      <c r="C652" s="441"/>
    </row>
    <row r="653">
      <c r="A653" s="484"/>
      <c r="B653" s="440"/>
      <c r="C653" s="441"/>
    </row>
    <row r="654">
      <c r="A654" s="484"/>
      <c r="B654" s="440"/>
      <c r="C654" s="441"/>
    </row>
    <row r="655">
      <c r="A655" s="484"/>
      <c r="B655" s="440"/>
      <c r="C655" s="441"/>
    </row>
    <row r="656">
      <c r="A656" s="484"/>
      <c r="B656" s="440"/>
      <c r="C656" s="441"/>
    </row>
    <row r="657">
      <c r="A657" s="484"/>
      <c r="B657" s="440"/>
      <c r="C657" s="441"/>
    </row>
    <row r="658">
      <c r="A658" s="484"/>
      <c r="B658" s="440"/>
      <c r="C658" s="441"/>
    </row>
    <row r="659">
      <c r="A659" s="484"/>
      <c r="B659" s="440"/>
      <c r="C659" s="441"/>
    </row>
    <row r="660">
      <c r="A660" s="484"/>
      <c r="B660" s="440"/>
      <c r="C660" s="441"/>
    </row>
    <row r="661">
      <c r="A661" s="484"/>
      <c r="B661" s="440"/>
      <c r="C661" s="441"/>
    </row>
    <row r="662">
      <c r="A662" s="484"/>
      <c r="B662" s="440"/>
      <c r="C662" s="441"/>
    </row>
    <row r="663">
      <c r="A663" s="484"/>
      <c r="B663" s="440"/>
      <c r="C663" s="441"/>
    </row>
    <row r="664">
      <c r="A664" s="484"/>
      <c r="B664" s="440"/>
      <c r="C664" s="441"/>
    </row>
    <row r="665">
      <c r="A665" s="484"/>
      <c r="B665" s="440"/>
      <c r="C665" s="441"/>
    </row>
    <row r="666">
      <c r="A666" s="484"/>
      <c r="B666" s="440"/>
      <c r="C666" s="441"/>
    </row>
    <row r="667">
      <c r="A667" s="484"/>
      <c r="B667" s="440"/>
      <c r="C667" s="441"/>
    </row>
    <row r="668">
      <c r="A668" s="484"/>
      <c r="B668" s="440"/>
      <c r="C668" s="441"/>
    </row>
    <row r="669">
      <c r="A669" s="484"/>
      <c r="B669" s="440"/>
      <c r="C669" s="441"/>
    </row>
    <row r="670">
      <c r="A670" s="484"/>
      <c r="B670" s="440"/>
      <c r="C670" s="441"/>
    </row>
    <row r="671">
      <c r="A671" s="484"/>
      <c r="B671" s="440"/>
      <c r="C671" s="441"/>
    </row>
    <row r="672">
      <c r="A672" s="484"/>
      <c r="B672" s="440"/>
      <c r="C672" s="441"/>
    </row>
    <row r="673">
      <c r="A673" s="484"/>
      <c r="B673" s="440"/>
      <c r="C673" s="441"/>
    </row>
    <row r="674">
      <c r="A674" s="484"/>
      <c r="B674" s="440"/>
      <c r="C674" s="441"/>
    </row>
    <row r="675">
      <c r="A675" s="484"/>
      <c r="B675" s="440"/>
      <c r="C675" s="441"/>
    </row>
    <row r="676">
      <c r="A676" s="484"/>
      <c r="B676" s="440"/>
      <c r="C676" s="441"/>
    </row>
    <row r="677">
      <c r="A677" s="484"/>
      <c r="B677" s="440"/>
      <c r="C677" s="441"/>
    </row>
    <row r="678">
      <c r="A678" s="484"/>
      <c r="B678" s="440"/>
      <c r="C678" s="441"/>
    </row>
    <row r="679">
      <c r="A679" s="484"/>
      <c r="B679" s="440"/>
      <c r="C679" s="441"/>
    </row>
    <row r="680">
      <c r="A680" s="484"/>
      <c r="B680" s="440"/>
      <c r="C680" s="441"/>
    </row>
    <row r="681">
      <c r="A681" s="484"/>
      <c r="B681" s="440"/>
      <c r="C681" s="441"/>
    </row>
    <row r="682">
      <c r="A682" s="484"/>
      <c r="B682" s="440"/>
      <c r="C682" s="441"/>
    </row>
    <row r="683">
      <c r="A683" s="484"/>
      <c r="B683" s="440"/>
      <c r="C683" s="441"/>
    </row>
    <row r="684">
      <c r="A684" s="484"/>
      <c r="B684" s="440"/>
      <c r="C684" s="441"/>
    </row>
    <row r="685">
      <c r="A685" s="484"/>
      <c r="B685" s="440"/>
      <c r="C685" s="441"/>
    </row>
    <row r="686">
      <c r="A686" s="484"/>
      <c r="B686" s="440"/>
      <c r="C686" s="441"/>
    </row>
    <row r="687">
      <c r="A687" s="484"/>
      <c r="B687" s="440"/>
      <c r="C687" s="441"/>
    </row>
    <row r="688">
      <c r="A688" s="484"/>
      <c r="B688" s="440"/>
      <c r="C688" s="441"/>
    </row>
    <row r="689">
      <c r="A689" s="484"/>
      <c r="B689" s="440"/>
      <c r="C689" s="441"/>
    </row>
    <row r="690">
      <c r="A690" s="484"/>
      <c r="B690" s="440"/>
      <c r="C690" s="441"/>
    </row>
    <row r="691">
      <c r="A691" s="484"/>
      <c r="B691" s="440"/>
      <c r="C691" s="441"/>
    </row>
    <row r="692">
      <c r="A692" s="484"/>
      <c r="B692" s="440"/>
      <c r="C692" s="441"/>
    </row>
    <row r="693">
      <c r="A693" s="484"/>
      <c r="B693" s="440"/>
      <c r="C693" s="441"/>
    </row>
    <row r="694">
      <c r="A694" s="484"/>
      <c r="B694" s="440"/>
      <c r="C694" s="441"/>
    </row>
    <row r="695">
      <c r="A695" s="484"/>
      <c r="B695" s="440"/>
      <c r="C695" s="441"/>
    </row>
    <row r="696">
      <c r="A696" s="484"/>
      <c r="B696" s="440"/>
      <c r="C696" s="441"/>
    </row>
    <row r="697">
      <c r="A697" s="484"/>
      <c r="B697" s="440"/>
      <c r="C697" s="441"/>
    </row>
    <row r="698">
      <c r="A698" s="484"/>
      <c r="B698" s="440"/>
      <c r="C698" s="441"/>
    </row>
    <row r="699">
      <c r="A699" s="484"/>
      <c r="B699" s="440"/>
      <c r="C699" s="441"/>
    </row>
    <row r="700">
      <c r="A700" s="484"/>
      <c r="B700" s="440"/>
      <c r="C700" s="441"/>
    </row>
    <row r="701">
      <c r="A701" s="484"/>
      <c r="B701" s="440"/>
      <c r="C701" s="441"/>
    </row>
    <row r="702">
      <c r="A702" s="484"/>
      <c r="B702" s="440"/>
      <c r="C702" s="441"/>
    </row>
    <row r="703">
      <c r="A703" s="484"/>
      <c r="B703" s="440"/>
      <c r="C703" s="441"/>
    </row>
    <row r="704">
      <c r="A704" s="484"/>
      <c r="B704" s="440"/>
      <c r="C704" s="441"/>
    </row>
    <row r="705">
      <c r="A705" s="484"/>
      <c r="B705" s="440"/>
      <c r="C705" s="441"/>
    </row>
    <row r="706">
      <c r="A706" s="484"/>
      <c r="B706" s="440"/>
      <c r="C706" s="441"/>
    </row>
    <row r="707">
      <c r="A707" s="484"/>
      <c r="B707" s="440"/>
      <c r="C707" s="441"/>
    </row>
    <row r="708">
      <c r="A708" s="484"/>
      <c r="B708" s="440"/>
      <c r="C708" s="441"/>
    </row>
    <row r="709">
      <c r="A709" s="484"/>
      <c r="B709" s="440"/>
      <c r="C709" s="441"/>
    </row>
    <row r="710">
      <c r="A710" s="484"/>
      <c r="B710" s="440"/>
      <c r="C710" s="441"/>
    </row>
    <row r="711">
      <c r="A711" s="484"/>
      <c r="B711" s="440"/>
      <c r="C711" s="441"/>
    </row>
    <row r="712">
      <c r="A712" s="484"/>
      <c r="B712" s="440"/>
      <c r="C712" s="441"/>
    </row>
    <row r="713">
      <c r="A713" s="484"/>
      <c r="B713" s="440"/>
      <c r="C713" s="441"/>
    </row>
    <row r="714">
      <c r="A714" s="484"/>
      <c r="B714" s="440"/>
      <c r="C714" s="441"/>
    </row>
    <row r="715">
      <c r="A715" s="484"/>
      <c r="B715" s="440"/>
      <c r="C715" s="441"/>
    </row>
    <row r="716">
      <c r="A716" s="484"/>
      <c r="B716" s="440"/>
      <c r="C716" s="441"/>
    </row>
    <row r="717">
      <c r="A717" s="484"/>
      <c r="B717" s="440"/>
      <c r="C717" s="441"/>
    </row>
    <row r="718">
      <c r="A718" s="484"/>
      <c r="B718" s="440"/>
      <c r="C718" s="441"/>
    </row>
    <row r="719">
      <c r="A719" s="484"/>
      <c r="B719" s="440"/>
      <c r="C719" s="441"/>
    </row>
    <row r="720">
      <c r="A720" s="484"/>
      <c r="B720" s="440"/>
      <c r="C720" s="441"/>
    </row>
    <row r="721">
      <c r="A721" s="484"/>
      <c r="B721" s="440"/>
      <c r="C721" s="441"/>
    </row>
    <row r="722">
      <c r="A722" s="484"/>
      <c r="B722" s="440"/>
      <c r="C722" s="441"/>
    </row>
    <row r="723">
      <c r="A723" s="484"/>
      <c r="B723" s="440"/>
      <c r="C723" s="441"/>
    </row>
    <row r="724">
      <c r="A724" s="484"/>
      <c r="B724" s="440"/>
      <c r="C724" s="441"/>
    </row>
    <row r="725">
      <c r="A725" s="484"/>
      <c r="B725" s="440"/>
      <c r="C725" s="441"/>
    </row>
    <row r="726">
      <c r="A726" s="484"/>
      <c r="B726" s="440"/>
      <c r="C726" s="441"/>
    </row>
    <row r="727">
      <c r="A727" s="484"/>
      <c r="B727" s="440"/>
      <c r="C727" s="441"/>
    </row>
    <row r="728">
      <c r="A728" s="484"/>
      <c r="B728" s="440"/>
      <c r="C728" s="441"/>
    </row>
    <row r="729">
      <c r="A729" s="484"/>
      <c r="B729" s="440"/>
      <c r="C729" s="441"/>
    </row>
    <row r="730">
      <c r="A730" s="484"/>
      <c r="B730" s="440"/>
      <c r="C730" s="441"/>
    </row>
    <row r="731">
      <c r="A731" s="484"/>
      <c r="B731" s="440"/>
      <c r="C731" s="441"/>
    </row>
    <row r="732">
      <c r="A732" s="484"/>
      <c r="B732" s="440"/>
      <c r="C732" s="441"/>
    </row>
    <row r="733">
      <c r="A733" s="484"/>
      <c r="B733" s="440"/>
      <c r="C733" s="441"/>
    </row>
    <row r="734">
      <c r="A734" s="484"/>
      <c r="B734" s="440"/>
      <c r="C734" s="441"/>
    </row>
    <row r="735">
      <c r="A735" s="484"/>
      <c r="B735" s="440"/>
      <c r="C735" s="441"/>
    </row>
    <row r="736">
      <c r="A736" s="484"/>
      <c r="B736" s="440"/>
      <c r="C736" s="441"/>
    </row>
    <row r="737">
      <c r="A737" s="484"/>
      <c r="B737" s="440"/>
      <c r="C737" s="441"/>
    </row>
    <row r="738">
      <c r="A738" s="484"/>
      <c r="B738" s="440"/>
      <c r="C738" s="441"/>
    </row>
    <row r="739">
      <c r="A739" s="484"/>
      <c r="B739" s="440"/>
      <c r="C739" s="441"/>
    </row>
    <row r="740">
      <c r="A740" s="484"/>
      <c r="B740" s="440"/>
      <c r="C740" s="441"/>
    </row>
    <row r="741">
      <c r="A741" s="484"/>
      <c r="B741" s="440"/>
      <c r="C741" s="441"/>
    </row>
    <row r="742">
      <c r="A742" s="484"/>
      <c r="B742" s="440"/>
      <c r="C742" s="441"/>
    </row>
    <row r="743">
      <c r="A743" s="484"/>
      <c r="B743" s="440"/>
      <c r="C743" s="441"/>
    </row>
    <row r="744">
      <c r="A744" s="484"/>
      <c r="B744" s="440"/>
      <c r="C744" s="441"/>
    </row>
    <row r="745">
      <c r="A745" s="484"/>
      <c r="B745" s="440"/>
      <c r="C745" s="441"/>
    </row>
    <row r="746">
      <c r="A746" s="484"/>
      <c r="B746" s="440"/>
      <c r="C746" s="441"/>
    </row>
    <row r="747">
      <c r="A747" s="484"/>
      <c r="B747" s="440"/>
      <c r="C747" s="441"/>
    </row>
    <row r="748">
      <c r="A748" s="484"/>
      <c r="B748" s="440"/>
      <c r="C748" s="441"/>
    </row>
    <row r="749">
      <c r="A749" s="484"/>
      <c r="B749" s="440"/>
      <c r="C749" s="441"/>
    </row>
    <row r="750">
      <c r="A750" s="484"/>
      <c r="B750" s="440"/>
      <c r="C750" s="441"/>
    </row>
    <row r="751">
      <c r="A751" s="484"/>
      <c r="B751" s="440"/>
      <c r="C751" s="441"/>
    </row>
    <row r="752">
      <c r="A752" s="484"/>
      <c r="B752" s="440"/>
      <c r="C752" s="441"/>
    </row>
    <row r="753">
      <c r="A753" s="484"/>
      <c r="B753" s="440"/>
      <c r="C753" s="441"/>
    </row>
    <row r="754">
      <c r="A754" s="484"/>
      <c r="B754" s="440"/>
      <c r="C754" s="441"/>
    </row>
    <row r="755">
      <c r="A755" s="484"/>
      <c r="B755" s="440"/>
      <c r="C755" s="441"/>
    </row>
    <row r="756">
      <c r="A756" s="484"/>
      <c r="B756" s="440"/>
      <c r="C756" s="441"/>
    </row>
    <row r="757">
      <c r="A757" s="484"/>
      <c r="B757" s="440"/>
      <c r="C757" s="441"/>
    </row>
    <row r="758">
      <c r="A758" s="484"/>
      <c r="B758" s="440"/>
      <c r="C758" s="441"/>
    </row>
    <row r="759">
      <c r="A759" s="484"/>
      <c r="B759" s="440"/>
      <c r="C759" s="441"/>
    </row>
    <row r="760">
      <c r="A760" s="484"/>
      <c r="B760" s="440"/>
      <c r="C760" s="441"/>
    </row>
    <row r="761">
      <c r="A761" s="484"/>
      <c r="B761" s="440"/>
      <c r="C761" s="441"/>
    </row>
    <row r="762">
      <c r="A762" s="484"/>
      <c r="B762" s="440"/>
      <c r="C762" s="441"/>
    </row>
    <row r="763">
      <c r="A763" s="484"/>
      <c r="B763" s="440"/>
      <c r="C763" s="441"/>
    </row>
    <row r="764">
      <c r="A764" s="484"/>
      <c r="B764" s="440"/>
      <c r="C764" s="441"/>
    </row>
    <row r="765">
      <c r="A765" s="484"/>
      <c r="B765" s="440"/>
      <c r="C765" s="441"/>
    </row>
    <row r="766">
      <c r="A766" s="484"/>
      <c r="B766" s="440"/>
      <c r="C766" s="441"/>
    </row>
    <row r="767">
      <c r="A767" s="484"/>
      <c r="B767" s="440"/>
      <c r="C767" s="441"/>
    </row>
    <row r="768">
      <c r="A768" s="484"/>
      <c r="B768" s="440"/>
      <c r="C768" s="441"/>
    </row>
    <row r="769">
      <c r="A769" s="484"/>
      <c r="B769" s="440"/>
      <c r="C769" s="441"/>
    </row>
    <row r="770">
      <c r="A770" s="484"/>
      <c r="B770" s="440"/>
      <c r="C770" s="441"/>
    </row>
    <row r="771">
      <c r="A771" s="484"/>
      <c r="B771" s="440"/>
      <c r="C771" s="441"/>
    </row>
    <row r="772">
      <c r="A772" s="484"/>
      <c r="B772" s="440"/>
      <c r="C772" s="441"/>
    </row>
    <row r="773">
      <c r="A773" s="484"/>
      <c r="B773" s="440"/>
      <c r="C773" s="441"/>
    </row>
    <row r="774">
      <c r="A774" s="484"/>
      <c r="B774" s="440"/>
      <c r="C774" s="441"/>
    </row>
    <row r="775">
      <c r="A775" s="484"/>
      <c r="B775" s="440"/>
      <c r="C775" s="441"/>
    </row>
    <row r="776">
      <c r="A776" s="484"/>
      <c r="B776" s="440"/>
      <c r="C776" s="441"/>
    </row>
    <row r="777">
      <c r="A777" s="484"/>
      <c r="B777" s="440"/>
      <c r="C777" s="441"/>
    </row>
    <row r="778">
      <c r="A778" s="484"/>
      <c r="B778" s="440"/>
      <c r="C778" s="441"/>
    </row>
    <row r="779">
      <c r="A779" s="484"/>
      <c r="B779" s="440"/>
      <c r="C779" s="441"/>
    </row>
    <row r="780">
      <c r="A780" s="484"/>
      <c r="B780" s="440"/>
      <c r="C780" s="441"/>
    </row>
    <row r="781">
      <c r="A781" s="484"/>
      <c r="B781" s="440"/>
      <c r="C781" s="441"/>
    </row>
    <row r="782">
      <c r="A782" s="484"/>
      <c r="B782" s="440"/>
      <c r="C782" s="441"/>
    </row>
    <row r="783">
      <c r="A783" s="484"/>
      <c r="B783" s="440"/>
      <c r="C783" s="441"/>
    </row>
    <row r="784">
      <c r="A784" s="484"/>
      <c r="B784" s="440"/>
      <c r="C784" s="441"/>
    </row>
    <row r="785">
      <c r="A785" s="484"/>
      <c r="B785" s="440"/>
      <c r="C785" s="441"/>
    </row>
    <row r="786">
      <c r="A786" s="484"/>
      <c r="B786" s="440"/>
      <c r="C786" s="441"/>
    </row>
    <row r="787">
      <c r="A787" s="484"/>
      <c r="B787" s="440"/>
      <c r="C787" s="441"/>
    </row>
    <row r="788">
      <c r="A788" s="484"/>
      <c r="B788" s="440"/>
      <c r="C788" s="441"/>
    </row>
    <row r="789">
      <c r="A789" s="484"/>
      <c r="B789" s="440"/>
      <c r="C789" s="441"/>
    </row>
    <row r="790">
      <c r="A790" s="484"/>
      <c r="B790" s="440"/>
      <c r="C790" s="441"/>
    </row>
    <row r="791">
      <c r="A791" s="484"/>
      <c r="B791" s="440"/>
      <c r="C791" s="441"/>
    </row>
    <row r="792">
      <c r="A792" s="484"/>
      <c r="B792" s="440"/>
      <c r="C792" s="441"/>
    </row>
    <row r="793">
      <c r="A793" s="484"/>
      <c r="B793" s="440"/>
      <c r="C793" s="441"/>
    </row>
    <row r="794">
      <c r="A794" s="484"/>
      <c r="B794" s="440"/>
      <c r="C794" s="441"/>
    </row>
    <row r="795">
      <c r="A795" s="484"/>
      <c r="B795" s="440"/>
      <c r="C795" s="441"/>
    </row>
    <row r="796">
      <c r="A796" s="484"/>
      <c r="B796" s="440"/>
      <c r="C796" s="441"/>
    </row>
    <row r="797">
      <c r="A797" s="484"/>
      <c r="B797" s="440"/>
      <c r="C797" s="441"/>
    </row>
    <row r="798">
      <c r="A798" s="484"/>
      <c r="B798" s="440"/>
      <c r="C798" s="441"/>
    </row>
    <row r="799">
      <c r="A799" s="484"/>
      <c r="B799" s="440"/>
      <c r="C799" s="441"/>
    </row>
    <row r="800">
      <c r="A800" s="484"/>
      <c r="B800" s="440"/>
      <c r="C800" s="441"/>
    </row>
    <row r="801">
      <c r="A801" s="484"/>
      <c r="B801" s="440"/>
      <c r="C801" s="441"/>
    </row>
    <row r="802">
      <c r="A802" s="484"/>
      <c r="B802" s="440"/>
      <c r="C802" s="441"/>
    </row>
    <row r="803">
      <c r="A803" s="484"/>
      <c r="B803" s="440"/>
      <c r="C803" s="441"/>
    </row>
    <row r="804">
      <c r="A804" s="484"/>
      <c r="B804" s="440"/>
      <c r="C804" s="441"/>
    </row>
    <row r="805">
      <c r="A805" s="484"/>
      <c r="B805" s="440"/>
      <c r="C805" s="441"/>
    </row>
    <row r="806">
      <c r="A806" s="484"/>
      <c r="B806" s="440"/>
      <c r="C806" s="441"/>
    </row>
    <row r="807">
      <c r="A807" s="484"/>
      <c r="B807" s="440"/>
      <c r="C807" s="441"/>
    </row>
    <row r="808">
      <c r="A808" s="484"/>
      <c r="B808" s="440"/>
      <c r="C808" s="441"/>
    </row>
    <row r="809">
      <c r="A809" s="484"/>
      <c r="B809" s="440"/>
      <c r="C809" s="441"/>
    </row>
    <row r="810">
      <c r="A810" s="484"/>
      <c r="B810" s="440"/>
      <c r="C810" s="441"/>
    </row>
    <row r="811">
      <c r="A811" s="484"/>
      <c r="B811" s="440"/>
      <c r="C811" s="441"/>
    </row>
    <row r="812">
      <c r="A812" s="484"/>
      <c r="B812" s="440"/>
      <c r="C812" s="441"/>
    </row>
    <row r="813">
      <c r="A813" s="484"/>
      <c r="B813" s="440"/>
      <c r="C813" s="441"/>
    </row>
    <row r="814">
      <c r="A814" s="484"/>
      <c r="B814" s="440"/>
      <c r="C814" s="441"/>
    </row>
    <row r="815">
      <c r="A815" s="484"/>
      <c r="B815" s="440"/>
      <c r="C815" s="441"/>
    </row>
    <row r="816">
      <c r="A816" s="484"/>
      <c r="B816" s="440"/>
      <c r="C816" s="441"/>
    </row>
    <row r="817">
      <c r="A817" s="484"/>
      <c r="B817" s="440"/>
      <c r="C817" s="441"/>
    </row>
    <row r="818">
      <c r="A818" s="484"/>
      <c r="B818" s="440"/>
      <c r="C818" s="441"/>
    </row>
    <row r="819">
      <c r="A819" s="484"/>
      <c r="B819" s="440"/>
      <c r="C819" s="441"/>
    </row>
    <row r="820">
      <c r="A820" s="484"/>
      <c r="B820" s="440"/>
      <c r="C820" s="441"/>
    </row>
    <row r="821">
      <c r="A821" s="484"/>
      <c r="B821" s="440"/>
      <c r="C821" s="441"/>
    </row>
    <row r="822">
      <c r="A822" s="484"/>
      <c r="B822" s="440"/>
      <c r="C822" s="441"/>
    </row>
    <row r="823">
      <c r="A823" s="484"/>
      <c r="B823" s="440"/>
      <c r="C823" s="441"/>
    </row>
    <row r="824">
      <c r="A824" s="484"/>
      <c r="B824" s="440"/>
      <c r="C824" s="441"/>
    </row>
    <row r="825">
      <c r="A825" s="484"/>
      <c r="B825" s="440"/>
      <c r="C825" s="441"/>
    </row>
    <row r="826">
      <c r="A826" s="484"/>
      <c r="B826" s="440"/>
      <c r="C826" s="441"/>
    </row>
    <row r="827">
      <c r="A827" s="484"/>
      <c r="B827" s="440"/>
      <c r="C827" s="441"/>
    </row>
    <row r="828">
      <c r="A828" s="484"/>
      <c r="B828" s="440"/>
      <c r="C828" s="441"/>
    </row>
    <row r="829">
      <c r="A829" s="484"/>
      <c r="B829" s="440"/>
      <c r="C829" s="441"/>
    </row>
    <row r="830">
      <c r="A830" s="484"/>
      <c r="B830" s="440"/>
      <c r="C830" s="441"/>
    </row>
    <row r="831">
      <c r="A831" s="484"/>
      <c r="B831" s="440"/>
      <c r="C831" s="441"/>
    </row>
    <row r="832">
      <c r="A832" s="484"/>
      <c r="B832" s="440"/>
      <c r="C832" s="441"/>
    </row>
    <row r="833">
      <c r="A833" s="484"/>
      <c r="B833" s="440"/>
      <c r="C833" s="441"/>
    </row>
    <row r="834">
      <c r="A834" s="484"/>
      <c r="B834" s="440"/>
      <c r="C834" s="441"/>
    </row>
    <row r="835">
      <c r="A835" s="484"/>
      <c r="B835" s="440"/>
      <c r="C835" s="441"/>
    </row>
    <row r="836">
      <c r="A836" s="484"/>
      <c r="B836" s="440"/>
      <c r="C836" s="441"/>
    </row>
    <row r="837">
      <c r="A837" s="484"/>
      <c r="B837" s="440"/>
      <c r="C837" s="441"/>
    </row>
    <row r="838">
      <c r="A838" s="484"/>
      <c r="B838" s="440"/>
      <c r="C838" s="441"/>
    </row>
    <row r="839">
      <c r="A839" s="484"/>
      <c r="B839" s="440"/>
      <c r="C839" s="441"/>
    </row>
    <row r="840">
      <c r="A840" s="484"/>
      <c r="B840" s="440"/>
      <c r="C840" s="441"/>
    </row>
    <row r="841">
      <c r="A841" s="484"/>
      <c r="B841" s="440"/>
      <c r="C841" s="441"/>
    </row>
    <row r="842">
      <c r="A842" s="484"/>
      <c r="B842" s="440"/>
      <c r="C842" s="441"/>
    </row>
    <row r="843">
      <c r="A843" s="484"/>
      <c r="B843" s="440"/>
      <c r="C843" s="441"/>
    </row>
    <row r="844">
      <c r="A844" s="484"/>
      <c r="B844" s="440"/>
      <c r="C844" s="441"/>
    </row>
    <row r="845">
      <c r="A845" s="484"/>
      <c r="B845" s="440"/>
      <c r="C845" s="441"/>
    </row>
    <row r="846">
      <c r="A846" s="484"/>
      <c r="B846" s="440"/>
      <c r="C846" s="441"/>
    </row>
    <row r="847">
      <c r="A847" s="484"/>
      <c r="B847" s="440"/>
      <c r="C847" s="441"/>
    </row>
    <row r="848">
      <c r="A848" s="484"/>
      <c r="B848" s="440"/>
      <c r="C848" s="441"/>
    </row>
    <row r="849">
      <c r="A849" s="484"/>
      <c r="B849" s="440"/>
      <c r="C849" s="441"/>
    </row>
    <row r="850">
      <c r="A850" s="484"/>
      <c r="B850" s="440"/>
      <c r="C850" s="441"/>
    </row>
    <row r="851">
      <c r="A851" s="484"/>
      <c r="B851" s="440"/>
      <c r="C851" s="441"/>
    </row>
    <row r="852">
      <c r="A852" s="484"/>
      <c r="B852" s="440"/>
      <c r="C852" s="441"/>
    </row>
    <row r="853">
      <c r="A853" s="484"/>
      <c r="B853" s="440"/>
      <c r="C853" s="441"/>
    </row>
    <row r="854">
      <c r="A854" s="484"/>
      <c r="B854" s="440"/>
      <c r="C854" s="441"/>
    </row>
    <row r="855">
      <c r="A855" s="484"/>
      <c r="B855" s="440"/>
      <c r="C855" s="441"/>
    </row>
    <row r="856">
      <c r="A856" s="484"/>
      <c r="B856" s="440"/>
      <c r="C856" s="441"/>
    </row>
    <row r="857">
      <c r="A857" s="484"/>
      <c r="B857" s="440"/>
      <c r="C857" s="441"/>
    </row>
    <row r="858">
      <c r="A858" s="484"/>
      <c r="B858" s="440"/>
      <c r="C858" s="441"/>
    </row>
    <row r="859">
      <c r="A859" s="484"/>
      <c r="B859" s="440"/>
      <c r="C859" s="441"/>
    </row>
    <row r="860">
      <c r="A860" s="484"/>
      <c r="B860" s="440"/>
      <c r="C860" s="441"/>
    </row>
    <row r="861">
      <c r="A861" s="484"/>
      <c r="B861" s="440"/>
      <c r="C861" s="441"/>
    </row>
    <row r="862">
      <c r="A862" s="484"/>
      <c r="B862" s="440"/>
      <c r="C862" s="441"/>
    </row>
    <row r="863">
      <c r="A863" s="484"/>
      <c r="B863" s="440"/>
      <c r="C863" s="441"/>
    </row>
    <row r="864">
      <c r="A864" s="484"/>
      <c r="B864" s="440"/>
      <c r="C864" s="441"/>
    </row>
    <row r="865">
      <c r="A865" s="484"/>
      <c r="B865" s="440"/>
      <c r="C865" s="441"/>
    </row>
    <row r="866">
      <c r="A866" s="484"/>
      <c r="B866" s="440"/>
      <c r="C866" s="441"/>
    </row>
    <row r="867">
      <c r="A867" s="484"/>
      <c r="B867" s="440"/>
      <c r="C867" s="441"/>
    </row>
    <row r="868">
      <c r="A868" s="484"/>
      <c r="B868" s="440"/>
      <c r="C868" s="441"/>
    </row>
    <row r="869">
      <c r="A869" s="484"/>
      <c r="B869" s="440"/>
      <c r="C869" s="441"/>
    </row>
    <row r="870">
      <c r="A870" s="484"/>
      <c r="B870" s="440"/>
      <c r="C870" s="441"/>
    </row>
    <row r="871">
      <c r="A871" s="484"/>
      <c r="B871" s="440"/>
      <c r="C871" s="441"/>
    </row>
    <row r="872">
      <c r="A872" s="484"/>
      <c r="B872" s="440"/>
      <c r="C872" s="441"/>
    </row>
    <row r="873">
      <c r="A873" s="484"/>
      <c r="B873" s="440"/>
      <c r="C873" s="441"/>
    </row>
    <row r="874">
      <c r="A874" s="484"/>
      <c r="B874" s="440"/>
      <c r="C874" s="441"/>
    </row>
    <row r="875">
      <c r="A875" s="484"/>
      <c r="B875" s="440"/>
      <c r="C875" s="441"/>
    </row>
    <row r="876">
      <c r="A876" s="484"/>
      <c r="B876" s="440"/>
      <c r="C876" s="441"/>
    </row>
    <row r="877">
      <c r="A877" s="484"/>
      <c r="B877" s="440"/>
      <c r="C877" s="441"/>
    </row>
    <row r="878">
      <c r="A878" s="484"/>
      <c r="B878" s="440"/>
      <c r="C878" s="441"/>
    </row>
    <row r="879">
      <c r="A879" s="484"/>
      <c r="B879" s="440"/>
      <c r="C879" s="441"/>
    </row>
    <row r="880">
      <c r="A880" s="484"/>
      <c r="B880" s="440"/>
      <c r="C880" s="441"/>
    </row>
    <row r="881">
      <c r="A881" s="484"/>
      <c r="B881" s="440"/>
      <c r="C881" s="441"/>
    </row>
    <row r="882">
      <c r="A882" s="484"/>
      <c r="B882" s="440"/>
      <c r="C882" s="441"/>
    </row>
    <row r="883">
      <c r="A883" s="484"/>
      <c r="B883" s="440"/>
      <c r="C883" s="441"/>
    </row>
    <row r="884">
      <c r="A884" s="484"/>
      <c r="B884" s="440"/>
      <c r="C884" s="441"/>
    </row>
    <row r="885">
      <c r="A885" s="484"/>
      <c r="B885" s="440"/>
      <c r="C885" s="441"/>
    </row>
    <row r="886">
      <c r="A886" s="484"/>
      <c r="B886" s="440"/>
      <c r="C886" s="441"/>
    </row>
    <row r="887">
      <c r="A887" s="484"/>
      <c r="B887" s="440"/>
      <c r="C887" s="441"/>
    </row>
    <row r="888">
      <c r="A888" s="484"/>
      <c r="B888" s="440"/>
      <c r="C888" s="441"/>
    </row>
    <row r="889">
      <c r="A889" s="484"/>
      <c r="B889" s="440"/>
      <c r="C889" s="441"/>
    </row>
    <row r="890">
      <c r="A890" s="484"/>
      <c r="B890" s="440"/>
      <c r="C890" s="441"/>
    </row>
    <row r="891">
      <c r="A891" s="484"/>
      <c r="B891" s="440"/>
      <c r="C891" s="441"/>
    </row>
    <row r="892">
      <c r="A892" s="484"/>
      <c r="B892" s="440"/>
      <c r="C892" s="441"/>
    </row>
    <row r="893">
      <c r="A893" s="484"/>
      <c r="B893" s="440"/>
      <c r="C893" s="441"/>
    </row>
    <row r="894">
      <c r="A894" s="484"/>
      <c r="B894" s="440"/>
      <c r="C894" s="441"/>
    </row>
    <row r="895">
      <c r="A895" s="484"/>
      <c r="B895" s="440"/>
      <c r="C895" s="441"/>
    </row>
    <row r="896">
      <c r="A896" s="484"/>
      <c r="B896" s="440"/>
      <c r="C896" s="441"/>
    </row>
    <row r="897">
      <c r="A897" s="484"/>
      <c r="B897" s="440"/>
      <c r="C897" s="441"/>
    </row>
    <row r="898">
      <c r="A898" s="484"/>
      <c r="B898" s="440"/>
      <c r="C898" s="441"/>
    </row>
    <row r="899">
      <c r="A899" s="484"/>
      <c r="B899" s="440"/>
      <c r="C899" s="441"/>
    </row>
    <row r="900">
      <c r="A900" s="484"/>
      <c r="B900" s="440"/>
      <c r="C900" s="441"/>
    </row>
    <row r="901">
      <c r="A901" s="484"/>
      <c r="B901" s="440"/>
      <c r="C901" s="441"/>
    </row>
    <row r="902">
      <c r="A902" s="484"/>
      <c r="B902" s="440"/>
      <c r="C902" s="441"/>
    </row>
    <row r="903">
      <c r="A903" s="484"/>
      <c r="B903" s="440"/>
      <c r="C903" s="441"/>
    </row>
    <row r="904">
      <c r="A904" s="484"/>
      <c r="B904" s="440"/>
      <c r="C904" s="441"/>
    </row>
    <row r="905">
      <c r="A905" s="484"/>
      <c r="B905" s="440"/>
      <c r="C905" s="441"/>
    </row>
    <row r="906">
      <c r="A906" s="484"/>
      <c r="B906" s="440"/>
      <c r="C906" s="441"/>
    </row>
    <row r="907">
      <c r="A907" s="484"/>
      <c r="B907" s="440"/>
      <c r="C907" s="441"/>
    </row>
    <row r="908">
      <c r="A908" s="484"/>
      <c r="B908" s="440"/>
      <c r="C908" s="441"/>
    </row>
    <row r="909">
      <c r="A909" s="484"/>
      <c r="B909" s="440"/>
      <c r="C909" s="441"/>
    </row>
    <row r="910">
      <c r="A910" s="484"/>
      <c r="B910" s="440"/>
      <c r="C910" s="441"/>
    </row>
    <row r="911">
      <c r="A911" s="484"/>
      <c r="B911" s="440"/>
      <c r="C911" s="441"/>
    </row>
    <row r="912">
      <c r="A912" s="484"/>
      <c r="B912" s="440"/>
      <c r="C912" s="441"/>
    </row>
    <row r="913">
      <c r="A913" s="484"/>
      <c r="B913" s="440"/>
      <c r="C913" s="441"/>
    </row>
    <row r="914">
      <c r="A914" s="484"/>
      <c r="B914" s="440"/>
      <c r="C914" s="441"/>
    </row>
    <row r="915">
      <c r="A915" s="484"/>
      <c r="B915" s="440"/>
      <c r="C915" s="441"/>
    </row>
    <row r="916">
      <c r="A916" s="484"/>
      <c r="B916" s="440"/>
      <c r="C916" s="441"/>
    </row>
    <row r="917">
      <c r="A917" s="484"/>
      <c r="B917" s="440"/>
      <c r="C917" s="441"/>
    </row>
    <row r="918">
      <c r="A918" s="484"/>
      <c r="B918" s="440"/>
      <c r="C918" s="441"/>
    </row>
    <row r="919">
      <c r="A919" s="484"/>
      <c r="B919" s="440"/>
      <c r="C919" s="441"/>
    </row>
    <row r="920">
      <c r="A920" s="484"/>
      <c r="B920" s="440"/>
      <c r="C920" s="441"/>
    </row>
    <row r="921">
      <c r="A921" s="484"/>
      <c r="B921" s="440"/>
      <c r="C921" s="441"/>
    </row>
    <row r="922">
      <c r="A922" s="484"/>
      <c r="B922" s="440"/>
      <c r="C922" s="441"/>
    </row>
    <row r="923">
      <c r="A923" s="484"/>
      <c r="B923" s="440"/>
      <c r="C923" s="441"/>
    </row>
    <row r="924">
      <c r="A924" s="484"/>
      <c r="B924" s="440"/>
      <c r="C924" s="441"/>
    </row>
    <row r="925">
      <c r="A925" s="484"/>
      <c r="B925" s="440"/>
      <c r="C925" s="441"/>
    </row>
    <row r="926">
      <c r="A926" s="484"/>
      <c r="B926" s="440"/>
      <c r="C926" s="441"/>
    </row>
    <row r="927">
      <c r="A927" s="484"/>
      <c r="B927" s="440"/>
      <c r="C927" s="441"/>
    </row>
    <row r="928">
      <c r="A928" s="484"/>
      <c r="B928" s="440"/>
      <c r="C928" s="441"/>
    </row>
    <row r="929">
      <c r="A929" s="484"/>
      <c r="B929" s="440"/>
      <c r="C929" s="441"/>
    </row>
    <row r="930">
      <c r="A930" s="484"/>
      <c r="B930" s="440"/>
      <c r="C930" s="441"/>
    </row>
    <row r="931">
      <c r="A931" s="484"/>
      <c r="B931" s="440"/>
      <c r="C931" s="441"/>
    </row>
    <row r="932">
      <c r="A932" s="484"/>
      <c r="B932" s="440"/>
      <c r="C932" s="441"/>
    </row>
    <row r="933">
      <c r="A933" s="484"/>
      <c r="B933" s="440"/>
      <c r="C933" s="441"/>
    </row>
    <row r="934">
      <c r="A934" s="484"/>
      <c r="B934" s="440"/>
      <c r="C934" s="441"/>
    </row>
    <row r="935">
      <c r="A935" s="484"/>
      <c r="B935" s="440"/>
      <c r="C935" s="441"/>
    </row>
    <row r="936">
      <c r="A936" s="484"/>
      <c r="B936" s="440"/>
      <c r="C936" s="441"/>
    </row>
    <row r="937">
      <c r="A937" s="484"/>
      <c r="B937" s="440"/>
      <c r="C937" s="441"/>
    </row>
    <row r="938">
      <c r="A938" s="484"/>
      <c r="B938" s="440"/>
      <c r="C938" s="441"/>
    </row>
    <row r="939">
      <c r="A939" s="484"/>
      <c r="B939" s="440"/>
      <c r="C939" s="441"/>
    </row>
    <row r="940">
      <c r="A940" s="484"/>
      <c r="B940" s="440"/>
      <c r="C940" s="441"/>
    </row>
    <row r="941">
      <c r="A941" s="484"/>
      <c r="B941" s="440"/>
      <c r="C941" s="441"/>
    </row>
    <row r="942">
      <c r="A942" s="484"/>
      <c r="B942" s="440"/>
      <c r="C942" s="441"/>
    </row>
    <row r="943">
      <c r="A943" s="484"/>
      <c r="B943" s="440"/>
      <c r="C943" s="441"/>
    </row>
    <row r="944">
      <c r="A944" s="484"/>
      <c r="B944" s="440"/>
      <c r="C944" s="441"/>
    </row>
    <row r="945">
      <c r="A945" s="484"/>
      <c r="B945" s="440"/>
      <c r="C945" s="441"/>
    </row>
    <row r="946">
      <c r="A946" s="484"/>
      <c r="B946" s="440"/>
      <c r="C946" s="441"/>
    </row>
    <row r="947">
      <c r="A947" s="484"/>
      <c r="B947" s="440"/>
      <c r="C947" s="441"/>
    </row>
    <row r="948">
      <c r="A948" s="484"/>
      <c r="B948" s="440"/>
      <c r="C948" s="441"/>
    </row>
    <row r="949">
      <c r="A949" s="484"/>
      <c r="B949" s="440"/>
      <c r="C949" s="441"/>
    </row>
    <row r="950">
      <c r="A950" s="484"/>
      <c r="B950" s="440"/>
      <c r="C950" s="441"/>
    </row>
    <row r="951">
      <c r="A951" s="484"/>
      <c r="B951" s="440"/>
      <c r="C951" s="441"/>
    </row>
    <row r="952">
      <c r="A952" s="484"/>
      <c r="B952" s="440"/>
      <c r="C952" s="441"/>
    </row>
    <row r="953">
      <c r="A953" s="484"/>
      <c r="B953" s="440"/>
      <c r="C953" s="441"/>
    </row>
    <row r="954">
      <c r="A954" s="484"/>
      <c r="B954" s="440"/>
      <c r="C954" s="441"/>
    </row>
    <row r="955">
      <c r="A955" s="484"/>
      <c r="B955" s="440"/>
      <c r="C955" s="441"/>
    </row>
    <row r="956">
      <c r="A956" s="484"/>
      <c r="B956" s="440"/>
      <c r="C956" s="441"/>
    </row>
    <row r="957">
      <c r="A957" s="484"/>
      <c r="B957" s="440"/>
      <c r="C957" s="441"/>
    </row>
    <row r="958">
      <c r="A958" s="484"/>
      <c r="B958" s="440"/>
      <c r="C958" s="441"/>
    </row>
    <row r="959">
      <c r="A959" s="484"/>
      <c r="B959" s="440"/>
      <c r="C959" s="441"/>
    </row>
    <row r="960">
      <c r="A960" s="484"/>
      <c r="B960" s="440"/>
      <c r="C960" s="441"/>
    </row>
    <row r="961">
      <c r="A961" s="484"/>
      <c r="B961" s="440"/>
      <c r="C961" s="441"/>
    </row>
    <row r="962">
      <c r="A962" s="484"/>
      <c r="B962" s="440"/>
      <c r="C962" s="441"/>
    </row>
    <row r="963">
      <c r="A963" s="484"/>
      <c r="B963" s="440"/>
      <c r="C963" s="441"/>
    </row>
    <row r="964">
      <c r="A964" s="484"/>
      <c r="B964" s="440"/>
      <c r="C964" s="441"/>
    </row>
    <row r="965">
      <c r="A965" s="484"/>
      <c r="B965" s="440"/>
      <c r="C965" s="441"/>
    </row>
    <row r="966">
      <c r="A966" s="484"/>
      <c r="B966" s="440"/>
      <c r="C966" s="441"/>
    </row>
    <row r="967">
      <c r="A967" s="484"/>
      <c r="B967" s="440"/>
      <c r="C967" s="441"/>
    </row>
    <row r="968">
      <c r="A968" s="484"/>
      <c r="B968" s="440"/>
      <c r="C968" s="441"/>
    </row>
    <row r="969">
      <c r="A969" s="484"/>
      <c r="B969" s="440"/>
      <c r="C969" s="441"/>
    </row>
    <row r="970">
      <c r="A970" s="484"/>
      <c r="B970" s="440"/>
      <c r="C970" s="441"/>
    </row>
    <row r="971">
      <c r="A971" s="484"/>
      <c r="B971" s="440"/>
      <c r="C971" s="441"/>
    </row>
    <row r="972">
      <c r="A972" s="484"/>
      <c r="B972" s="440"/>
      <c r="C972" s="441"/>
    </row>
    <row r="973">
      <c r="A973" s="484"/>
      <c r="B973" s="440"/>
      <c r="C973" s="441"/>
    </row>
    <row r="974">
      <c r="A974" s="484"/>
      <c r="B974" s="440"/>
      <c r="C974" s="441"/>
    </row>
    <row r="975">
      <c r="A975" s="484"/>
      <c r="B975" s="440"/>
      <c r="C975" s="441"/>
    </row>
    <row r="976">
      <c r="A976" s="484"/>
      <c r="B976" s="440"/>
      <c r="C976" s="441"/>
    </row>
    <row r="977">
      <c r="A977" s="484"/>
      <c r="B977" s="440"/>
      <c r="C977" s="441"/>
    </row>
    <row r="978">
      <c r="A978" s="484"/>
      <c r="B978" s="440"/>
      <c r="C978" s="441"/>
    </row>
    <row r="979">
      <c r="A979" s="484"/>
      <c r="B979" s="440"/>
      <c r="C979" s="441"/>
    </row>
    <row r="980">
      <c r="A980" s="484"/>
      <c r="B980" s="440"/>
      <c r="C980" s="441"/>
    </row>
    <row r="981">
      <c r="A981" s="484"/>
      <c r="B981" s="440"/>
      <c r="C981" s="441"/>
    </row>
    <row r="982">
      <c r="A982" s="484"/>
      <c r="B982" s="440"/>
      <c r="C982" s="441"/>
    </row>
    <row r="983">
      <c r="A983" s="484"/>
      <c r="B983" s="440"/>
      <c r="C983" s="441"/>
    </row>
    <row r="984">
      <c r="A984" s="484"/>
      <c r="B984" s="440"/>
      <c r="C984" s="441"/>
    </row>
    <row r="985">
      <c r="A985" s="484"/>
      <c r="B985" s="440"/>
      <c r="C985" s="441"/>
    </row>
    <row r="986">
      <c r="A986" s="484"/>
      <c r="B986" s="440"/>
      <c r="C986" s="441"/>
    </row>
    <row r="987">
      <c r="A987" s="484"/>
      <c r="B987" s="440"/>
      <c r="C987" s="441"/>
    </row>
    <row r="988">
      <c r="A988" s="484"/>
      <c r="B988" s="440"/>
      <c r="C988" s="441"/>
    </row>
    <row r="989">
      <c r="A989" s="484"/>
      <c r="B989" s="440"/>
      <c r="C989" s="441"/>
    </row>
    <row r="990">
      <c r="A990" s="484"/>
      <c r="B990" s="440"/>
      <c r="C990" s="441"/>
    </row>
    <row r="991">
      <c r="A991" s="484"/>
      <c r="B991" s="440"/>
      <c r="C991" s="441"/>
    </row>
    <row r="992">
      <c r="A992" s="484"/>
      <c r="B992" s="440"/>
      <c r="C992" s="441"/>
    </row>
    <row r="993">
      <c r="A993" s="484"/>
      <c r="B993" s="440"/>
      <c r="C993" s="441"/>
    </row>
    <row r="994">
      <c r="A994" s="484"/>
      <c r="B994" s="440"/>
      <c r="C994" s="441"/>
    </row>
    <row r="995">
      <c r="A995" s="484"/>
      <c r="B995" s="440"/>
      <c r="C995" s="441"/>
    </row>
    <row r="996">
      <c r="A996" s="484"/>
      <c r="B996" s="440"/>
      <c r="C996" s="441"/>
    </row>
    <row r="997">
      <c r="A997" s="484"/>
      <c r="B997" s="440"/>
      <c r="C997" s="441"/>
    </row>
    <row r="998">
      <c r="A998" s="484"/>
      <c r="B998" s="440"/>
      <c r="C998" s="441"/>
    </row>
    <row r="999">
      <c r="A999" s="484"/>
      <c r="B999" s="440"/>
      <c r="C999" s="441"/>
    </row>
    <row r="1000">
      <c r="A1000" s="484"/>
      <c r="B1000" s="440"/>
      <c r="C1000" s="441"/>
    </row>
    <row r="1001">
      <c r="A1001" s="484"/>
      <c r="B1001" s="440"/>
      <c r="C1001" s="441"/>
    </row>
    <row r="1002">
      <c r="A1002" s="484"/>
      <c r="B1002" s="440"/>
      <c r="C1002" s="441"/>
    </row>
    <row r="1003">
      <c r="A1003" s="484"/>
      <c r="B1003" s="440"/>
      <c r="C1003" s="441"/>
    </row>
    <row r="1004">
      <c r="A1004" s="484"/>
      <c r="B1004" s="440"/>
      <c r="C1004" s="441"/>
    </row>
    <row r="1005">
      <c r="A1005" s="484"/>
      <c r="B1005" s="440"/>
      <c r="C1005" s="441"/>
    </row>
    <row r="1006">
      <c r="A1006" s="484"/>
      <c r="B1006" s="440"/>
      <c r="C1006" s="441"/>
    </row>
    <row r="1007">
      <c r="A1007" s="484"/>
      <c r="B1007" s="440"/>
      <c r="C1007" s="441"/>
    </row>
    <row r="1008">
      <c r="A1008" s="484"/>
      <c r="B1008" s="440"/>
      <c r="C1008" s="441"/>
    </row>
    <row r="1009">
      <c r="A1009" s="484"/>
      <c r="B1009" s="440"/>
      <c r="C1009" s="441"/>
    </row>
    <row r="1010">
      <c r="A1010" s="484"/>
      <c r="B1010" s="440"/>
      <c r="C1010" s="441"/>
    </row>
    <row r="1011">
      <c r="A1011" s="484"/>
      <c r="B1011" s="440"/>
      <c r="C1011" s="441"/>
    </row>
    <row r="1012">
      <c r="A1012" s="484"/>
      <c r="B1012" s="440"/>
      <c r="C1012" s="441"/>
    </row>
    <row r="1013">
      <c r="A1013" s="484"/>
      <c r="B1013" s="440"/>
      <c r="C1013" s="441"/>
    </row>
    <row r="1014">
      <c r="A1014" s="484"/>
      <c r="B1014" s="440"/>
      <c r="C1014" s="441"/>
    </row>
    <row r="1015">
      <c r="A1015" s="484"/>
      <c r="B1015" s="440"/>
      <c r="C1015" s="441"/>
    </row>
    <row r="1016">
      <c r="A1016" s="484"/>
      <c r="B1016" s="440"/>
      <c r="C1016" s="441"/>
    </row>
    <row r="1017">
      <c r="A1017" s="484"/>
      <c r="B1017" s="440"/>
      <c r="C1017" s="441"/>
    </row>
    <row r="1018">
      <c r="A1018" s="484"/>
      <c r="B1018" s="440"/>
      <c r="C1018" s="441"/>
    </row>
    <row r="1019">
      <c r="A1019" s="484"/>
      <c r="B1019" s="440"/>
      <c r="C1019" s="441"/>
    </row>
    <row r="1020">
      <c r="A1020" s="484"/>
      <c r="B1020" s="440"/>
      <c r="C1020" s="441"/>
    </row>
    <row r="1021">
      <c r="A1021" s="484"/>
      <c r="B1021" s="440"/>
      <c r="C1021" s="441"/>
    </row>
    <row r="1022">
      <c r="A1022" s="484"/>
      <c r="B1022" s="440"/>
      <c r="C1022" s="441"/>
    </row>
    <row r="1023">
      <c r="A1023" s="484"/>
      <c r="B1023" s="440"/>
      <c r="C1023" s="441"/>
    </row>
    <row r="1024">
      <c r="A1024" s="484"/>
      <c r="B1024" s="440"/>
      <c r="C1024" s="441"/>
    </row>
    <row r="1025">
      <c r="A1025" s="484"/>
      <c r="B1025" s="440"/>
      <c r="C1025" s="441"/>
    </row>
    <row r="1026">
      <c r="A1026" s="484"/>
      <c r="B1026" s="440"/>
      <c r="C1026" s="441"/>
    </row>
    <row r="1027">
      <c r="A1027" s="484"/>
      <c r="B1027" s="440"/>
      <c r="C1027" s="441"/>
    </row>
    <row r="1028">
      <c r="A1028" s="484"/>
      <c r="B1028" s="440"/>
      <c r="C1028" s="441"/>
    </row>
    <row r="1029">
      <c r="A1029" s="484"/>
      <c r="B1029" s="440"/>
      <c r="C1029" s="441"/>
    </row>
    <row r="1030">
      <c r="A1030" s="484"/>
      <c r="B1030" s="440"/>
      <c r="C1030" s="441"/>
    </row>
    <row r="1031">
      <c r="A1031" s="484"/>
      <c r="B1031" s="440"/>
      <c r="C1031" s="441"/>
    </row>
    <row r="1032">
      <c r="A1032" s="484"/>
      <c r="B1032" s="440"/>
      <c r="C1032" s="441"/>
    </row>
    <row r="1033">
      <c r="A1033" s="484"/>
      <c r="B1033" s="440"/>
      <c r="C1033" s="441"/>
    </row>
    <row r="1034">
      <c r="A1034" s="484"/>
      <c r="B1034" s="440"/>
      <c r="C1034" s="441"/>
    </row>
    <row r="1035">
      <c r="A1035" s="484"/>
      <c r="B1035" s="440"/>
      <c r="C1035" s="441"/>
    </row>
    <row r="1036">
      <c r="A1036" s="484"/>
      <c r="B1036" s="440"/>
      <c r="C1036" s="441"/>
    </row>
    <row r="1037">
      <c r="A1037" s="484"/>
      <c r="B1037" s="440"/>
      <c r="C1037" s="441"/>
    </row>
    <row r="1038">
      <c r="A1038" s="484"/>
      <c r="B1038" s="440"/>
      <c r="C1038" s="441"/>
    </row>
    <row r="1039">
      <c r="A1039" s="484"/>
      <c r="B1039" s="440"/>
      <c r="C1039" s="441"/>
    </row>
    <row r="1040">
      <c r="A1040" s="484"/>
      <c r="B1040" s="440"/>
      <c r="C1040" s="441"/>
    </row>
    <row r="1041">
      <c r="A1041" s="484"/>
      <c r="B1041" s="440"/>
      <c r="C1041" s="441"/>
    </row>
    <row r="1042">
      <c r="A1042" s="484"/>
      <c r="B1042" s="440"/>
      <c r="C1042" s="441"/>
    </row>
  </sheetData>
  <mergeCells count="1">
    <mergeCell ref="A1:C1"/>
  </mergeCells>
  <drawing r:id="rId1"/>
  <tableParts count="5">
    <tablePart r:id="rId7"/>
    <tablePart r:id="rId8"/>
    <tablePart r:id="rId9"/>
    <tablePart r:id="rId10"/>
    <tablePart r:id="rId1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17.25"/>
    <col customWidth="1" min="3" max="3" width="25.0"/>
    <col hidden="1" min="4" max="4" width="12.63"/>
    <col customWidth="1" hidden="1" min="7" max="7" width="38.13"/>
    <col hidden="1" min="8" max="8" width="12.63"/>
  </cols>
  <sheetData>
    <row r="1">
      <c r="A1" s="515" t="s">
        <v>3094</v>
      </c>
      <c r="B1" s="516"/>
      <c r="C1" s="516"/>
      <c r="D1" s="517"/>
      <c r="G1" s="516"/>
    </row>
    <row r="2">
      <c r="A2" s="411" t="s">
        <v>3095</v>
      </c>
      <c r="B2" s="518" t="s">
        <v>3051</v>
      </c>
      <c r="C2" s="518" t="s">
        <v>3096</v>
      </c>
      <c r="D2" s="518"/>
      <c r="G2" s="518" t="s">
        <v>3096</v>
      </c>
      <c r="H2" s="411" t="s">
        <v>3058</v>
      </c>
    </row>
    <row r="3">
      <c r="A3" s="411" t="s">
        <v>3097</v>
      </c>
      <c r="B3" s="519" t="s">
        <v>44</v>
      </c>
      <c r="C3" s="519" t="s">
        <v>3098</v>
      </c>
      <c r="D3" s="519" t="s">
        <v>3099</v>
      </c>
      <c r="G3" s="519" t="s">
        <v>3100</v>
      </c>
      <c r="H3" s="411" t="s">
        <v>880</v>
      </c>
    </row>
    <row r="4">
      <c r="A4" s="411" t="s">
        <v>3097</v>
      </c>
      <c r="B4" s="519" t="s">
        <v>44</v>
      </c>
      <c r="C4" s="519" t="s">
        <v>3101</v>
      </c>
      <c r="D4" s="519" t="s">
        <v>3099</v>
      </c>
      <c r="G4" s="519" t="s">
        <v>3102</v>
      </c>
      <c r="H4" s="411" t="s">
        <v>880</v>
      </c>
    </row>
    <row r="5">
      <c r="A5" s="411" t="s">
        <v>3097</v>
      </c>
      <c r="B5" s="519" t="s">
        <v>70</v>
      </c>
      <c r="C5" s="519" t="s">
        <v>3103</v>
      </c>
      <c r="D5" s="519" t="s">
        <v>3099</v>
      </c>
      <c r="G5" s="519" t="s">
        <v>3104</v>
      </c>
      <c r="H5" s="411" t="s">
        <v>880</v>
      </c>
    </row>
    <row r="6">
      <c r="A6" s="411" t="s">
        <v>3097</v>
      </c>
      <c r="B6" s="519" t="s">
        <v>44</v>
      </c>
      <c r="C6" s="519" t="s">
        <v>3098</v>
      </c>
      <c r="D6" s="519" t="s">
        <v>3099</v>
      </c>
      <c r="G6" s="519" t="s">
        <v>3105</v>
      </c>
      <c r="H6" s="411" t="s">
        <v>1866</v>
      </c>
    </row>
    <row r="7">
      <c r="A7" s="411" t="s">
        <v>3097</v>
      </c>
      <c r="B7" s="519" t="s">
        <v>3106</v>
      </c>
      <c r="C7" s="519" t="s">
        <v>3098</v>
      </c>
      <c r="D7" s="519" t="s">
        <v>3099</v>
      </c>
      <c r="G7" s="519" t="s">
        <v>3101</v>
      </c>
      <c r="H7" s="411" t="s">
        <v>1676</v>
      </c>
    </row>
    <row r="8">
      <c r="A8" s="411" t="s">
        <v>3107</v>
      </c>
      <c r="B8" s="519" t="s">
        <v>44</v>
      </c>
      <c r="C8" s="519" t="s">
        <v>3108</v>
      </c>
      <c r="D8" s="519" t="s">
        <v>3099</v>
      </c>
      <c r="G8" s="519" t="s">
        <v>3109</v>
      </c>
      <c r="H8" s="411" t="s">
        <v>3110</v>
      </c>
    </row>
    <row r="9">
      <c r="B9" s="519" t="s">
        <v>44</v>
      </c>
      <c r="C9" s="519" t="s">
        <v>3111</v>
      </c>
      <c r="D9" s="519" t="s">
        <v>3112</v>
      </c>
      <c r="G9" s="519" t="s">
        <v>3113</v>
      </c>
      <c r="H9" s="411" t="s">
        <v>1866</v>
      </c>
    </row>
    <row r="10">
      <c r="A10" s="411" t="s">
        <v>3097</v>
      </c>
      <c r="B10" s="519" t="s">
        <v>44</v>
      </c>
      <c r="C10" s="519" t="s">
        <v>3104</v>
      </c>
      <c r="D10" s="519" t="s">
        <v>3112</v>
      </c>
      <c r="G10" s="519" t="s">
        <v>3103</v>
      </c>
      <c r="H10" s="411" t="s">
        <v>839</v>
      </c>
    </row>
    <row r="11">
      <c r="A11" s="411" t="s">
        <v>3097</v>
      </c>
      <c r="B11" s="519" t="s">
        <v>44</v>
      </c>
      <c r="C11" s="519" t="s">
        <v>1033</v>
      </c>
      <c r="D11" s="519" t="s">
        <v>3112</v>
      </c>
      <c r="G11" s="519" t="s">
        <v>3114</v>
      </c>
      <c r="H11" s="411" t="s">
        <v>839</v>
      </c>
    </row>
    <row r="12">
      <c r="A12" s="411" t="s">
        <v>3097</v>
      </c>
      <c r="B12" s="519" t="s">
        <v>70</v>
      </c>
      <c r="C12" s="519" t="s">
        <v>3115</v>
      </c>
      <c r="D12" s="519" t="s">
        <v>3112</v>
      </c>
      <c r="G12" s="519" t="s">
        <v>3108</v>
      </c>
      <c r="H12" s="411" t="s">
        <v>839</v>
      </c>
    </row>
    <row r="13">
      <c r="A13" s="411" t="s">
        <v>3097</v>
      </c>
      <c r="B13" s="519" t="s">
        <v>44</v>
      </c>
      <c r="C13" s="519" t="s">
        <v>3109</v>
      </c>
      <c r="D13" s="519" t="s">
        <v>3112</v>
      </c>
      <c r="G13" s="519" t="s">
        <v>3116</v>
      </c>
      <c r="H13" s="411" t="s">
        <v>880</v>
      </c>
    </row>
    <row r="14">
      <c r="A14" s="411" t="s">
        <v>3097</v>
      </c>
      <c r="B14" s="520"/>
      <c r="C14" s="519" t="s">
        <v>3117</v>
      </c>
      <c r="D14" s="519" t="s">
        <v>3112</v>
      </c>
      <c r="G14" s="519" t="s">
        <v>229</v>
      </c>
      <c r="H14" s="411" t="s">
        <v>1676</v>
      </c>
    </row>
    <row r="15">
      <c r="A15" s="411" t="s">
        <v>3097</v>
      </c>
      <c r="B15" s="519" t="s">
        <v>44</v>
      </c>
      <c r="C15" s="519" t="s">
        <v>3114</v>
      </c>
      <c r="D15" s="519" t="s">
        <v>3112</v>
      </c>
      <c r="G15" s="519" t="s">
        <v>3118</v>
      </c>
      <c r="H15" s="411" t="s">
        <v>1676</v>
      </c>
    </row>
    <row r="16">
      <c r="A16" s="411" t="s">
        <v>3107</v>
      </c>
      <c r="B16" s="519" t="s">
        <v>44</v>
      </c>
      <c r="C16" s="519" t="s">
        <v>3104</v>
      </c>
      <c r="D16" s="519" t="s">
        <v>3119</v>
      </c>
      <c r="G16" s="519" t="s">
        <v>3120</v>
      </c>
      <c r="H16" s="411" t="s">
        <v>839</v>
      </c>
    </row>
    <row r="17">
      <c r="A17" s="411" t="s">
        <v>3097</v>
      </c>
      <c r="B17" s="519" t="s">
        <v>44</v>
      </c>
      <c r="C17" s="519" t="s">
        <v>3121</v>
      </c>
      <c r="D17" s="519" t="s">
        <v>3119</v>
      </c>
      <c r="G17" s="519" t="s">
        <v>3122</v>
      </c>
      <c r="H17" s="411" t="s">
        <v>839</v>
      </c>
    </row>
    <row r="18">
      <c r="A18" s="411" t="s">
        <v>3097</v>
      </c>
      <c r="B18" s="519" t="s">
        <v>44</v>
      </c>
      <c r="C18" s="519" t="s">
        <v>3123</v>
      </c>
      <c r="D18" s="519" t="s">
        <v>3119</v>
      </c>
      <c r="G18" s="519" t="s">
        <v>244</v>
      </c>
      <c r="H18" s="411" t="s">
        <v>3110</v>
      </c>
    </row>
    <row r="19">
      <c r="A19" s="411" t="s">
        <v>3097</v>
      </c>
      <c r="B19" s="519" t="s">
        <v>70</v>
      </c>
      <c r="C19" s="519" t="s">
        <v>3115</v>
      </c>
      <c r="D19" s="519" t="s">
        <v>3119</v>
      </c>
      <c r="G19" s="519" t="s">
        <v>3115</v>
      </c>
      <c r="H19" s="411" t="s">
        <v>1866</v>
      </c>
    </row>
    <row r="20">
      <c r="A20" s="411" t="s">
        <v>3097</v>
      </c>
      <c r="B20" s="520"/>
      <c r="C20" s="519" t="s">
        <v>3124</v>
      </c>
      <c r="D20" s="519" t="s">
        <v>3119</v>
      </c>
      <c r="G20" s="519" t="s">
        <v>3125</v>
      </c>
      <c r="H20" s="411" t="s">
        <v>3126</v>
      </c>
    </row>
    <row r="21">
      <c r="A21" s="411" t="s">
        <v>3097</v>
      </c>
      <c r="B21" s="520"/>
      <c r="C21" s="519" t="s">
        <v>3125</v>
      </c>
      <c r="D21" s="519" t="s">
        <v>3127</v>
      </c>
      <c r="G21" s="519" t="s">
        <v>3128</v>
      </c>
      <c r="H21" s="411" t="s">
        <v>3110</v>
      </c>
    </row>
    <row r="22">
      <c r="A22" s="411" t="s">
        <v>3097</v>
      </c>
      <c r="B22" s="519" t="s">
        <v>44</v>
      </c>
      <c r="C22" s="519" t="s">
        <v>3098</v>
      </c>
      <c r="D22" s="519" t="s">
        <v>3127</v>
      </c>
      <c r="G22" s="519" t="s">
        <v>3129</v>
      </c>
      <c r="H22" s="411" t="s">
        <v>1676</v>
      </c>
    </row>
    <row r="23">
      <c r="A23" s="411" t="s">
        <v>3097</v>
      </c>
      <c r="B23" s="519" t="s">
        <v>44</v>
      </c>
      <c r="C23" s="519" t="s">
        <v>2611</v>
      </c>
      <c r="D23" s="519" t="s">
        <v>3127</v>
      </c>
      <c r="G23" s="519" t="s">
        <v>3130</v>
      </c>
      <c r="H23" s="411" t="s">
        <v>3066</v>
      </c>
    </row>
    <row r="24">
      <c r="B24" s="519" t="s">
        <v>44</v>
      </c>
      <c r="C24" s="519" t="s">
        <v>2611</v>
      </c>
      <c r="D24" s="519" t="s">
        <v>3127</v>
      </c>
      <c r="G24" s="519" t="s">
        <v>3117</v>
      </c>
      <c r="H24" s="411" t="s">
        <v>3110</v>
      </c>
    </row>
    <row r="25">
      <c r="A25" s="411" t="s">
        <v>3097</v>
      </c>
      <c r="B25" s="519" t="s">
        <v>70</v>
      </c>
      <c r="C25" s="519" t="s">
        <v>3100</v>
      </c>
      <c r="D25" s="519" t="s">
        <v>3127</v>
      </c>
      <c r="G25" s="519" t="s">
        <v>3098</v>
      </c>
      <c r="H25" s="411" t="s">
        <v>1676</v>
      </c>
    </row>
    <row r="26">
      <c r="A26" s="411" t="s">
        <v>3107</v>
      </c>
      <c r="B26" s="519" t="s">
        <v>44</v>
      </c>
      <c r="C26" s="519" t="s">
        <v>3098</v>
      </c>
      <c r="D26" s="519" t="s">
        <v>3127</v>
      </c>
      <c r="G26" s="519" t="s">
        <v>3131</v>
      </c>
      <c r="H26" s="411" t="s">
        <v>3132</v>
      </c>
    </row>
    <row r="27">
      <c r="A27" s="411" t="s">
        <v>3107</v>
      </c>
      <c r="B27" s="519" t="s">
        <v>44</v>
      </c>
      <c r="C27" s="519" t="s">
        <v>3124</v>
      </c>
      <c r="D27" s="519" t="s">
        <v>3127</v>
      </c>
      <c r="G27" s="519" t="s">
        <v>3133</v>
      </c>
      <c r="H27" s="411" t="s">
        <v>3132</v>
      </c>
    </row>
    <row r="28">
      <c r="A28" s="411" t="s">
        <v>3107</v>
      </c>
      <c r="B28" s="519" t="s">
        <v>70</v>
      </c>
      <c r="C28" s="519" t="s">
        <v>1969</v>
      </c>
      <c r="D28" s="519" t="s">
        <v>3134</v>
      </c>
      <c r="G28" s="519" t="s">
        <v>1137</v>
      </c>
      <c r="H28" s="411" t="s">
        <v>3066</v>
      </c>
    </row>
    <row r="29">
      <c r="A29" s="411" t="s">
        <v>3097</v>
      </c>
      <c r="B29" s="519" t="s">
        <v>44</v>
      </c>
      <c r="C29" s="519" t="s">
        <v>3133</v>
      </c>
      <c r="D29" s="519" t="s">
        <v>3134</v>
      </c>
      <c r="G29" s="519" t="s">
        <v>3135</v>
      </c>
      <c r="H29" s="411" t="s">
        <v>3066</v>
      </c>
    </row>
    <row r="30">
      <c r="A30" s="411" t="s">
        <v>3097</v>
      </c>
      <c r="B30" s="519" t="s">
        <v>44</v>
      </c>
      <c r="C30" s="519" t="s">
        <v>2611</v>
      </c>
      <c r="D30" s="519" t="s">
        <v>3134</v>
      </c>
      <c r="G30" s="519" t="s">
        <v>3136</v>
      </c>
      <c r="H30" s="411" t="s">
        <v>3066</v>
      </c>
    </row>
    <row r="31">
      <c r="A31" s="411" t="s">
        <v>3097</v>
      </c>
      <c r="B31" s="519" t="s">
        <v>44</v>
      </c>
      <c r="C31" s="519" t="s">
        <v>3129</v>
      </c>
      <c r="D31" s="519" t="s">
        <v>3134</v>
      </c>
      <c r="G31" s="519" t="s">
        <v>3124</v>
      </c>
      <c r="H31" s="411" t="s">
        <v>3066</v>
      </c>
    </row>
    <row r="32">
      <c r="A32" s="411" t="s">
        <v>3097</v>
      </c>
      <c r="B32" s="519" t="s">
        <v>44</v>
      </c>
      <c r="C32" s="519" t="s">
        <v>3098</v>
      </c>
      <c r="D32" s="519" t="s">
        <v>3137</v>
      </c>
      <c r="G32" s="519" t="s">
        <v>3138</v>
      </c>
      <c r="H32" s="411" t="s">
        <v>3066</v>
      </c>
    </row>
    <row r="33">
      <c r="A33" s="411" t="s">
        <v>3097</v>
      </c>
      <c r="B33" s="519" t="s">
        <v>44</v>
      </c>
      <c r="C33" s="519" t="s">
        <v>538</v>
      </c>
      <c r="D33" s="519" t="s">
        <v>3137</v>
      </c>
      <c r="G33" s="519" t="s">
        <v>3139</v>
      </c>
      <c r="H33" s="411" t="s">
        <v>3066</v>
      </c>
    </row>
    <row r="34">
      <c r="A34" s="411" t="s">
        <v>3097</v>
      </c>
      <c r="B34" s="519" t="s">
        <v>3106</v>
      </c>
      <c r="C34" s="519" t="s">
        <v>3098</v>
      </c>
      <c r="D34" s="519" t="s">
        <v>3137</v>
      </c>
      <c r="G34" s="519" t="s">
        <v>1033</v>
      </c>
      <c r="H34" s="411" t="s">
        <v>3110</v>
      </c>
    </row>
    <row r="35">
      <c r="A35" s="411" t="s">
        <v>3107</v>
      </c>
      <c r="B35" s="519" t="s">
        <v>44</v>
      </c>
      <c r="C35" s="519" t="s">
        <v>3136</v>
      </c>
      <c r="D35" s="519" t="s">
        <v>3137</v>
      </c>
      <c r="G35" s="519" t="s">
        <v>3140</v>
      </c>
      <c r="H35" s="411" t="s">
        <v>3066</v>
      </c>
    </row>
    <row r="36">
      <c r="A36" s="411" t="s">
        <v>3107</v>
      </c>
      <c r="B36" s="519" t="s">
        <v>44</v>
      </c>
      <c r="C36" s="519" t="s">
        <v>3141</v>
      </c>
      <c r="D36" s="519" t="s">
        <v>3137</v>
      </c>
      <c r="G36" s="519" t="s">
        <v>3121</v>
      </c>
      <c r="H36" s="411" t="s">
        <v>3132</v>
      </c>
    </row>
    <row r="37">
      <c r="A37" s="411" t="s">
        <v>3097</v>
      </c>
      <c r="B37" s="519" t="s">
        <v>44</v>
      </c>
      <c r="C37" s="519" t="s">
        <v>3139</v>
      </c>
      <c r="D37" s="519" t="s">
        <v>3137</v>
      </c>
      <c r="G37" s="519" t="s">
        <v>3141</v>
      </c>
      <c r="H37" s="411" t="s">
        <v>3132</v>
      </c>
    </row>
    <row r="38">
      <c r="A38" s="411" t="s">
        <v>3097</v>
      </c>
      <c r="B38" s="519" t="s">
        <v>324</v>
      </c>
      <c r="C38" s="519" t="s">
        <v>3116</v>
      </c>
      <c r="D38" s="519" t="s">
        <v>3137</v>
      </c>
      <c r="G38" s="519" t="s">
        <v>626</v>
      </c>
      <c r="H38" s="411" t="s">
        <v>3110</v>
      </c>
    </row>
    <row r="39">
      <c r="A39" s="411" t="s">
        <v>3107</v>
      </c>
      <c r="B39" s="519" t="s">
        <v>70</v>
      </c>
      <c r="C39" s="519" t="s">
        <v>1137</v>
      </c>
      <c r="D39" s="519" t="s">
        <v>3137</v>
      </c>
      <c r="G39" s="519" t="s">
        <v>538</v>
      </c>
      <c r="H39" s="411" t="s">
        <v>1866</v>
      </c>
    </row>
    <row r="40">
      <c r="A40" s="411" t="s">
        <v>3097</v>
      </c>
      <c r="B40" s="519" t="s">
        <v>3142</v>
      </c>
      <c r="C40" s="519" t="s">
        <v>3138</v>
      </c>
      <c r="D40" s="519" t="s">
        <v>3137</v>
      </c>
      <c r="G40" s="519" t="s">
        <v>451</v>
      </c>
      <c r="H40" s="411" t="s">
        <v>839</v>
      </c>
    </row>
    <row r="41">
      <c r="A41" s="411" t="s">
        <v>3097</v>
      </c>
      <c r="B41" s="519" t="s">
        <v>44</v>
      </c>
      <c r="C41" s="519" t="s">
        <v>3139</v>
      </c>
      <c r="D41" s="519" t="s">
        <v>3143</v>
      </c>
      <c r="G41" s="519" t="s">
        <v>3144</v>
      </c>
      <c r="H41" s="411" t="s">
        <v>3066</v>
      </c>
    </row>
    <row r="42">
      <c r="A42" s="411" t="s">
        <v>3097</v>
      </c>
      <c r="B42" s="519" t="s">
        <v>44</v>
      </c>
      <c r="C42" s="519" t="s">
        <v>2611</v>
      </c>
      <c r="D42" s="519" t="s">
        <v>3143</v>
      </c>
      <c r="G42" s="519" t="s">
        <v>3145</v>
      </c>
      <c r="H42" s="411" t="s">
        <v>3132</v>
      </c>
    </row>
    <row r="43">
      <c r="A43" s="411" t="s">
        <v>3097</v>
      </c>
      <c r="B43" s="519" t="s">
        <v>44</v>
      </c>
      <c r="C43" s="519" t="s">
        <v>1033</v>
      </c>
      <c r="D43" s="519" t="s">
        <v>3143</v>
      </c>
      <c r="G43" s="519" t="s">
        <v>3123</v>
      </c>
      <c r="H43" s="411" t="s">
        <v>3110</v>
      </c>
    </row>
    <row r="44">
      <c r="A44" s="411" t="s">
        <v>3107</v>
      </c>
      <c r="B44" s="519" t="s">
        <v>44</v>
      </c>
      <c r="C44" s="519" t="s">
        <v>451</v>
      </c>
      <c r="D44" s="519" t="s">
        <v>3143</v>
      </c>
      <c r="G44" s="519" t="s">
        <v>1134</v>
      </c>
      <c r="H44" s="411" t="s">
        <v>1676</v>
      </c>
    </row>
    <row r="45">
      <c r="A45" s="411" t="s">
        <v>3097</v>
      </c>
      <c r="B45" s="519" t="s">
        <v>3106</v>
      </c>
      <c r="C45" s="519" t="s">
        <v>3098</v>
      </c>
      <c r="D45" s="519" t="s">
        <v>3143</v>
      </c>
      <c r="G45" s="519" t="s">
        <v>1969</v>
      </c>
      <c r="H45" s="411" t="s">
        <v>1676</v>
      </c>
    </row>
    <row r="46">
      <c r="A46" s="411" t="s">
        <v>3097</v>
      </c>
      <c r="B46" s="519" t="s">
        <v>44</v>
      </c>
      <c r="C46" s="519" t="s">
        <v>3125</v>
      </c>
      <c r="D46" s="519" t="s">
        <v>3143</v>
      </c>
      <c r="G46" s="519" t="s">
        <v>2611</v>
      </c>
      <c r="H46" s="411" t="s">
        <v>3066</v>
      </c>
    </row>
    <row r="47">
      <c r="A47" s="411" t="s">
        <v>3107</v>
      </c>
      <c r="B47" s="519" t="s">
        <v>44</v>
      </c>
      <c r="C47" s="519" t="s">
        <v>3098</v>
      </c>
      <c r="D47" s="519" t="s">
        <v>3143</v>
      </c>
      <c r="G47" s="519" t="s">
        <v>3111</v>
      </c>
      <c r="H47" s="411" t="s">
        <v>1866</v>
      </c>
    </row>
    <row r="48">
      <c r="A48" s="411" t="s">
        <v>3097</v>
      </c>
      <c r="B48" s="519" t="s">
        <v>44</v>
      </c>
      <c r="C48" s="519" t="s">
        <v>3131</v>
      </c>
      <c r="D48" s="519" t="s">
        <v>3143</v>
      </c>
    </row>
    <row r="49">
      <c r="A49" s="411" t="s">
        <v>3097</v>
      </c>
      <c r="B49" s="519" t="s">
        <v>44</v>
      </c>
      <c r="C49" s="519" t="s">
        <v>3104</v>
      </c>
      <c r="D49" s="519" t="s">
        <v>3143</v>
      </c>
    </row>
    <row r="50">
      <c r="A50" s="411" t="s">
        <v>3097</v>
      </c>
      <c r="B50" s="519" t="s">
        <v>44</v>
      </c>
      <c r="C50" s="519" t="s">
        <v>3115</v>
      </c>
      <c r="D50" s="519" t="s">
        <v>3143</v>
      </c>
    </row>
    <row r="51">
      <c r="A51" s="411" t="s">
        <v>3107</v>
      </c>
      <c r="B51" s="519" t="s">
        <v>44</v>
      </c>
      <c r="C51" s="519" t="s">
        <v>451</v>
      </c>
      <c r="D51" s="519" t="s">
        <v>3146</v>
      </c>
    </row>
    <row r="52">
      <c r="A52" s="411" t="s">
        <v>3097</v>
      </c>
      <c r="B52" s="519" t="s">
        <v>44</v>
      </c>
      <c r="C52" s="519" t="s">
        <v>244</v>
      </c>
      <c r="D52" s="519" t="s">
        <v>3146</v>
      </c>
    </row>
    <row r="53">
      <c r="A53" s="411" t="s">
        <v>3097</v>
      </c>
      <c r="B53" s="519" t="s">
        <v>44</v>
      </c>
      <c r="C53" s="519" t="s">
        <v>3098</v>
      </c>
      <c r="D53" s="519" t="s">
        <v>3147</v>
      </c>
    </row>
    <row r="54">
      <c r="A54" s="411" t="s">
        <v>3097</v>
      </c>
      <c r="B54" s="519" t="s">
        <v>44</v>
      </c>
      <c r="C54" s="519" t="s">
        <v>2611</v>
      </c>
      <c r="D54" s="519" t="s">
        <v>3147</v>
      </c>
    </row>
    <row r="55">
      <c r="B55" s="519" t="s">
        <v>44</v>
      </c>
      <c r="C55" s="519" t="s">
        <v>3111</v>
      </c>
      <c r="D55" s="519" t="s">
        <v>3147</v>
      </c>
    </row>
    <row r="56">
      <c r="A56" s="411" t="s">
        <v>3097</v>
      </c>
      <c r="B56" s="519" t="s">
        <v>44</v>
      </c>
      <c r="C56" s="519" t="s">
        <v>538</v>
      </c>
      <c r="D56" s="519" t="s">
        <v>3147</v>
      </c>
    </row>
    <row r="57">
      <c r="A57" s="411" t="s">
        <v>3097</v>
      </c>
      <c r="B57" s="519" t="s">
        <v>3106</v>
      </c>
      <c r="C57" s="519" t="s">
        <v>3098</v>
      </c>
      <c r="D57" s="519" t="s">
        <v>3147</v>
      </c>
    </row>
    <row r="58">
      <c r="A58" s="411" t="s">
        <v>3097</v>
      </c>
      <c r="B58" s="519" t="s">
        <v>44</v>
      </c>
      <c r="C58" s="519" t="s">
        <v>1134</v>
      </c>
      <c r="D58" s="519" t="s">
        <v>3147</v>
      </c>
    </row>
    <row r="59">
      <c r="A59" s="411" t="s">
        <v>3107</v>
      </c>
      <c r="B59" s="519" t="s">
        <v>44</v>
      </c>
      <c r="C59" s="519" t="s">
        <v>3128</v>
      </c>
      <c r="D59" s="519" t="s">
        <v>3147</v>
      </c>
    </row>
    <row r="60">
      <c r="A60" s="411" t="s">
        <v>3097</v>
      </c>
      <c r="B60" s="519" t="s">
        <v>44</v>
      </c>
      <c r="C60" s="519" t="s">
        <v>3109</v>
      </c>
      <c r="D60" s="519" t="s">
        <v>3148</v>
      </c>
    </row>
    <row r="61">
      <c r="A61" s="411" t="s">
        <v>3097</v>
      </c>
      <c r="B61" s="519" t="s">
        <v>44</v>
      </c>
      <c r="C61" s="519" t="s">
        <v>3104</v>
      </c>
      <c r="D61" s="519" t="s">
        <v>3148</v>
      </c>
    </row>
    <row r="62">
      <c r="A62" s="411" t="s">
        <v>3097</v>
      </c>
      <c r="B62" s="520"/>
      <c r="C62" s="519" t="s">
        <v>3114</v>
      </c>
      <c r="D62" s="519" t="s">
        <v>3148</v>
      </c>
    </row>
    <row r="63">
      <c r="A63" s="411" t="s">
        <v>3097</v>
      </c>
      <c r="B63" s="519" t="s">
        <v>44</v>
      </c>
      <c r="C63" s="519" t="s">
        <v>3100</v>
      </c>
      <c r="D63" s="519" t="s">
        <v>3148</v>
      </c>
    </row>
    <row r="64">
      <c r="B64" s="519" t="s">
        <v>44</v>
      </c>
      <c r="C64" s="519" t="s">
        <v>3111</v>
      </c>
      <c r="D64" s="519" t="s">
        <v>3148</v>
      </c>
    </row>
    <row r="65">
      <c r="A65" s="411" t="s">
        <v>3097</v>
      </c>
      <c r="B65" s="519" t="s">
        <v>44</v>
      </c>
      <c r="C65" s="519" t="s">
        <v>3141</v>
      </c>
      <c r="D65" s="519" t="s">
        <v>3148</v>
      </c>
    </row>
    <row r="66">
      <c r="A66" s="411" t="s">
        <v>3107</v>
      </c>
      <c r="B66" s="519" t="s">
        <v>44</v>
      </c>
      <c r="C66" s="519" t="s">
        <v>3133</v>
      </c>
      <c r="D66" s="519" t="s">
        <v>3148</v>
      </c>
    </row>
    <row r="67">
      <c r="A67" s="411" t="s">
        <v>3107</v>
      </c>
      <c r="B67" s="519" t="s">
        <v>44</v>
      </c>
      <c r="C67" s="519" t="s">
        <v>3144</v>
      </c>
      <c r="D67" s="519" t="s">
        <v>3148</v>
      </c>
    </row>
    <row r="68">
      <c r="A68" s="411" t="s">
        <v>3097</v>
      </c>
      <c r="B68" s="519" t="s">
        <v>70</v>
      </c>
      <c r="C68" s="519" t="s">
        <v>3117</v>
      </c>
      <c r="D68" s="519" t="s">
        <v>3148</v>
      </c>
    </row>
    <row r="69">
      <c r="A69" s="411" t="s">
        <v>3107</v>
      </c>
      <c r="B69" s="519" t="s">
        <v>44</v>
      </c>
      <c r="C69" s="519" t="s">
        <v>3130</v>
      </c>
      <c r="D69" s="519" t="s">
        <v>3148</v>
      </c>
    </row>
    <row r="70">
      <c r="A70" s="411" t="s">
        <v>3097</v>
      </c>
      <c r="B70" s="519" t="s">
        <v>44</v>
      </c>
      <c r="C70" s="519" t="s">
        <v>3108</v>
      </c>
      <c r="D70" s="519" t="s">
        <v>3148</v>
      </c>
    </row>
    <row r="71">
      <c r="A71" s="411" t="s">
        <v>3097</v>
      </c>
      <c r="B71" s="519" t="s">
        <v>44</v>
      </c>
      <c r="C71" s="519" t="s">
        <v>3135</v>
      </c>
      <c r="D71" s="519" t="s">
        <v>3148</v>
      </c>
    </row>
    <row r="72">
      <c r="A72" s="411" t="s">
        <v>3097</v>
      </c>
      <c r="B72" s="519" t="s">
        <v>44</v>
      </c>
      <c r="C72" s="519" t="s">
        <v>3098</v>
      </c>
      <c r="D72" s="519" t="s">
        <v>3099</v>
      </c>
    </row>
    <row r="73">
      <c r="A73" s="411" t="s">
        <v>3097</v>
      </c>
      <c r="B73" s="519" t="s">
        <v>44</v>
      </c>
      <c r="C73" s="519" t="s">
        <v>3128</v>
      </c>
      <c r="D73" s="519" t="s">
        <v>3099</v>
      </c>
    </row>
    <row r="74">
      <c r="A74" s="411" t="s">
        <v>3097</v>
      </c>
      <c r="B74" s="519" t="s">
        <v>44</v>
      </c>
      <c r="C74" s="519" t="s">
        <v>3129</v>
      </c>
      <c r="D74" s="519" t="s">
        <v>3149</v>
      </c>
    </row>
    <row r="75">
      <c r="A75" s="411" t="s">
        <v>3097</v>
      </c>
      <c r="B75" s="519" t="s">
        <v>44</v>
      </c>
      <c r="C75" s="519" t="s">
        <v>3115</v>
      </c>
      <c r="D75" s="519" t="s">
        <v>3149</v>
      </c>
    </row>
    <row r="76">
      <c r="A76" s="411" t="s">
        <v>3107</v>
      </c>
      <c r="B76" s="519" t="s">
        <v>44</v>
      </c>
      <c r="C76" s="519" t="s">
        <v>3114</v>
      </c>
      <c r="D76" s="519" t="s">
        <v>3150</v>
      </c>
    </row>
    <row r="77">
      <c r="A77" s="411" t="s">
        <v>3107</v>
      </c>
      <c r="B77" s="519" t="s">
        <v>70</v>
      </c>
      <c r="C77" s="519" t="s">
        <v>3117</v>
      </c>
      <c r="D77" s="519" t="s">
        <v>3150</v>
      </c>
    </row>
    <row r="78">
      <c r="A78" s="411" t="s">
        <v>3097</v>
      </c>
      <c r="B78" s="519" t="s">
        <v>44</v>
      </c>
      <c r="C78" s="519" t="s">
        <v>1134</v>
      </c>
      <c r="D78" s="519" t="s">
        <v>3150</v>
      </c>
    </row>
    <row r="79">
      <c r="A79" s="411" t="s">
        <v>3107</v>
      </c>
      <c r="B79" s="519" t="s">
        <v>44</v>
      </c>
      <c r="C79" s="519" t="s">
        <v>3125</v>
      </c>
      <c r="D79" s="519" t="s">
        <v>3151</v>
      </c>
    </row>
    <row r="80">
      <c r="A80" s="411" t="s">
        <v>3107</v>
      </c>
      <c r="B80" s="519" t="s">
        <v>44</v>
      </c>
      <c r="C80" s="519" t="s">
        <v>3129</v>
      </c>
      <c r="D80" s="519" t="s">
        <v>3152</v>
      </c>
    </row>
    <row r="81">
      <c r="A81" s="411" t="s">
        <v>3097</v>
      </c>
      <c r="B81" s="519" t="s">
        <v>44</v>
      </c>
      <c r="C81" s="519" t="s">
        <v>3144</v>
      </c>
      <c r="D81" s="519" t="s">
        <v>3152</v>
      </c>
    </row>
    <row r="82">
      <c r="A82" s="411" t="s">
        <v>3107</v>
      </c>
      <c r="B82" s="519" t="s">
        <v>44</v>
      </c>
      <c r="C82" s="519" t="s">
        <v>1033</v>
      </c>
      <c r="D82" s="519" t="s">
        <v>3152</v>
      </c>
    </row>
    <row r="83">
      <c r="A83" s="411" t="s">
        <v>3107</v>
      </c>
      <c r="B83" s="519" t="s">
        <v>44</v>
      </c>
      <c r="C83" s="519" t="s">
        <v>3109</v>
      </c>
      <c r="D83" s="519" t="s">
        <v>3153</v>
      </c>
    </row>
    <row r="84">
      <c r="A84" s="411" t="s">
        <v>3097</v>
      </c>
      <c r="B84" s="519" t="s">
        <v>44</v>
      </c>
      <c r="C84" s="519" t="s">
        <v>3098</v>
      </c>
      <c r="D84" s="519" t="s">
        <v>3153</v>
      </c>
    </row>
    <row r="85">
      <c r="A85" s="411" t="s">
        <v>3097</v>
      </c>
      <c r="B85" s="519" t="s">
        <v>44</v>
      </c>
      <c r="C85" s="519" t="s">
        <v>3098</v>
      </c>
      <c r="D85" s="519" t="s">
        <v>3153</v>
      </c>
    </row>
    <row r="86">
      <c r="A86" s="411" t="s">
        <v>3097</v>
      </c>
      <c r="B86" s="519" t="s">
        <v>44</v>
      </c>
      <c r="C86" s="519" t="s">
        <v>3105</v>
      </c>
      <c r="D86" s="519" t="s">
        <v>3153</v>
      </c>
    </row>
    <row r="87">
      <c r="A87" s="411" t="s">
        <v>3107</v>
      </c>
      <c r="B87" s="519" t="s">
        <v>44</v>
      </c>
      <c r="C87" s="519" t="s">
        <v>3133</v>
      </c>
      <c r="D87" s="519" t="s">
        <v>3153</v>
      </c>
    </row>
    <row r="88">
      <c r="B88" s="519" t="s">
        <v>44</v>
      </c>
      <c r="C88" s="519" t="s">
        <v>3111</v>
      </c>
      <c r="D88" s="519" t="s">
        <v>3153</v>
      </c>
    </row>
    <row r="89">
      <c r="B89" s="519" t="s">
        <v>44</v>
      </c>
      <c r="C89" s="519" t="s">
        <v>3111</v>
      </c>
      <c r="D89" s="519" t="s">
        <v>3154</v>
      </c>
    </row>
    <row r="90">
      <c r="A90" s="411" t="s">
        <v>3107</v>
      </c>
      <c r="B90" s="519" t="s">
        <v>44</v>
      </c>
      <c r="C90" s="519" t="s">
        <v>451</v>
      </c>
      <c r="D90" s="519" t="s">
        <v>3154</v>
      </c>
    </row>
    <row r="91">
      <c r="A91" s="411" t="s">
        <v>3097</v>
      </c>
      <c r="B91" s="519" t="s">
        <v>44</v>
      </c>
      <c r="C91" s="519" t="s">
        <v>2611</v>
      </c>
      <c r="D91" s="519" t="s">
        <v>3154</v>
      </c>
    </row>
    <row r="92">
      <c r="A92" s="411" t="s">
        <v>3107</v>
      </c>
      <c r="B92" s="519" t="s">
        <v>44</v>
      </c>
      <c r="C92" s="519" t="s">
        <v>3140</v>
      </c>
      <c r="D92" s="519" t="s">
        <v>3154</v>
      </c>
    </row>
    <row r="93">
      <c r="A93" s="411" t="s">
        <v>3097</v>
      </c>
      <c r="B93" s="519" t="s">
        <v>44</v>
      </c>
      <c r="C93" s="519" t="s">
        <v>3098</v>
      </c>
      <c r="D93" s="519" t="s">
        <v>3154</v>
      </c>
    </row>
    <row r="94">
      <c r="A94" s="411" t="s">
        <v>3107</v>
      </c>
      <c r="B94" s="519" t="s">
        <v>44</v>
      </c>
      <c r="C94" s="519" t="s">
        <v>3102</v>
      </c>
      <c r="D94" s="519" t="s">
        <v>3154</v>
      </c>
    </row>
    <row r="95">
      <c r="A95" s="411" t="s">
        <v>3097</v>
      </c>
      <c r="B95" s="519" t="s">
        <v>70</v>
      </c>
      <c r="C95" s="519" t="s">
        <v>3117</v>
      </c>
      <c r="D95" s="519" t="s">
        <v>3154</v>
      </c>
    </row>
    <row r="96">
      <c r="A96" s="411" t="s">
        <v>3097</v>
      </c>
      <c r="B96" s="519" t="s">
        <v>44</v>
      </c>
      <c r="C96" s="519" t="s">
        <v>2611</v>
      </c>
      <c r="D96" s="519" t="s">
        <v>3154</v>
      </c>
    </row>
    <row r="97">
      <c r="A97" s="411" t="s">
        <v>3107</v>
      </c>
      <c r="B97" s="519" t="s">
        <v>70</v>
      </c>
      <c r="C97" s="519" t="s">
        <v>1969</v>
      </c>
      <c r="D97" s="519" t="s">
        <v>3154</v>
      </c>
    </row>
    <row r="98">
      <c r="A98" s="411" t="s">
        <v>3107</v>
      </c>
      <c r="B98" s="519" t="s">
        <v>70</v>
      </c>
      <c r="C98" s="519" t="s">
        <v>3130</v>
      </c>
      <c r="D98" s="519" t="s">
        <v>3154</v>
      </c>
    </row>
    <row r="99">
      <c r="A99" s="411" t="s">
        <v>3107</v>
      </c>
      <c r="B99" s="519" t="s">
        <v>44</v>
      </c>
      <c r="C99" s="519" t="s">
        <v>3125</v>
      </c>
      <c r="D99" s="519" t="s">
        <v>3155</v>
      </c>
    </row>
    <row r="100">
      <c r="B100" s="519" t="s">
        <v>44</v>
      </c>
      <c r="C100" s="519" t="s">
        <v>3111</v>
      </c>
      <c r="D100" s="519" t="s">
        <v>3155</v>
      </c>
    </row>
    <row r="101">
      <c r="A101" s="411" t="s">
        <v>3097</v>
      </c>
      <c r="B101" s="520"/>
      <c r="C101" s="519" t="s">
        <v>3144</v>
      </c>
      <c r="D101" s="519" t="s">
        <v>3155</v>
      </c>
    </row>
    <row r="102">
      <c r="A102" s="411" t="s">
        <v>3097</v>
      </c>
      <c r="B102" s="519" t="s">
        <v>44</v>
      </c>
      <c r="C102" s="519" t="s">
        <v>3098</v>
      </c>
      <c r="D102" s="519" t="s">
        <v>3155</v>
      </c>
    </row>
    <row r="103">
      <c r="A103" s="411" t="s">
        <v>3097</v>
      </c>
      <c r="B103" s="519" t="s">
        <v>44</v>
      </c>
      <c r="C103" s="519" t="s">
        <v>244</v>
      </c>
      <c r="D103" s="519" t="s">
        <v>3155</v>
      </c>
    </row>
    <row r="104">
      <c r="A104" s="411" t="s">
        <v>3097</v>
      </c>
      <c r="B104" s="519" t="s">
        <v>70</v>
      </c>
      <c r="C104" s="519" t="s">
        <v>3098</v>
      </c>
      <c r="D104" s="519" t="s">
        <v>3155</v>
      </c>
    </row>
    <row r="105">
      <c r="A105" s="411" t="s">
        <v>149</v>
      </c>
      <c r="B105" s="519" t="s">
        <v>44</v>
      </c>
      <c r="C105" s="519" t="s">
        <v>3125</v>
      </c>
      <c r="D105" s="519" t="s">
        <v>3155</v>
      </c>
    </row>
    <row r="106">
      <c r="A106" s="411" t="s">
        <v>3097</v>
      </c>
      <c r="B106" s="519" t="s">
        <v>3106</v>
      </c>
      <c r="C106" s="519" t="s">
        <v>3115</v>
      </c>
      <c r="D106" s="519" t="s">
        <v>3155</v>
      </c>
    </row>
    <row r="107">
      <c r="B107" s="519" t="s">
        <v>44</v>
      </c>
      <c r="C107" s="519" t="s">
        <v>3111</v>
      </c>
      <c r="D107" s="519" t="s">
        <v>3156</v>
      </c>
    </row>
    <row r="108">
      <c r="A108" s="411" t="s">
        <v>3107</v>
      </c>
      <c r="B108" s="519" t="s">
        <v>44</v>
      </c>
      <c r="C108" s="519" t="s">
        <v>3102</v>
      </c>
      <c r="D108" s="519" t="s">
        <v>3156</v>
      </c>
    </row>
    <row r="109">
      <c r="A109" s="411" t="s">
        <v>3097</v>
      </c>
      <c r="B109" s="519" t="s">
        <v>3106</v>
      </c>
      <c r="C109" s="519" t="s">
        <v>3098</v>
      </c>
      <c r="D109" s="519" t="s">
        <v>3156</v>
      </c>
    </row>
    <row r="110">
      <c r="A110" s="411" t="s">
        <v>3097</v>
      </c>
      <c r="B110" s="519" t="s">
        <v>70</v>
      </c>
      <c r="C110" s="519" t="s">
        <v>3114</v>
      </c>
      <c r="D110" s="519" t="s">
        <v>3156</v>
      </c>
    </row>
    <row r="111">
      <c r="A111" s="411" t="s">
        <v>3097</v>
      </c>
      <c r="B111" s="519" t="s">
        <v>44</v>
      </c>
      <c r="C111" s="519" t="s">
        <v>3102</v>
      </c>
      <c r="D111" s="519" t="s">
        <v>3156</v>
      </c>
    </row>
    <row r="112">
      <c r="A112" s="411" t="s">
        <v>3097</v>
      </c>
      <c r="B112" s="519" t="s">
        <v>44</v>
      </c>
      <c r="C112" s="519" t="s">
        <v>626</v>
      </c>
      <c r="D112" s="519" t="s">
        <v>3156</v>
      </c>
    </row>
    <row r="113">
      <c r="A113" s="411" t="s">
        <v>3097</v>
      </c>
      <c r="B113" s="519" t="s">
        <v>44</v>
      </c>
      <c r="C113" s="519" t="s">
        <v>2611</v>
      </c>
      <c r="D113" s="519" t="s">
        <v>3157</v>
      </c>
    </row>
    <row r="114">
      <c r="A114" s="411" t="s">
        <v>3097</v>
      </c>
      <c r="B114" s="519" t="s">
        <v>44</v>
      </c>
      <c r="C114" s="519" t="s">
        <v>1134</v>
      </c>
      <c r="D114" s="519" t="s">
        <v>3157</v>
      </c>
    </row>
    <row r="115">
      <c r="A115" s="411" t="s">
        <v>3107</v>
      </c>
      <c r="B115" s="519" t="s">
        <v>44</v>
      </c>
      <c r="C115" s="519" t="s">
        <v>1137</v>
      </c>
      <c r="D115" s="519" t="s">
        <v>3157</v>
      </c>
    </row>
    <row r="116">
      <c r="A116" s="411" t="s">
        <v>3097</v>
      </c>
      <c r="B116" s="519" t="s">
        <v>44</v>
      </c>
      <c r="C116" s="519" t="s">
        <v>626</v>
      </c>
      <c r="D116" s="519" t="s">
        <v>3157</v>
      </c>
    </row>
    <row r="117">
      <c r="A117" s="411" t="s">
        <v>3097</v>
      </c>
      <c r="B117" s="519" t="s">
        <v>44</v>
      </c>
      <c r="C117" s="519" t="s">
        <v>2611</v>
      </c>
      <c r="D117" s="519" t="s">
        <v>3157</v>
      </c>
    </row>
    <row r="118">
      <c r="A118" s="411" t="s">
        <v>40</v>
      </c>
      <c r="B118" s="519" t="s">
        <v>3142</v>
      </c>
      <c r="C118" s="519" t="s">
        <v>3098</v>
      </c>
      <c r="D118" s="519" t="s">
        <v>3157</v>
      </c>
    </row>
    <row r="119">
      <c r="A119" s="411" t="s">
        <v>3097</v>
      </c>
      <c r="B119" s="519" t="s">
        <v>44</v>
      </c>
      <c r="C119" s="519" t="s">
        <v>3133</v>
      </c>
      <c r="D119" s="519" t="s">
        <v>3157</v>
      </c>
    </row>
    <row r="120">
      <c r="A120" s="411" t="s">
        <v>3097</v>
      </c>
      <c r="B120" s="519" t="s">
        <v>70</v>
      </c>
      <c r="C120" s="519" t="s">
        <v>3136</v>
      </c>
      <c r="D120" s="519" t="s">
        <v>3158</v>
      </c>
    </row>
    <row r="121">
      <c r="A121" s="411" t="s">
        <v>3097</v>
      </c>
      <c r="B121" s="519" t="s">
        <v>44</v>
      </c>
      <c r="C121" s="519" t="s">
        <v>1033</v>
      </c>
      <c r="D121" s="519" t="s">
        <v>3158</v>
      </c>
    </row>
    <row r="122">
      <c r="A122" s="411" t="s">
        <v>3097</v>
      </c>
      <c r="B122" s="519" t="s">
        <v>44</v>
      </c>
      <c r="C122" s="519" t="s">
        <v>1033</v>
      </c>
      <c r="D122" s="519" t="s">
        <v>3158</v>
      </c>
    </row>
    <row r="123">
      <c r="A123" s="411" t="s">
        <v>3097</v>
      </c>
      <c r="B123" s="519" t="s">
        <v>44</v>
      </c>
      <c r="C123" s="519" t="s">
        <v>3131</v>
      </c>
      <c r="D123" s="519" t="s">
        <v>3158</v>
      </c>
    </row>
    <row r="124">
      <c r="A124" s="411" t="s">
        <v>3097</v>
      </c>
      <c r="B124" s="519" t="s">
        <v>44</v>
      </c>
      <c r="C124" s="519" t="s">
        <v>3098</v>
      </c>
      <c r="D124" s="519" t="s">
        <v>3159</v>
      </c>
    </row>
    <row r="125">
      <c r="A125" s="411" t="s">
        <v>3097</v>
      </c>
      <c r="B125" s="519" t="s">
        <v>44</v>
      </c>
      <c r="C125" s="519" t="s">
        <v>3108</v>
      </c>
      <c r="D125" s="519" t="s">
        <v>3159</v>
      </c>
    </row>
    <row r="126">
      <c r="A126" s="411" t="s">
        <v>40</v>
      </c>
      <c r="B126" s="519" t="s">
        <v>44</v>
      </c>
      <c r="C126" s="519" t="s">
        <v>3128</v>
      </c>
      <c r="D126" s="519" t="s">
        <v>3159</v>
      </c>
    </row>
    <row r="127">
      <c r="A127" s="411" t="s">
        <v>3097</v>
      </c>
      <c r="B127" s="519" t="s">
        <v>44</v>
      </c>
      <c r="C127" s="519" t="s">
        <v>3103</v>
      </c>
      <c r="D127" s="519" t="s">
        <v>3159</v>
      </c>
    </row>
    <row r="128">
      <c r="A128" s="411" t="s">
        <v>40</v>
      </c>
      <c r="B128" s="519" t="s">
        <v>44</v>
      </c>
      <c r="C128" s="519" t="s">
        <v>3128</v>
      </c>
      <c r="D128" s="519" t="s">
        <v>3160</v>
      </c>
    </row>
    <row r="129">
      <c r="A129" s="411" t="s">
        <v>3097</v>
      </c>
      <c r="B129" s="520"/>
      <c r="C129" s="519" t="s">
        <v>3124</v>
      </c>
      <c r="D129" s="519" t="s">
        <v>3160</v>
      </c>
    </row>
    <row r="130">
      <c r="A130" s="411" t="s">
        <v>3097</v>
      </c>
      <c r="B130" s="520"/>
      <c r="C130" s="519" t="s">
        <v>3098</v>
      </c>
      <c r="D130" s="519" t="s">
        <v>3160</v>
      </c>
    </row>
    <row r="131">
      <c r="A131" s="411" t="s">
        <v>3097</v>
      </c>
      <c r="B131" s="519" t="s">
        <v>44</v>
      </c>
      <c r="C131" s="519" t="s">
        <v>3140</v>
      </c>
      <c r="D131" s="519" t="s">
        <v>3160</v>
      </c>
    </row>
    <row r="132">
      <c r="A132" s="411" t="s">
        <v>3097</v>
      </c>
      <c r="B132" s="519" t="s">
        <v>44</v>
      </c>
      <c r="C132" s="519" t="s">
        <v>3101</v>
      </c>
      <c r="D132" s="519" t="s">
        <v>3160</v>
      </c>
    </row>
    <row r="133">
      <c r="A133" s="411" t="s">
        <v>3107</v>
      </c>
      <c r="B133" s="519" t="s">
        <v>44</v>
      </c>
      <c r="C133" s="519" t="s">
        <v>3122</v>
      </c>
      <c r="D133" s="519" t="s">
        <v>3161</v>
      </c>
    </row>
    <row r="134">
      <c r="A134" s="411" t="s">
        <v>3097</v>
      </c>
      <c r="B134" s="519" t="s">
        <v>70</v>
      </c>
      <c r="C134" s="519" t="s">
        <v>1137</v>
      </c>
      <c r="D134" s="519" t="s">
        <v>3161</v>
      </c>
    </row>
    <row r="135">
      <c r="A135" s="411" t="s">
        <v>3097</v>
      </c>
      <c r="B135" s="519" t="s">
        <v>44</v>
      </c>
      <c r="C135" s="519" t="s">
        <v>3098</v>
      </c>
      <c r="D135" s="519" t="s">
        <v>3161</v>
      </c>
    </row>
    <row r="136">
      <c r="A136" s="411" t="s">
        <v>3107</v>
      </c>
      <c r="B136" s="519" t="s">
        <v>44</v>
      </c>
      <c r="C136" s="519" t="s">
        <v>2611</v>
      </c>
      <c r="D136" s="519" t="s">
        <v>3161</v>
      </c>
    </row>
    <row r="137">
      <c r="A137" s="411" t="s">
        <v>3097</v>
      </c>
      <c r="B137" s="519" t="s">
        <v>44</v>
      </c>
      <c r="C137" s="519" t="s">
        <v>3145</v>
      </c>
      <c r="D137" s="519" t="s">
        <v>3161</v>
      </c>
    </row>
    <row r="138">
      <c r="A138" s="411" t="s">
        <v>3107</v>
      </c>
      <c r="B138" s="519" t="s">
        <v>44</v>
      </c>
      <c r="C138" s="519" t="s">
        <v>3125</v>
      </c>
      <c r="D138" s="519" t="s">
        <v>3161</v>
      </c>
    </row>
    <row r="139">
      <c r="A139" s="411" t="s">
        <v>3097</v>
      </c>
      <c r="B139" s="520"/>
      <c r="C139" s="519" t="s">
        <v>3125</v>
      </c>
      <c r="D139" s="519" t="s">
        <v>3161</v>
      </c>
    </row>
    <row r="140">
      <c r="A140" s="411" t="s">
        <v>3097</v>
      </c>
      <c r="B140" s="519" t="s">
        <v>44</v>
      </c>
      <c r="C140" s="519" t="s">
        <v>626</v>
      </c>
      <c r="D140" s="519" t="s">
        <v>3161</v>
      </c>
    </row>
    <row r="141">
      <c r="A141" s="411" t="s">
        <v>3097</v>
      </c>
      <c r="B141" s="519" t="s">
        <v>3142</v>
      </c>
      <c r="C141" s="519" t="s">
        <v>3121</v>
      </c>
      <c r="D141" s="519" t="s">
        <v>3161</v>
      </c>
    </row>
    <row r="142">
      <c r="A142" s="411" t="s">
        <v>3097</v>
      </c>
      <c r="B142" s="519" t="s">
        <v>44</v>
      </c>
      <c r="C142" s="519" t="s">
        <v>3141</v>
      </c>
      <c r="D142" s="519" t="s">
        <v>3161</v>
      </c>
    </row>
    <row r="143">
      <c r="B143" s="519" t="s">
        <v>44</v>
      </c>
      <c r="C143" s="519" t="s">
        <v>3111</v>
      </c>
      <c r="D143" s="519" t="s">
        <v>3161</v>
      </c>
    </row>
    <row r="144">
      <c r="A144" s="411" t="s">
        <v>3097</v>
      </c>
      <c r="B144" s="519" t="s">
        <v>44</v>
      </c>
      <c r="C144" s="519" t="s">
        <v>3139</v>
      </c>
      <c r="D144" s="519" t="s">
        <v>3162</v>
      </c>
    </row>
    <row r="145">
      <c r="A145" s="411" t="s">
        <v>3097</v>
      </c>
      <c r="B145" s="519" t="s">
        <v>44</v>
      </c>
      <c r="C145" s="519" t="s">
        <v>3138</v>
      </c>
      <c r="D145" s="519" t="s">
        <v>3162</v>
      </c>
    </row>
    <row r="146">
      <c r="B146" s="519" t="s">
        <v>70</v>
      </c>
      <c r="C146" s="519" t="s">
        <v>1137</v>
      </c>
      <c r="D146" s="519" t="s">
        <v>3162</v>
      </c>
    </row>
    <row r="147">
      <c r="A147" s="411" t="s">
        <v>3097</v>
      </c>
      <c r="B147" s="519" t="s">
        <v>44</v>
      </c>
      <c r="C147" s="519" t="s">
        <v>3125</v>
      </c>
      <c r="D147" s="519" t="s">
        <v>3162</v>
      </c>
    </row>
    <row r="148">
      <c r="A148" s="411" t="s">
        <v>3097</v>
      </c>
      <c r="B148" s="519" t="s">
        <v>44</v>
      </c>
      <c r="C148" s="519" t="s">
        <v>3140</v>
      </c>
      <c r="D148" s="519" t="s">
        <v>3162</v>
      </c>
    </row>
    <row r="149">
      <c r="A149" s="411" t="s">
        <v>3097</v>
      </c>
      <c r="B149" s="519" t="s">
        <v>44</v>
      </c>
      <c r="C149" s="519" t="s">
        <v>3118</v>
      </c>
      <c r="D149" s="519" t="s">
        <v>3162</v>
      </c>
    </row>
    <row r="150">
      <c r="A150" s="411" t="s">
        <v>3097</v>
      </c>
      <c r="B150" s="519" t="s">
        <v>70</v>
      </c>
      <c r="C150" s="519" t="s">
        <v>3115</v>
      </c>
      <c r="D150" s="519" t="s">
        <v>3162</v>
      </c>
    </row>
    <row r="151">
      <c r="A151" s="411" t="s">
        <v>3097</v>
      </c>
      <c r="B151" s="519" t="s">
        <v>44</v>
      </c>
      <c r="C151" s="519" t="s">
        <v>244</v>
      </c>
      <c r="D151" s="519" t="s">
        <v>3162</v>
      </c>
    </row>
    <row r="152">
      <c r="A152" s="411" t="s">
        <v>3097</v>
      </c>
      <c r="B152" s="519" t="s">
        <v>70</v>
      </c>
      <c r="C152" s="519" t="s">
        <v>3136</v>
      </c>
      <c r="D152" s="519" t="s">
        <v>3163</v>
      </c>
    </row>
    <row r="153">
      <c r="A153" s="411" t="s">
        <v>3107</v>
      </c>
      <c r="B153" s="519" t="s">
        <v>70</v>
      </c>
      <c r="C153" s="519" t="s">
        <v>1137</v>
      </c>
      <c r="D153" s="519" t="s">
        <v>3163</v>
      </c>
    </row>
    <row r="154">
      <c r="A154" s="411" t="s">
        <v>3097</v>
      </c>
      <c r="B154" s="519" t="s">
        <v>44</v>
      </c>
      <c r="C154" s="519" t="s">
        <v>3113</v>
      </c>
      <c r="D154" s="519" t="s">
        <v>3163</v>
      </c>
    </row>
    <row r="155">
      <c r="A155" s="411" t="s">
        <v>3107</v>
      </c>
      <c r="B155" s="519" t="s">
        <v>44</v>
      </c>
      <c r="C155" s="519" t="s">
        <v>3135</v>
      </c>
      <c r="D155" s="519" t="s">
        <v>3163</v>
      </c>
    </row>
    <row r="156">
      <c r="A156" s="411" t="s">
        <v>3097</v>
      </c>
      <c r="B156" s="519" t="s">
        <v>44</v>
      </c>
      <c r="C156" s="519" t="s">
        <v>3098</v>
      </c>
      <c r="D156" s="519" t="s">
        <v>3163</v>
      </c>
    </row>
    <row r="157">
      <c r="A157" s="411" t="s">
        <v>3097</v>
      </c>
      <c r="B157" s="519" t="s">
        <v>3142</v>
      </c>
      <c r="C157" s="519" t="s">
        <v>3118</v>
      </c>
      <c r="D157" s="519" t="s">
        <v>3163</v>
      </c>
    </row>
    <row r="158">
      <c r="A158" s="411" t="s">
        <v>3107</v>
      </c>
      <c r="B158" s="519" t="s">
        <v>44</v>
      </c>
      <c r="C158" s="519" t="s">
        <v>1033</v>
      </c>
      <c r="D158" s="519" t="s">
        <v>3163</v>
      </c>
    </row>
    <row r="159">
      <c r="A159" s="411" t="s">
        <v>3097</v>
      </c>
      <c r="B159" s="519" t="s">
        <v>44</v>
      </c>
      <c r="C159" s="519" t="s">
        <v>3145</v>
      </c>
      <c r="D159" s="519" t="s">
        <v>3163</v>
      </c>
    </row>
    <row r="160">
      <c r="A160" s="411" t="s">
        <v>3107</v>
      </c>
      <c r="B160" s="519" t="s">
        <v>70</v>
      </c>
      <c r="C160" s="519" t="s">
        <v>3130</v>
      </c>
      <c r="D160" s="519" t="s">
        <v>3163</v>
      </c>
    </row>
    <row r="161">
      <c r="A161" s="411" t="s">
        <v>3097</v>
      </c>
      <c r="B161" s="519" t="s">
        <v>44</v>
      </c>
      <c r="C161" s="519" t="s">
        <v>3113</v>
      </c>
      <c r="D161" s="519" t="s">
        <v>3163</v>
      </c>
    </row>
    <row r="162">
      <c r="A162" s="411" t="s">
        <v>3097</v>
      </c>
      <c r="B162" s="519" t="s">
        <v>3106</v>
      </c>
      <c r="C162" s="519" t="s">
        <v>3098</v>
      </c>
      <c r="D162" s="519" t="s">
        <v>3163</v>
      </c>
    </row>
    <row r="163">
      <c r="A163" s="411" t="s">
        <v>3107</v>
      </c>
      <c r="B163" s="519" t="s">
        <v>44</v>
      </c>
      <c r="C163" s="519" t="s">
        <v>3123</v>
      </c>
      <c r="D163" s="519" t="s">
        <v>3164</v>
      </c>
    </row>
    <row r="164">
      <c r="A164" s="411" t="s">
        <v>3097</v>
      </c>
      <c r="B164" s="519" t="s">
        <v>70</v>
      </c>
      <c r="C164" s="519" t="s">
        <v>3108</v>
      </c>
      <c r="D164" s="519" t="s">
        <v>3164</v>
      </c>
    </row>
    <row r="165">
      <c r="A165" s="411" t="s">
        <v>3097</v>
      </c>
      <c r="B165" s="520"/>
      <c r="C165" s="519" t="s">
        <v>3125</v>
      </c>
      <c r="D165" s="519" t="s">
        <v>3164</v>
      </c>
    </row>
    <row r="166">
      <c r="A166" s="411" t="s">
        <v>3097</v>
      </c>
      <c r="B166" s="519" t="s">
        <v>44</v>
      </c>
      <c r="C166" s="519" t="s">
        <v>3124</v>
      </c>
      <c r="D166" s="519" t="s">
        <v>3164</v>
      </c>
    </row>
    <row r="167">
      <c r="A167" s="411" t="s">
        <v>3107</v>
      </c>
      <c r="B167" s="519" t="s">
        <v>70</v>
      </c>
      <c r="C167" s="519" t="s">
        <v>3117</v>
      </c>
      <c r="D167" s="519" t="s">
        <v>3164</v>
      </c>
    </row>
    <row r="168">
      <c r="A168" s="411" t="s">
        <v>3107</v>
      </c>
      <c r="B168" s="519" t="s">
        <v>70</v>
      </c>
      <c r="C168" s="519" t="s">
        <v>3114</v>
      </c>
      <c r="D168" s="519" t="s">
        <v>3164</v>
      </c>
    </row>
    <row r="169">
      <c r="A169" s="411" t="s">
        <v>3097</v>
      </c>
      <c r="B169" s="519" t="s">
        <v>3142</v>
      </c>
      <c r="C169" s="519" t="s">
        <v>3109</v>
      </c>
      <c r="D169" s="519" t="s">
        <v>3164</v>
      </c>
    </row>
    <row r="170">
      <c r="A170" s="411" t="s">
        <v>40</v>
      </c>
      <c r="B170" s="519" t="s">
        <v>44</v>
      </c>
      <c r="C170" s="519" t="s">
        <v>3145</v>
      </c>
      <c r="D170" s="519" t="s">
        <v>3164</v>
      </c>
    </row>
    <row r="171">
      <c r="A171" s="411" t="s">
        <v>3097</v>
      </c>
      <c r="B171" s="519" t="s">
        <v>44</v>
      </c>
      <c r="C171" s="519" t="s">
        <v>3101</v>
      </c>
      <c r="D171" s="519" t="s">
        <v>3164</v>
      </c>
    </row>
    <row r="172">
      <c r="A172" s="411" t="s">
        <v>3097</v>
      </c>
      <c r="B172" s="519" t="s">
        <v>44</v>
      </c>
      <c r="C172" s="519" t="s">
        <v>3102</v>
      </c>
      <c r="D172" s="519" t="s">
        <v>3164</v>
      </c>
    </row>
    <row r="173">
      <c r="A173" s="411" t="s">
        <v>3097</v>
      </c>
      <c r="B173" s="519" t="s">
        <v>44</v>
      </c>
      <c r="C173" s="519" t="s">
        <v>3130</v>
      </c>
      <c r="D173" s="519" t="s">
        <v>866</v>
      </c>
    </row>
    <row r="174">
      <c r="A174" s="411" t="s">
        <v>3097</v>
      </c>
      <c r="B174" s="519" t="s">
        <v>44</v>
      </c>
      <c r="C174" s="519" t="s">
        <v>2611</v>
      </c>
      <c r="D174" s="519" t="s">
        <v>866</v>
      </c>
    </row>
    <row r="175">
      <c r="A175" s="411" t="s">
        <v>3097</v>
      </c>
      <c r="B175" s="519" t="s">
        <v>44</v>
      </c>
      <c r="C175" s="519" t="s">
        <v>3100</v>
      </c>
      <c r="D175" s="519" t="s">
        <v>866</v>
      </c>
    </row>
    <row r="176">
      <c r="A176" s="411" t="s">
        <v>3097</v>
      </c>
      <c r="B176" s="519" t="s">
        <v>44</v>
      </c>
      <c r="C176" s="519" t="s">
        <v>2611</v>
      </c>
      <c r="D176" s="519" t="s">
        <v>866</v>
      </c>
    </row>
    <row r="177">
      <c r="A177" s="411" t="s">
        <v>3107</v>
      </c>
      <c r="B177" s="519" t="s">
        <v>44</v>
      </c>
      <c r="C177" s="519" t="s">
        <v>244</v>
      </c>
      <c r="D177" s="519" t="s">
        <v>866</v>
      </c>
    </row>
    <row r="178">
      <c r="A178" s="411" t="s">
        <v>40</v>
      </c>
      <c r="B178" s="519" t="s">
        <v>44</v>
      </c>
      <c r="C178" s="519" t="s">
        <v>3144</v>
      </c>
      <c r="D178" s="519" t="s">
        <v>866</v>
      </c>
    </row>
    <row r="179">
      <c r="A179" s="411" t="s">
        <v>3097</v>
      </c>
      <c r="B179" s="519" t="s">
        <v>44</v>
      </c>
      <c r="C179" s="519" t="s">
        <v>3100</v>
      </c>
      <c r="D179" s="519" t="s">
        <v>866</v>
      </c>
    </row>
    <row r="180">
      <c r="A180" s="411" t="s">
        <v>3107</v>
      </c>
      <c r="B180" s="519" t="s">
        <v>44</v>
      </c>
      <c r="C180" s="519" t="s">
        <v>3121</v>
      </c>
      <c r="D180" s="519" t="s">
        <v>866</v>
      </c>
    </row>
    <row r="181">
      <c r="A181" s="411" t="s">
        <v>3097</v>
      </c>
      <c r="B181" s="519" t="s">
        <v>44</v>
      </c>
      <c r="C181" s="519" t="s">
        <v>3128</v>
      </c>
      <c r="D181" s="519" t="s">
        <v>866</v>
      </c>
    </row>
    <row r="182">
      <c r="A182" s="411" t="s">
        <v>3107</v>
      </c>
      <c r="B182" s="519" t="s">
        <v>44</v>
      </c>
      <c r="C182" s="519" t="s">
        <v>3133</v>
      </c>
      <c r="D182" s="519" t="s">
        <v>866</v>
      </c>
    </row>
    <row r="183">
      <c r="A183" s="411" t="s">
        <v>3107</v>
      </c>
      <c r="B183" s="520"/>
      <c r="C183" s="519" t="s">
        <v>244</v>
      </c>
      <c r="D183" s="519" t="s">
        <v>866</v>
      </c>
    </row>
    <row r="184">
      <c r="A184" s="411" t="s">
        <v>3107</v>
      </c>
      <c r="B184" s="519" t="s">
        <v>44</v>
      </c>
      <c r="C184" s="519" t="s">
        <v>3113</v>
      </c>
      <c r="D184" s="519" t="s">
        <v>3165</v>
      </c>
    </row>
    <row r="185">
      <c r="A185" s="411" t="s">
        <v>3097</v>
      </c>
      <c r="B185" s="519" t="s">
        <v>44</v>
      </c>
      <c r="C185" s="519" t="s">
        <v>3105</v>
      </c>
      <c r="D185" s="519" t="s">
        <v>3165</v>
      </c>
    </row>
    <row r="186">
      <c r="A186" s="411" t="s">
        <v>3097</v>
      </c>
      <c r="B186" s="519" t="s">
        <v>44</v>
      </c>
      <c r="C186" s="519" t="s">
        <v>626</v>
      </c>
      <c r="D186" s="519" t="s">
        <v>3165</v>
      </c>
    </row>
    <row r="187">
      <c r="A187" s="411" t="s">
        <v>3097</v>
      </c>
      <c r="B187" s="519" t="s">
        <v>44</v>
      </c>
      <c r="C187" s="519" t="s">
        <v>538</v>
      </c>
      <c r="D187" s="519" t="s">
        <v>3165</v>
      </c>
    </row>
    <row r="188">
      <c r="A188" s="411" t="s">
        <v>3107</v>
      </c>
      <c r="B188" s="519" t="s">
        <v>44</v>
      </c>
      <c r="C188" s="519" t="s">
        <v>3108</v>
      </c>
      <c r="D188" s="519" t="s">
        <v>3165</v>
      </c>
    </row>
    <row r="189">
      <c r="A189" s="411" t="s">
        <v>3107</v>
      </c>
      <c r="B189" s="520"/>
      <c r="C189" s="519" t="s">
        <v>3124</v>
      </c>
      <c r="D189" s="519" t="s">
        <v>3165</v>
      </c>
    </row>
    <row r="190">
      <c r="A190" s="411" t="s">
        <v>3107</v>
      </c>
      <c r="B190" s="519" t="s">
        <v>44</v>
      </c>
      <c r="C190" s="519" t="s">
        <v>3135</v>
      </c>
      <c r="D190" s="519" t="s">
        <v>3165</v>
      </c>
    </row>
    <row r="191">
      <c r="A191" s="411" t="s">
        <v>3107</v>
      </c>
      <c r="B191" s="519" t="s">
        <v>3106</v>
      </c>
      <c r="C191" s="519" t="s">
        <v>3098</v>
      </c>
      <c r="D191" s="519" t="s">
        <v>3166</v>
      </c>
    </row>
    <row r="192">
      <c r="A192" s="411" t="s">
        <v>3107</v>
      </c>
      <c r="B192" s="519" t="s">
        <v>70</v>
      </c>
      <c r="C192" s="519" t="s">
        <v>3115</v>
      </c>
      <c r="D192" s="519" t="s">
        <v>3166</v>
      </c>
    </row>
    <row r="193">
      <c r="A193" s="411" t="s">
        <v>3097</v>
      </c>
      <c r="B193" s="519" t="s">
        <v>324</v>
      </c>
      <c r="C193" s="519" t="s">
        <v>3104</v>
      </c>
      <c r="D193" s="519" t="s">
        <v>3166</v>
      </c>
    </row>
    <row r="194">
      <c r="A194" s="411" t="s">
        <v>3097</v>
      </c>
      <c r="B194" s="519" t="s">
        <v>324</v>
      </c>
      <c r="C194" s="519" t="s">
        <v>1137</v>
      </c>
      <c r="D194" s="519" t="s">
        <v>3166</v>
      </c>
    </row>
    <row r="195">
      <c r="A195" s="411" t="s">
        <v>3097</v>
      </c>
      <c r="B195" s="519" t="s">
        <v>44</v>
      </c>
      <c r="C195" s="519" t="s">
        <v>2611</v>
      </c>
      <c r="D195" s="519" t="s">
        <v>3166</v>
      </c>
    </row>
    <row r="196">
      <c r="A196" s="411" t="s">
        <v>3097</v>
      </c>
      <c r="B196" s="519" t="s">
        <v>44</v>
      </c>
      <c r="C196" s="519" t="s">
        <v>3098</v>
      </c>
      <c r="D196" s="519" t="s">
        <v>3166</v>
      </c>
    </row>
    <row r="197">
      <c r="A197" s="411" t="s">
        <v>3097</v>
      </c>
      <c r="B197" s="519" t="s">
        <v>70</v>
      </c>
      <c r="C197" s="519" t="s">
        <v>1969</v>
      </c>
      <c r="D197" s="519" t="s">
        <v>3166</v>
      </c>
    </row>
    <row r="198">
      <c r="A198" s="411" t="s">
        <v>3107</v>
      </c>
      <c r="B198" s="519" t="s">
        <v>44</v>
      </c>
      <c r="C198" s="519" t="s">
        <v>1969</v>
      </c>
      <c r="D198" s="519" t="s">
        <v>3166</v>
      </c>
    </row>
    <row r="199">
      <c r="B199" s="519" t="s">
        <v>44</v>
      </c>
      <c r="C199" s="519" t="s">
        <v>2611</v>
      </c>
      <c r="D199" s="519" t="s">
        <v>3167</v>
      </c>
    </row>
    <row r="200">
      <c r="A200" s="411" t="s">
        <v>3097</v>
      </c>
      <c r="B200" s="519" t="s">
        <v>44</v>
      </c>
      <c r="C200" s="519" t="s">
        <v>3139</v>
      </c>
      <c r="D200" s="519" t="s">
        <v>3167</v>
      </c>
    </row>
    <row r="201">
      <c r="A201" s="411" t="s">
        <v>3097</v>
      </c>
      <c r="B201" s="519" t="s">
        <v>70</v>
      </c>
      <c r="C201" s="519" t="s">
        <v>3114</v>
      </c>
      <c r="D201" s="519" t="s">
        <v>3167</v>
      </c>
    </row>
    <row r="202">
      <c r="A202" s="411" t="s">
        <v>40</v>
      </c>
      <c r="B202" s="519" t="s">
        <v>44</v>
      </c>
      <c r="C202" s="519" t="s">
        <v>1033</v>
      </c>
      <c r="D202" s="519" t="s">
        <v>3167</v>
      </c>
    </row>
    <row r="203">
      <c r="A203" s="411" t="s">
        <v>3097</v>
      </c>
      <c r="B203" s="519" t="s">
        <v>44</v>
      </c>
      <c r="C203" s="519" t="s">
        <v>3135</v>
      </c>
      <c r="D203" s="519" t="s">
        <v>3167</v>
      </c>
    </row>
    <row r="204">
      <c r="A204" s="411" t="s">
        <v>3097</v>
      </c>
      <c r="B204" s="519" t="s">
        <v>70</v>
      </c>
      <c r="C204" s="519" t="s">
        <v>3114</v>
      </c>
      <c r="D204" s="519" t="s">
        <v>3168</v>
      </c>
    </row>
    <row r="205">
      <c r="A205" s="411" t="s">
        <v>3097</v>
      </c>
      <c r="B205" s="519" t="s">
        <v>44</v>
      </c>
      <c r="C205" s="519" t="s">
        <v>1033</v>
      </c>
      <c r="D205" s="519" t="s">
        <v>3168</v>
      </c>
    </row>
    <row r="206">
      <c r="A206" s="411" t="s">
        <v>3097</v>
      </c>
      <c r="B206" s="519" t="s">
        <v>44</v>
      </c>
      <c r="C206" s="519" t="s">
        <v>3138</v>
      </c>
      <c r="D206" s="519" t="s">
        <v>3168</v>
      </c>
    </row>
    <row r="207">
      <c r="A207" s="411" t="s">
        <v>3107</v>
      </c>
      <c r="B207" s="519" t="s">
        <v>70</v>
      </c>
      <c r="C207" s="519" t="s">
        <v>3114</v>
      </c>
      <c r="D207" s="519" t="s">
        <v>3168</v>
      </c>
    </row>
    <row r="208">
      <c r="A208" s="411" t="s">
        <v>3097</v>
      </c>
      <c r="B208" s="519" t="s">
        <v>44</v>
      </c>
      <c r="C208" s="519" t="s">
        <v>3113</v>
      </c>
      <c r="D208" s="519" t="s">
        <v>3168</v>
      </c>
    </row>
    <row r="209">
      <c r="A209" s="411" t="s">
        <v>3097</v>
      </c>
      <c r="B209" s="519" t="s">
        <v>44</v>
      </c>
      <c r="C209" s="519" t="s">
        <v>3141</v>
      </c>
      <c r="D209" s="519" t="s">
        <v>3168</v>
      </c>
    </row>
    <row r="210">
      <c r="A210" s="411" t="s">
        <v>3107</v>
      </c>
      <c r="B210" s="519" t="s">
        <v>44</v>
      </c>
      <c r="C210" s="519" t="s">
        <v>3144</v>
      </c>
      <c r="D210" s="519" t="s">
        <v>3168</v>
      </c>
    </row>
    <row r="211">
      <c r="A211" s="411" t="s">
        <v>3097</v>
      </c>
      <c r="B211" s="519" t="s">
        <v>44</v>
      </c>
      <c r="C211" s="519" t="s">
        <v>3125</v>
      </c>
      <c r="D211" s="519" t="s">
        <v>3168</v>
      </c>
    </row>
    <row r="212">
      <c r="A212" s="411" t="s">
        <v>3097</v>
      </c>
      <c r="B212" s="519" t="s">
        <v>44</v>
      </c>
      <c r="C212" s="519" t="s">
        <v>3124</v>
      </c>
      <c r="D212" s="519" t="s">
        <v>3168</v>
      </c>
    </row>
    <row r="213">
      <c r="A213" s="411" t="s">
        <v>3097</v>
      </c>
      <c r="B213" s="519" t="s">
        <v>44</v>
      </c>
      <c r="C213" s="519" t="s">
        <v>3141</v>
      </c>
      <c r="D213" s="519" t="s">
        <v>3168</v>
      </c>
    </row>
    <row r="214">
      <c r="A214" s="411" t="s">
        <v>3097</v>
      </c>
      <c r="B214" s="520"/>
      <c r="C214" s="519" t="s">
        <v>3144</v>
      </c>
      <c r="D214" s="519" t="s">
        <v>3168</v>
      </c>
    </row>
    <row r="215">
      <c r="A215" s="411" t="s">
        <v>3097</v>
      </c>
      <c r="B215" s="519" t="s">
        <v>44</v>
      </c>
      <c r="C215" s="519" t="s">
        <v>3105</v>
      </c>
      <c r="D215" s="519" t="s">
        <v>3168</v>
      </c>
    </row>
    <row r="216">
      <c r="A216" s="411" t="s">
        <v>3097</v>
      </c>
      <c r="B216" s="519" t="s">
        <v>44</v>
      </c>
      <c r="C216" s="519" t="s">
        <v>3109</v>
      </c>
      <c r="D216" s="519" t="s">
        <v>3168</v>
      </c>
    </row>
    <row r="217">
      <c r="A217" s="411" t="s">
        <v>3097</v>
      </c>
      <c r="B217" s="519" t="s">
        <v>44</v>
      </c>
      <c r="C217" s="519" t="s">
        <v>3140</v>
      </c>
      <c r="D217" s="519" t="s">
        <v>3168</v>
      </c>
    </row>
    <row r="218">
      <c r="A218" s="411" t="s">
        <v>3097</v>
      </c>
      <c r="B218" s="519" t="s">
        <v>324</v>
      </c>
      <c r="C218" s="519" t="s">
        <v>3116</v>
      </c>
      <c r="D218" s="519" t="s">
        <v>3169</v>
      </c>
    </row>
    <row r="219">
      <c r="A219" s="411" t="s">
        <v>3097</v>
      </c>
      <c r="B219" s="519" t="s">
        <v>44</v>
      </c>
      <c r="C219" s="519" t="s">
        <v>3125</v>
      </c>
      <c r="D219" s="519" t="s">
        <v>3169</v>
      </c>
    </row>
    <row r="220">
      <c r="A220" s="411" t="s">
        <v>3097</v>
      </c>
      <c r="B220" s="519" t="s">
        <v>70</v>
      </c>
      <c r="C220" s="519" t="s">
        <v>3114</v>
      </c>
      <c r="D220" s="519" t="s">
        <v>3169</v>
      </c>
    </row>
    <row r="221">
      <c r="A221" s="411" t="s">
        <v>3097</v>
      </c>
      <c r="B221" s="519" t="s">
        <v>44</v>
      </c>
      <c r="C221" s="519" t="s">
        <v>3102</v>
      </c>
      <c r="D221" s="519" t="s">
        <v>3169</v>
      </c>
    </row>
    <row r="222">
      <c r="B222" s="519" t="s">
        <v>44</v>
      </c>
      <c r="C222" s="519" t="s">
        <v>3111</v>
      </c>
      <c r="D222" s="519" t="s">
        <v>3169</v>
      </c>
    </row>
    <row r="223">
      <c r="A223" s="411" t="s">
        <v>3097</v>
      </c>
      <c r="B223" s="519" t="s">
        <v>44</v>
      </c>
      <c r="C223" s="519" t="s">
        <v>1033</v>
      </c>
      <c r="D223" s="519" t="s">
        <v>3169</v>
      </c>
    </row>
    <row r="224">
      <c r="A224" s="411" t="s">
        <v>3097</v>
      </c>
      <c r="B224" s="519" t="s">
        <v>44</v>
      </c>
      <c r="C224" s="519" t="s">
        <v>1969</v>
      </c>
      <c r="D224" s="519" t="s">
        <v>3170</v>
      </c>
    </row>
    <row r="225">
      <c r="A225" s="411" t="s">
        <v>3097</v>
      </c>
      <c r="B225" s="519" t="s">
        <v>44</v>
      </c>
      <c r="C225" s="519" t="s">
        <v>244</v>
      </c>
      <c r="D225" s="519" t="s">
        <v>3170</v>
      </c>
    </row>
    <row r="226">
      <c r="A226" s="411" t="s">
        <v>3097</v>
      </c>
      <c r="B226" s="519" t="s">
        <v>44</v>
      </c>
      <c r="C226" s="519" t="s">
        <v>3122</v>
      </c>
      <c r="D226" s="519" t="s">
        <v>3170</v>
      </c>
    </row>
    <row r="227">
      <c r="A227" s="411" t="s">
        <v>3097</v>
      </c>
      <c r="B227" s="519" t="s">
        <v>70</v>
      </c>
      <c r="C227" s="519" t="s">
        <v>3115</v>
      </c>
      <c r="D227" s="519" t="s">
        <v>3170</v>
      </c>
    </row>
    <row r="228">
      <c r="A228" s="411" t="s">
        <v>3097</v>
      </c>
      <c r="B228" s="519" t="s">
        <v>44</v>
      </c>
      <c r="C228" s="519" t="s">
        <v>2611</v>
      </c>
      <c r="D228" s="519" t="s">
        <v>3170</v>
      </c>
    </row>
    <row r="229">
      <c r="A229" s="411" t="s">
        <v>3097</v>
      </c>
      <c r="B229" s="519" t="s">
        <v>44</v>
      </c>
      <c r="C229" s="519" t="s">
        <v>3135</v>
      </c>
      <c r="D229" s="519" t="s">
        <v>3170</v>
      </c>
    </row>
    <row r="230">
      <c r="A230" s="411" t="s">
        <v>3097</v>
      </c>
      <c r="B230" s="519" t="s">
        <v>3106</v>
      </c>
      <c r="C230" s="519" t="s">
        <v>3098</v>
      </c>
      <c r="D230" s="519" t="s">
        <v>3159</v>
      </c>
    </row>
    <row r="231">
      <c r="A231" s="411" t="s">
        <v>3097</v>
      </c>
      <c r="B231" s="519" t="s">
        <v>44</v>
      </c>
      <c r="C231" s="519" t="s">
        <v>3098</v>
      </c>
      <c r="D231" s="519" t="s">
        <v>3159</v>
      </c>
    </row>
    <row r="232">
      <c r="A232" s="411" t="s">
        <v>3097</v>
      </c>
      <c r="B232" s="519" t="s">
        <v>324</v>
      </c>
      <c r="C232" s="519" t="s">
        <v>3113</v>
      </c>
      <c r="D232" s="519" t="s">
        <v>3159</v>
      </c>
    </row>
    <row r="233">
      <c r="A233" s="411" t="s">
        <v>3107</v>
      </c>
      <c r="B233" s="519" t="s">
        <v>70</v>
      </c>
      <c r="C233" s="519" t="s">
        <v>3114</v>
      </c>
      <c r="D233" s="519" t="s">
        <v>3159</v>
      </c>
    </row>
    <row r="234">
      <c r="A234" s="411" t="s">
        <v>3097</v>
      </c>
      <c r="B234" s="519" t="s">
        <v>44</v>
      </c>
      <c r="C234" s="519" t="s">
        <v>538</v>
      </c>
      <c r="D234" s="519" t="s">
        <v>3159</v>
      </c>
    </row>
    <row r="235">
      <c r="A235" s="411" t="s">
        <v>3097</v>
      </c>
      <c r="B235" s="519" t="s">
        <v>44</v>
      </c>
      <c r="C235" s="519" t="s">
        <v>3100</v>
      </c>
      <c r="D235" s="519" t="s">
        <v>3159</v>
      </c>
    </row>
    <row r="236">
      <c r="A236" s="411" t="s">
        <v>3097</v>
      </c>
      <c r="B236" s="519" t="s">
        <v>44</v>
      </c>
      <c r="C236" s="519" t="s">
        <v>3124</v>
      </c>
      <c r="D236" s="519" t="s">
        <v>3159</v>
      </c>
    </row>
    <row r="237">
      <c r="A237" s="411" t="s">
        <v>3097</v>
      </c>
      <c r="B237" s="519" t="s">
        <v>44</v>
      </c>
      <c r="C237" s="519" t="s">
        <v>3105</v>
      </c>
      <c r="D237" s="519" t="s">
        <v>3159</v>
      </c>
    </row>
    <row r="238">
      <c r="A238" s="411" t="s">
        <v>3097</v>
      </c>
      <c r="B238" s="519" t="s">
        <v>3106</v>
      </c>
      <c r="C238" s="519" t="s">
        <v>3098</v>
      </c>
      <c r="D238" s="519" t="s">
        <v>3159</v>
      </c>
    </row>
    <row r="239">
      <c r="A239" s="411" t="s">
        <v>3097</v>
      </c>
      <c r="B239" s="519" t="s">
        <v>44</v>
      </c>
      <c r="C239" s="519" t="s">
        <v>3101</v>
      </c>
      <c r="D239" s="519" t="s">
        <v>3159</v>
      </c>
    </row>
    <row r="240">
      <c r="A240" s="411" t="s">
        <v>3107</v>
      </c>
      <c r="B240" s="519" t="s">
        <v>44</v>
      </c>
      <c r="C240" s="519" t="s">
        <v>2611</v>
      </c>
      <c r="D240" s="519" t="s">
        <v>3159</v>
      </c>
    </row>
    <row r="241">
      <c r="A241" s="411" t="s">
        <v>3097</v>
      </c>
      <c r="B241" s="519" t="s">
        <v>44</v>
      </c>
      <c r="C241" s="519" t="s">
        <v>538</v>
      </c>
      <c r="D241" s="519" t="s">
        <v>3159</v>
      </c>
    </row>
    <row r="242">
      <c r="A242" s="411" t="s">
        <v>3097</v>
      </c>
      <c r="B242" s="519" t="s">
        <v>44</v>
      </c>
      <c r="C242" s="519" t="s">
        <v>3109</v>
      </c>
      <c r="D242" s="519" t="s">
        <v>3159</v>
      </c>
    </row>
    <row r="243">
      <c r="A243" s="411" t="s">
        <v>3097</v>
      </c>
      <c r="B243" s="519" t="s">
        <v>3106</v>
      </c>
      <c r="C243" s="519" t="s">
        <v>3098</v>
      </c>
      <c r="D243" s="519" t="s">
        <v>3171</v>
      </c>
    </row>
    <row r="244">
      <c r="A244" s="411" t="s">
        <v>3097</v>
      </c>
      <c r="B244" s="519" t="s">
        <v>44</v>
      </c>
      <c r="C244" s="519" t="s">
        <v>3122</v>
      </c>
      <c r="D244" s="519" t="s">
        <v>3171</v>
      </c>
    </row>
    <row r="245">
      <c r="A245" s="411" t="s">
        <v>3107</v>
      </c>
      <c r="B245" s="519" t="s">
        <v>44</v>
      </c>
      <c r="C245" s="519" t="s">
        <v>2611</v>
      </c>
      <c r="D245" s="519" t="s">
        <v>3171</v>
      </c>
    </row>
    <row r="246">
      <c r="A246" s="411" t="s">
        <v>3097</v>
      </c>
      <c r="B246" s="519" t="s">
        <v>44</v>
      </c>
      <c r="C246" s="519" t="s">
        <v>1033</v>
      </c>
      <c r="D246" s="519" t="s">
        <v>3171</v>
      </c>
    </row>
    <row r="247">
      <c r="A247" s="411" t="s">
        <v>3097</v>
      </c>
      <c r="B247" s="519" t="s">
        <v>44</v>
      </c>
      <c r="C247" s="519" t="s">
        <v>3140</v>
      </c>
      <c r="D247" s="519" t="s">
        <v>3171</v>
      </c>
    </row>
    <row r="248">
      <c r="A248" s="411" t="s">
        <v>3097</v>
      </c>
      <c r="B248" s="519" t="s">
        <v>44</v>
      </c>
      <c r="C248" s="519" t="s">
        <v>3111</v>
      </c>
      <c r="D248" s="519" t="s">
        <v>3171</v>
      </c>
    </row>
    <row r="249">
      <c r="A249" s="411" t="s">
        <v>3097</v>
      </c>
      <c r="B249" s="519" t="s">
        <v>44</v>
      </c>
      <c r="C249" s="519" t="s">
        <v>3109</v>
      </c>
      <c r="D249" s="519" t="s">
        <v>3171</v>
      </c>
    </row>
    <row r="250">
      <c r="A250" s="411" t="s">
        <v>3107</v>
      </c>
      <c r="B250" s="519" t="s">
        <v>44</v>
      </c>
      <c r="C250" s="519" t="s">
        <v>3102</v>
      </c>
      <c r="D250" s="519" t="s">
        <v>3171</v>
      </c>
    </row>
    <row r="251">
      <c r="A251" s="411" t="s">
        <v>3097</v>
      </c>
      <c r="B251" s="519" t="s">
        <v>44</v>
      </c>
      <c r="C251" s="519" t="s">
        <v>538</v>
      </c>
      <c r="D251" s="519" t="s">
        <v>3171</v>
      </c>
    </row>
    <row r="252">
      <c r="A252" s="411" t="s">
        <v>3097</v>
      </c>
      <c r="B252" s="519" t="s">
        <v>44</v>
      </c>
      <c r="C252" s="519" t="s">
        <v>1134</v>
      </c>
      <c r="D252" s="519" t="s">
        <v>3172</v>
      </c>
    </row>
    <row r="253">
      <c r="A253" s="411" t="s">
        <v>3107</v>
      </c>
      <c r="B253" s="519" t="s">
        <v>44</v>
      </c>
      <c r="C253" s="519" t="s">
        <v>3144</v>
      </c>
      <c r="D253" s="519" t="s">
        <v>3172</v>
      </c>
    </row>
    <row r="254">
      <c r="A254" s="411" t="s">
        <v>3097</v>
      </c>
      <c r="B254" s="519" t="s">
        <v>44</v>
      </c>
      <c r="C254" s="519" t="s">
        <v>3121</v>
      </c>
      <c r="D254" s="519" t="s">
        <v>3172</v>
      </c>
    </row>
    <row r="255">
      <c r="A255" s="411" t="s">
        <v>3097</v>
      </c>
      <c r="B255" s="519" t="s">
        <v>44</v>
      </c>
      <c r="C255" s="519" t="s">
        <v>3138</v>
      </c>
      <c r="D255" s="519" t="s">
        <v>3172</v>
      </c>
    </row>
    <row r="256">
      <c r="A256" s="411" t="s">
        <v>3107</v>
      </c>
      <c r="B256" s="519" t="s">
        <v>44</v>
      </c>
      <c r="C256" s="519" t="s">
        <v>3138</v>
      </c>
      <c r="D256" s="519" t="s">
        <v>3172</v>
      </c>
    </row>
    <row r="257">
      <c r="A257" s="411" t="s">
        <v>3097</v>
      </c>
      <c r="B257" s="519" t="s">
        <v>44</v>
      </c>
      <c r="C257" s="519" t="s">
        <v>3124</v>
      </c>
      <c r="D257" s="519" t="s">
        <v>3172</v>
      </c>
    </row>
    <row r="258">
      <c r="A258" s="411" t="s">
        <v>3097</v>
      </c>
      <c r="B258" s="519" t="s">
        <v>3173</v>
      </c>
      <c r="C258" s="519" t="s">
        <v>3114</v>
      </c>
      <c r="D258" s="519" t="s">
        <v>3172</v>
      </c>
    </row>
    <row r="259">
      <c r="A259" s="411" t="s">
        <v>3107</v>
      </c>
      <c r="B259" s="519" t="s">
        <v>44</v>
      </c>
      <c r="C259" s="519" t="s">
        <v>538</v>
      </c>
      <c r="D259" s="519" t="s">
        <v>3172</v>
      </c>
    </row>
    <row r="260">
      <c r="A260" s="411" t="s">
        <v>3097</v>
      </c>
      <c r="B260" s="519" t="s">
        <v>44</v>
      </c>
      <c r="C260" s="519" t="s">
        <v>3133</v>
      </c>
      <c r="D260" s="519" t="s">
        <v>3172</v>
      </c>
    </row>
    <row r="261">
      <c r="A261" s="411" t="s">
        <v>3107</v>
      </c>
      <c r="B261" s="519" t="s">
        <v>44</v>
      </c>
      <c r="C261" s="519" t="s">
        <v>2611</v>
      </c>
      <c r="D261" s="519" t="s">
        <v>3172</v>
      </c>
    </row>
    <row r="262">
      <c r="A262" s="411" t="s">
        <v>3097</v>
      </c>
      <c r="B262" s="519" t="s">
        <v>44</v>
      </c>
      <c r="C262" s="519" t="s">
        <v>3113</v>
      </c>
      <c r="D262" s="519" t="s">
        <v>3172</v>
      </c>
    </row>
    <row r="263">
      <c r="A263" s="411" t="s">
        <v>3097</v>
      </c>
      <c r="B263" s="519" t="s">
        <v>44</v>
      </c>
      <c r="C263" s="519" t="s">
        <v>3125</v>
      </c>
      <c r="D263" s="519" t="s">
        <v>3172</v>
      </c>
    </row>
    <row r="264">
      <c r="A264" s="411" t="s">
        <v>3107</v>
      </c>
      <c r="B264" s="519" t="s">
        <v>44</v>
      </c>
      <c r="C264" s="519" t="s">
        <v>2611</v>
      </c>
      <c r="D264" s="519" t="s">
        <v>3172</v>
      </c>
    </row>
    <row r="265">
      <c r="A265" s="411" t="s">
        <v>3097</v>
      </c>
      <c r="B265" s="519" t="s">
        <v>44</v>
      </c>
      <c r="C265" s="519" t="s">
        <v>3133</v>
      </c>
      <c r="D265" s="519" t="s">
        <v>3174</v>
      </c>
    </row>
    <row r="266">
      <c r="A266" s="411" t="s">
        <v>3107</v>
      </c>
      <c r="B266" s="519" t="s">
        <v>44</v>
      </c>
      <c r="C266" s="519" t="s">
        <v>3124</v>
      </c>
      <c r="D266" s="519" t="s">
        <v>3174</v>
      </c>
    </row>
    <row r="267">
      <c r="A267" s="411" t="s">
        <v>3097</v>
      </c>
      <c r="B267" s="519" t="s">
        <v>44</v>
      </c>
      <c r="C267" s="519" t="s">
        <v>3115</v>
      </c>
      <c r="D267" s="519" t="s">
        <v>3174</v>
      </c>
    </row>
    <row r="268">
      <c r="A268" s="411" t="s">
        <v>3097</v>
      </c>
      <c r="B268" s="519" t="s">
        <v>3106</v>
      </c>
      <c r="C268" s="519" t="s">
        <v>3098</v>
      </c>
      <c r="D268" s="519" t="s">
        <v>3174</v>
      </c>
    </row>
    <row r="269">
      <c r="A269" s="411" t="s">
        <v>3097</v>
      </c>
      <c r="B269" s="519" t="s">
        <v>44</v>
      </c>
      <c r="C269" s="519" t="s">
        <v>3105</v>
      </c>
      <c r="D269" s="519" t="s">
        <v>3175</v>
      </c>
    </row>
    <row r="270">
      <c r="A270" s="411" t="s">
        <v>3097</v>
      </c>
      <c r="B270" s="519" t="s">
        <v>44</v>
      </c>
      <c r="C270" s="519" t="s">
        <v>3144</v>
      </c>
      <c r="D270" s="519" t="s">
        <v>3175</v>
      </c>
    </row>
    <row r="271">
      <c r="A271" s="411" t="s">
        <v>3097</v>
      </c>
      <c r="B271" s="519" t="s">
        <v>44</v>
      </c>
      <c r="C271" s="519" t="s">
        <v>3124</v>
      </c>
      <c r="D271" s="519" t="s">
        <v>3175</v>
      </c>
    </row>
    <row r="272">
      <c r="A272" s="411" t="s">
        <v>3097</v>
      </c>
      <c r="B272" s="519" t="s">
        <v>44</v>
      </c>
      <c r="C272" s="519" t="s">
        <v>3098</v>
      </c>
      <c r="D272" s="519" t="s">
        <v>3175</v>
      </c>
    </row>
    <row r="273">
      <c r="A273" s="411" t="s">
        <v>3107</v>
      </c>
      <c r="B273" s="519" t="s">
        <v>44</v>
      </c>
      <c r="C273" s="519" t="s">
        <v>1033</v>
      </c>
      <c r="D273" s="519" t="s">
        <v>3175</v>
      </c>
    </row>
    <row r="274">
      <c r="A274" s="411" t="s">
        <v>3107</v>
      </c>
      <c r="B274" s="519" t="s">
        <v>44</v>
      </c>
      <c r="C274" s="519" t="s">
        <v>3135</v>
      </c>
      <c r="D274" s="519" t="s">
        <v>3175</v>
      </c>
    </row>
    <row r="275">
      <c r="A275" s="411" t="s">
        <v>3097</v>
      </c>
      <c r="B275" s="519" t="s">
        <v>44</v>
      </c>
      <c r="C275" s="519" t="s">
        <v>2611</v>
      </c>
      <c r="D275" s="519" t="s">
        <v>3175</v>
      </c>
    </row>
    <row r="276">
      <c r="A276" s="411" t="s">
        <v>3107</v>
      </c>
      <c r="B276" s="519" t="s">
        <v>44</v>
      </c>
      <c r="C276" s="519" t="s">
        <v>3109</v>
      </c>
      <c r="D276" s="519" t="s">
        <v>3175</v>
      </c>
    </row>
    <row r="277">
      <c r="A277" s="411" t="s">
        <v>3097</v>
      </c>
      <c r="B277" s="520"/>
      <c r="C277" s="519" t="s">
        <v>3125</v>
      </c>
      <c r="D277" s="519" t="s">
        <v>3176</v>
      </c>
    </row>
    <row r="278">
      <c r="A278" s="411" t="s">
        <v>3097</v>
      </c>
      <c r="B278" s="519" t="s">
        <v>44</v>
      </c>
      <c r="C278" s="519" t="s">
        <v>3145</v>
      </c>
      <c r="D278" s="519" t="s">
        <v>3176</v>
      </c>
    </row>
    <row r="279">
      <c r="A279" s="411" t="s">
        <v>3097</v>
      </c>
      <c r="B279" s="519" t="s">
        <v>3142</v>
      </c>
      <c r="C279" s="519" t="s">
        <v>3121</v>
      </c>
      <c r="D279" s="519" t="s">
        <v>3176</v>
      </c>
    </row>
    <row r="280">
      <c r="A280" s="411" t="s">
        <v>3097</v>
      </c>
      <c r="B280" s="519" t="s">
        <v>44</v>
      </c>
      <c r="C280" s="519" t="s">
        <v>3123</v>
      </c>
      <c r="D280" s="519" t="s">
        <v>3177</v>
      </c>
    </row>
    <row r="281">
      <c r="A281" s="411" t="s">
        <v>3097</v>
      </c>
      <c r="B281" s="519" t="s">
        <v>44</v>
      </c>
      <c r="C281" s="519" t="s">
        <v>3141</v>
      </c>
      <c r="D281" s="519" t="s">
        <v>3177</v>
      </c>
    </row>
    <row r="282">
      <c r="A282" s="411" t="s">
        <v>3097</v>
      </c>
      <c r="B282" s="519" t="s">
        <v>44</v>
      </c>
      <c r="C282" s="519" t="s">
        <v>3136</v>
      </c>
      <c r="D282" s="519" t="s">
        <v>3177</v>
      </c>
    </row>
    <row r="283">
      <c r="A283" s="411" t="s">
        <v>3097</v>
      </c>
      <c r="B283" s="519" t="s">
        <v>44</v>
      </c>
      <c r="C283" s="519" t="s">
        <v>2611</v>
      </c>
      <c r="D283" s="519" t="s">
        <v>3177</v>
      </c>
    </row>
    <row r="284">
      <c r="A284" s="411" t="s">
        <v>3107</v>
      </c>
      <c r="B284" s="519" t="s">
        <v>44</v>
      </c>
      <c r="C284" s="519" t="s">
        <v>3115</v>
      </c>
      <c r="D284" s="519" t="s">
        <v>3177</v>
      </c>
    </row>
    <row r="285">
      <c r="A285" s="411" t="s">
        <v>3097</v>
      </c>
      <c r="B285" s="519" t="s">
        <v>3106</v>
      </c>
      <c r="C285" s="519" t="s">
        <v>3098</v>
      </c>
      <c r="D285" s="519" t="s">
        <v>3177</v>
      </c>
    </row>
    <row r="286">
      <c r="A286" s="411" t="s">
        <v>3097</v>
      </c>
      <c r="B286" s="519" t="s">
        <v>44</v>
      </c>
      <c r="C286" s="519" t="s">
        <v>3098</v>
      </c>
      <c r="D286" s="519" t="s">
        <v>3177</v>
      </c>
    </row>
    <row r="287">
      <c r="A287" s="411" t="s">
        <v>3097</v>
      </c>
      <c r="B287" s="519" t="s">
        <v>44</v>
      </c>
      <c r="C287" s="519" t="s">
        <v>3138</v>
      </c>
      <c r="D287" s="519" t="s">
        <v>3177</v>
      </c>
    </row>
    <row r="288">
      <c r="A288" s="411" t="s">
        <v>3097</v>
      </c>
      <c r="B288" s="519" t="s">
        <v>44</v>
      </c>
      <c r="C288" s="519" t="s">
        <v>3105</v>
      </c>
      <c r="D288" s="519" t="s">
        <v>3177</v>
      </c>
    </row>
    <row r="289">
      <c r="A289" s="411" t="s">
        <v>3097</v>
      </c>
      <c r="B289" s="519" t="s">
        <v>44</v>
      </c>
      <c r="C289" s="519" t="s">
        <v>3133</v>
      </c>
      <c r="D289" s="519" t="s">
        <v>3178</v>
      </c>
    </row>
    <row r="290">
      <c r="A290" s="411" t="s">
        <v>3097</v>
      </c>
      <c r="B290" s="519" t="s">
        <v>44</v>
      </c>
      <c r="C290" s="519" t="s">
        <v>3140</v>
      </c>
      <c r="D290" s="519" t="s">
        <v>3178</v>
      </c>
    </row>
    <row r="291">
      <c r="A291" s="411" t="s">
        <v>3107</v>
      </c>
      <c r="B291" s="519" t="s">
        <v>44</v>
      </c>
      <c r="C291" s="519" t="s">
        <v>3113</v>
      </c>
      <c r="D291" s="519" t="s">
        <v>3178</v>
      </c>
    </row>
    <row r="292">
      <c r="A292" s="411" t="s">
        <v>3097</v>
      </c>
      <c r="B292" s="520"/>
      <c r="C292" s="519" t="s">
        <v>3125</v>
      </c>
      <c r="D292" s="519" t="s">
        <v>3178</v>
      </c>
    </row>
    <row r="293">
      <c r="A293" s="411" t="s">
        <v>40</v>
      </c>
      <c r="B293" s="519" t="s">
        <v>44</v>
      </c>
      <c r="C293" s="519" t="s">
        <v>3139</v>
      </c>
      <c r="D293" s="519" t="s">
        <v>3179</v>
      </c>
    </row>
    <row r="294">
      <c r="A294" s="411" t="s">
        <v>3097</v>
      </c>
      <c r="B294" s="519" t="s">
        <v>44</v>
      </c>
      <c r="C294" s="519" t="s">
        <v>3141</v>
      </c>
      <c r="D294" s="519" t="s">
        <v>3179</v>
      </c>
    </row>
    <row r="295">
      <c r="A295" s="411" t="s">
        <v>3097</v>
      </c>
      <c r="B295" s="519" t="s">
        <v>44</v>
      </c>
      <c r="C295" s="519" t="s">
        <v>3105</v>
      </c>
      <c r="D295" s="519" t="s">
        <v>3179</v>
      </c>
    </row>
    <row r="296">
      <c r="A296" s="411" t="s">
        <v>3097</v>
      </c>
      <c r="B296" s="519" t="s">
        <v>44</v>
      </c>
      <c r="C296" s="519" t="s">
        <v>3124</v>
      </c>
      <c r="D296" s="519" t="s">
        <v>3179</v>
      </c>
    </row>
    <row r="297">
      <c r="A297" s="411" t="s">
        <v>3107</v>
      </c>
      <c r="B297" s="519" t="s">
        <v>70</v>
      </c>
      <c r="C297" s="519" t="s">
        <v>1137</v>
      </c>
      <c r="D297" s="519" t="s">
        <v>3179</v>
      </c>
    </row>
    <row r="298">
      <c r="A298" s="411" t="s">
        <v>3097</v>
      </c>
      <c r="B298" s="519" t="s">
        <v>3142</v>
      </c>
      <c r="C298" s="519" t="s">
        <v>229</v>
      </c>
      <c r="D298" s="519" t="s">
        <v>3180</v>
      </c>
    </row>
    <row r="299">
      <c r="A299" s="411" t="s">
        <v>3107</v>
      </c>
      <c r="B299" s="519" t="s">
        <v>70</v>
      </c>
      <c r="C299" s="519" t="s">
        <v>3098</v>
      </c>
      <c r="D299" s="519" t="s">
        <v>3180</v>
      </c>
    </row>
    <row r="300">
      <c r="A300" s="411" t="s">
        <v>3097</v>
      </c>
      <c r="B300" s="519" t="s">
        <v>44</v>
      </c>
      <c r="C300" s="519" t="s">
        <v>3113</v>
      </c>
      <c r="D300" s="519" t="s">
        <v>3180</v>
      </c>
    </row>
    <row r="301">
      <c r="A301" s="411" t="s">
        <v>3107</v>
      </c>
      <c r="B301" s="519" t="s">
        <v>44</v>
      </c>
      <c r="C301" s="519" t="s">
        <v>3140</v>
      </c>
      <c r="D301" s="519" t="s">
        <v>3180</v>
      </c>
    </row>
    <row r="302">
      <c r="A302" s="411" t="s">
        <v>3097</v>
      </c>
      <c r="B302" s="519" t="s">
        <v>44</v>
      </c>
      <c r="C302" s="519" t="s">
        <v>1033</v>
      </c>
      <c r="D302" s="519" t="s">
        <v>3180</v>
      </c>
    </row>
    <row r="303">
      <c r="A303" s="411" t="s">
        <v>3097</v>
      </c>
      <c r="B303" s="519" t="s">
        <v>3142</v>
      </c>
      <c r="C303" s="519" t="s">
        <v>3133</v>
      </c>
      <c r="D303" s="519" t="s">
        <v>3149</v>
      </c>
    </row>
    <row r="304">
      <c r="A304" s="411" t="s">
        <v>3097</v>
      </c>
      <c r="B304" s="519" t="s">
        <v>44</v>
      </c>
      <c r="C304" s="519" t="s">
        <v>3128</v>
      </c>
      <c r="D304" s="519" t="s">
        <v>3149</v>
      </c>
    </row>
    <row r="305">
      <c r="B305" s="519" t="s">
        <v>44</v>
      </c>
      <c r="C305" s="519" t="s">
        <v>3111</v>
      </c>
      <c r="D305" s="519" t="s">
        <v>3149</v>
      </c>
    </row>
    <row r="306">
      <c r="A306" s="411" t="s">
        <v>3097</v>
      </c>
      <c r="B306" s="519" t="s">
        <v>44</v>
      </c>
      <c r="C306" s="519" t="s">
        <v>3098</v>
      </c>
      <c r="D306" s="519" t="s">
        <v>3149</v>
      </c>
    </row>
    <row r="307">
      <c r="A307" s="411" t="s">
        <v>3097</v>
      </c>
      <c r="B307" s="519" t="s">
        <v>44</v>
      </c>
      <c r="C307" s="519" t="s">
        <v>3098</v>
      </c>
      <c r="D307" s="519" t="s">
        <v>3149</v>
      </c>
    </row>
    <row r="308">
      <c r="A308" s="411" t="s">
        <v>3097</v>
      </c>
      <c r="B308" s="519" t="s">
        <v>44</v>
      </c>
      <c r="C308" s="519" t="s">
        <v>3102</v>
      </c>
      <c r="D308" s="519" t="s">
        <v>3181</v>
      </c>
    </row>
    <row r="309">
      <c r="A309" s="411" t="s">
        <v>3107</v>
      </c>
      <c r="B309" s="519" t="s">
        <v>3142</v>
      </c>
      <c r="C309" s="519" t="s">
        <v>3098</v>
      </c>
      <c r="D309" s="519" t="s">
        <v>3181</v>
      </c>
    </row>
    <row r="310">
      <c r="A310" s="411" t="s">
        <v>3097</v>
      </c>
      <c r="B310" s="519" t="s">
        <v>44</v>
      </c>
      <c r="C310" s="519" t="s">
        <v>3098</v>
      </c>
      <c r="D310" s="519" t="s">
        <v>3181</v>
      </c>
    </row>
    <row r="311">
      <c r="A311" s="411" t="s">
        <v>3107</v>
      </c>
      <c r="B311" s="519" t="s">
        <v>44</v>
      </c>
      <c r="C311" s="519" t="s">
        <v>538</v>
      </c>
      <c r="D311" s="519" t="s">
        <v>3181</v>
      </c>
    </row>
    <row r="312">
      <c r="A312" s="411" t="s">
        <v>3107</v>
      </c>
      <c r="B312" s="519" t="s">
        <v>44</v>
      </c>
      <c r="C312" s="519" t="s">
        <v>3118</v>
      </c>
      <c r="D312" s="519" t="s">
        <v>3181</v>
      </c>
    </row>
    <row r="313">
      <c r="A313" s="411" t="s">
        <v>3097</v>
      </c>
      <c r="B313" s="519" t="s">
        <v>44</v>
      </c>
      <c r="C313" s="519" t="s">
        <v>3109</v>
      </c>
      <c r="D313" s="519" t="s">
        <v>3181</v>
      </c>
    </row>
    <row r="314">
      <c r="A314" s="411" t="s">
        <v>3097</v>
      </c>
      <c r="B314" s="519" t="s">
        <v>44</v>
      </c>
      <c r="C314" s="519" t="s">
        <v>2611</v>
      </c>
      <c r="D314" s="519" t="s">
        <v>3181</v>
      </c>
    </row>
    <row r="315">
      <c r="A315" s="411" t="s">
        <v>3107</v>
      </c>
      <c r="B315" s="519" t="s">
        <v>44</v>
      </c>
      <c r="C315" s="519" t="s">
        <v>3100</v>
      </c>
      <c r="D315" s="519" t="s">
        <v>3181</v>
      </c>
    </row>
    <row r="316">
      <c r="A316" s="411" t="s">
        <v>3097</v>
      </c>
      <c r="B316" s="519" t="s">
        <v>44</v>
      </c>
      <c r="C316" s="519" t="s">
        <v>3140</v>
      </c>
      <c r="D316" s="519" t="s">
        <v>3181</v>
      </c>
    </row>
    <row r="317">
      <c r="A317" s="411" t="s">
        <v>3097</v>
      </c>
      <c r="B317" s="519" t="s">
        <v>44</v>
      </c>
      <c r="C317" s="519" t="s">
        <v>3128</v>
      </c>
      <c r="D317" s="519" t="s">
        <v>3181</v>
      </c>
    </row>
    <row r="318">
      <c r="A318" s="411" t="s">
        <v>3097</v>
      </c>
      <c r="B318" s="519" t="s">
        <v>44</v>
      </c>
      <c r="C318" s="519" t="s">
        <v>3108</v>
      </c>
      <c r="D318" s="519" t="s">
        <v>3181</v>
      </c>
    </row>
    <row r="319">
      <c r="A319" s="411" t="s">
        <v>3097</v>
      </c>
      <c r="B319" s="519" t="s">
        <v>44</v>
      </c>
      <c r="C319" s="519" t="s">
        <v>3123</v>
      </c>
      <c r="D319" s="519" t="s">
        <v>3181</v>
      </c>
    </row>
    <row r="320">
      <c r="A320" s="411" t="s">
        <v>3097</v>
      </c>
      <c r="B320" s="519" t="s">
        <v>44</v>
      </c>
      <c r="C320" s="519" t="s">
        <v>2611</v>
      </c>
      <c r="D320" s="519" t="s">
        <v>3181</v>
      </c>
    </row>
    <row r="321">
      <c r="A321" s="411" t="s">
        <v>3097</v>
      </c>
      <c r="B321" s="519" t="s">
        <v>44</v>
      </c>
      <c r="C321" s="519" t="s">
        <v>3120</v>
      </c>
      <c r="D321" s="519" t="s">
        <v>3181</v>
      </c>
    </row>
    <row r="322">
      <c r="A322" s="411" t="s">
        <v>3107</v>
      </c>
      <c r="B322" s="519" t="s">
        <v>70</v>
      </c>
      <c r="C322" s="519" t="s">
        <v>3114</v>
      </c>
      <c r="D322" s="519" t="s">
        <v>3181</v>
      </c>
    </row>
    <row r="323">
      <c r="A323" s="411" t="s">
        <v>3097</v>
      </c>
      <c r="B323" s="519" t="s">
        <v>44</v>
      </c>
      <c r="C323" s="519" t="s">
        <v>3139</v>
      </c>
      <c r="D323" s="519" t="s">
        <v>3181</v>
      </c>
    </row>
    <row r="324">
      <c r="A324" s="411" t="s">
        <v>3097</v>
      </c>
      <c r="B324" s="519" t="s">
        <v>44</v>
      </c>
      <c r="C324" s="519" t="s">
        <v>3144</v>
      </c>
      <c r="D324" s="519" t="s">
        <v>3181</v>
      </c>
    </row>
    <row r="325">
      <c r="B325" s="519" t="s">
        <v>44</v>
      </c>
      <c r="C325" s="519" t="s">
        <v>3111</v>
      </c>
      <c r="D325" s="519" t="s">
        <v>3181</v>
      </c>
    </row>
    <row r="326">
      <c r="A326" s="411" t="s">
        <v>3097</v>
      </c>
      <c r="B326" s="519" t="s">
        <v>44</v>
      </c>
      <c r="C326" s="519" t="s">
        <v>3140</v>
      </c>
      <c r="D326" s="519" t="s">
        <v>3181</v>
      </c>
    </row>
    <row r="327">
      <c r="A327" s="411" t="s">
        <v>3097</v>
      </c>
      <c r="B327" s="519" t="s">
        <v>44</v>
      </c>
      <c r="C327" s="519" t="s">
        <v>3098</v>
      </c>
      <c r="D327" s="519" t="s">
        <v>3181</v>
      </c>
    </row>
    <row r="328">
      <c r="A328" s="411" t="s">
        <v>3107</v>
      </c>
      <c r="B328" s="519" t="s">
        <v>44</v>
      </c>
      <c r="C328" s="519" t="s">
        <v>3135</v>
      </c>
      <c r="D328" s="519" t="s">
        <v>3181</v>
      </c>
    </row>
    <row r="329">
      <c r="A329" s="411" t="s">
        <v>3097</v>
      </c>
      <c r="B329" s="519" t="s">
        <v>44</v>
      </c>
      <c r="C329" s="519" t="s">
        <v>2611</v>
      </c>
      <c r="D329" s="519" t="s">
        <v>3181</v>
      </c>
    </row>
    <row r="330">
      <c r="A330" s="411" t="s">
        <v>40</v>
      </c>
      <c r="B330" s="519" t="s">
        <v>44</v>
      </c>
      <c r="C330" s="519" t="s">
        <v>1134</v>
      </c>
      <c r="D330" s="519" t="s">
        <v>3181</v>
      </c>
    </row>
    <row r="331">
      <c r="A331" s="411" t="s">
        <v>3107</v>
      </c>
      <c r="B331" s="519" t="s">
        <v>44</v>
      </c>
      <c r="C331" s="519" t="s">
        <v>3113</v>
      </c>
      <c r="D331" s="519" t="s">
        <v>3181</v>
      </c>
    </row>
    <row r="332">
      <c r="A332" s="411" t="s">
        <v>3097</v>
      </c>
      <c r="B332" s="519" t="s">
        <v>44</v>
      </c>
      <c r="C332" s="519" t="s">
        <v>3108</v>
      </c>
      <c r="D332" s="519" t="s">
        <v>3155</v>
      </c>
    </row>
    <row r="333">
      <c r="A333" s="411" t="s">
        <v>3097</v>
      </c>
      <c r="B333" s="519" t="s">
        <v>44</v>
      </c>
      <c r="C333" s="519" t="s">
        <v>3145</v>
      </c>
      <c r="D333" s="519" t="s">
        <v>3155</v>
      </c>
    </row>
    <row r="334">
      <c r="A334" s="411" t="s">
        <v>3107</v>
      </c>
      <c r="B334" s="519" t="s">
        <v>3182</v>
      </c>
      <c r="C334" s="519" t="s">
        <v>3141</v>
      </c>
      <c r="D334" s="519" t="s">
        <v>3155</v>
      </c>
    </row>
    <row r="335">
      <c r="A335" s="411" t="s">
        <v>3107</v>
      </c>
      <c r="B335" s="519" t="s">
        <v>44</v>
      </c>
      <c r="C335" s="519" t="s">
        <v>3113</v>
      </c>
      <c r="D335" s="519" t="s">
        <v>3155</v>
      </c>
    </row>
    <row r="336">
      <c r="A336" s="411" t="s">
        <v>3097</v>
      </c>
      <c r="B336" s="519" t="s">
        <v>324</v>
      </c>
      <c r="C336" s="519" t="s">
        <v>229</v>
      </c>
      <c r="D336" s="519" t="s">
        <v>3155</v>
      </c>
    </row>
    <row r="337">
      <c r="A337" s="411" t="s">
        <v>3097</v>
      </c>
      <c r="B337" s="519" t="s">
        <v>44</v>
      </c>
      <c r="C337" s="519" t="s">
        <v>3135</v>
      </c>
      <c r="D337" s="519" t="s">
        <v>3155</v>
      </c>
    </row>
    <row r="338">
      <c r="A338" s="411" t="s">
        <v>3097</v>
      </c>
      <c r="B338" s="519" t="s">
        <v>44</v>
      </c>
      <c r="C338" s="519" t="s">
        <v>3124</v>
      </c>
      <c r="D338" s="519" t="s">
        <v>3155</v>
      </c>
    </row>
    <row r="339">
      <c r="A339" s="411" t="s">
        <v>3097</v>
      </c>
      <c r="B339" s="519" t="s">
        <v>324</v>
      </c>
      <c r="C339" s="519" t="s">
        <v>3124</v>
      </c>
      <c r="D339" s="519" t="s">
        <v>3155</v>
      </c>
    </row>
    <row r="340">
      <c r="A340" s="411" t="s">
        <v>3107</v>
      </c>
      <c r="B340" s="519" t="s">
        <v>3142</v>
      </c>
      <c r="C340" s="519" t="s">
        <v>3136</v>
      </c>
      <c r="D340" s="519" t="s">
        <v>3155</v>
      </c>
    </row>
    <row r="341">
      <c r="A341" s="411" t="s">
        <v>3107</v>
      </c>
      <c r="B341" s="519" t="s">
        <v>44</v>
      </c>
      <c r="C341" s="519" t="s">
        <v>3129</v>
      </c>
      <c r="D341" s="519" t="s">
        <v>3155</v>
      </c>
    </row>
    <row r="342">
      <c r="A342" s="411" t="s">
        <v>3097</v>
      </c>
      <c r="B342" s="519" t="s">
        <v>44</v>
      </c>
      <c r="C342" s="519" t="s">
        <v>3124</v>
      </c>
      <c r="D342" s="519" t="s">
        <v>3155</v>
      </c>
    </row>
    <row r="343">
      <c r="A343" s="411" t="s">
        <v>3107</v>
      </c>
      <c r="B343" s="519" t="s">
        <v>3106</v>
      </c>
      <c r="C343" s="519" t="s">
        <v>1033</v>
      </c>
      <c r="D343" s="519" t="s">
        <v>3155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20.75"/>
    <col customWidth="1" min="3" max="3" width="20.25"/>
    <col customWidth="1" min="4" max="4" width="33.88"/>
  </cols>
  <sheetData>
    <row r="1">
      <c r="A1" s="521" t="s">
        <v>3183</v>
      </c>
      <c r="B1" s="521" t="s">
        <v>3184</v>
      </c>
      <c r="C1" s="522" t="s">
        <v>3185</v>
      </c>
      <c r="D1" s="521" t="s">
        <v>3186</v>
      </c>
      <c r="E1" s="523" t="s">
        <v>3187</v>
      </c>
    </row>
    <row r="2">
      <c r="A2" s="524" t="s">
        <v>134</v>
      </c>
      <c r="B2" s="524" t="s">
        <v>99</v>
      </c>
      <c r="C2" s="525">
        <v>30000.0</v>
      </c>
      <c r="D2" s="524" t="s">
        <v>43</v>
      </c>
      <c r="E2" s="411" t="b">
        <v>1</v>
      </c>
    </row>
    <row r="3">
      <c r="A3" s="524" t="s">
        <v>123</v>
      </c>
      <c r="B3" s="524" t="s">
        <v>89</v>
      </c>
      <c r="C3" s="526">
        <v>8400.0</v>
      </c>
      <c r="D3" s="524" t="s">
        <v>118</v>
      </c>
      <c r="E3" s="411" t="b">
        <v>1</v>
      </c>
    </row>
    <row r="4">
      <c r="A4" s="524" t="s">
        <v>123</v>
      </c>
      <c r="B4" s="524" t="s">
        <v>89</v>
      </c>
      <c r="C4" s="526">
        <v>57587.0</v>
      </c>
      <c r="D4" s="524" t="s">
        <v>194</v>
      </c>
      <c r="E4" s="411" t="b">
        <v>1</v>
      </c>
    </row>
    <row r="5">
      <c r="A5" s="524" t="s">
        <v>94</v>
      </c>
      <c r="B5" s="524" t="s">
        <v>99</v>
      </c>
      <c r="C5" s="526">
        <v>15000.0</v>
      </c>
      <c r="D5" s="524" t="s">
        <v>73</v>
      </c>
      <c r="E5" s="411" t="b">
        <v>1</v>
      </c>
    </row>
    <row r="6">
      <c r="A6" s="524" t="s">
        <v>64</v>
      </c>
      <c r="B6" s="524" t="s">
        <v>99</v>
      </c>
      <c r="C6" s="526">
        <v>15000.0</v>
      </c>
      <c r="D6" s="524" t="s">
        <v>336</v>
      </c>
      <c r="E6" s="411" t="b">
        <v>1</v>
      </c>
    </row>
    <row r="7">
      <c r="A7" s="524" t="s">
        <v>98</v>
      </c>
      <c r="B7" s="524" t="s">
        <v>89</v>
      </c>
      <c r="C7" s="525">
        <v>15000.0</v>
      </c>
      <c r="D7" s="524" t="s">
        <v>100</v>
      </c>
      <c r="E7" s="411" t="b">
        <v>1</v>
      </c>
    </row>
    <row r="8">
      <c r="A8" s="524" t="s">
        <v>98</v>
      </c>
      <c r="B8" s="524" t="s">
        <v>99</v>
      </c>
      <c r="C8" s="525">
        <v>15000.0</v>
      </c>
      <c r="D8" s="524" t="s">
        <v>100</v>
      </c>
      <c r="E8" s="411" t="b">
        <v>1</v>
      </c>
    </row>
    <row r="9">
      <c r="A9" s="524" t="s">
        <v>347</v>
      </c>
      <c r="B9" s="524" t="s">
        <v>99</v>
      </c>
      <c r="C9" s="527">
        <v>15000.0</v>
      </c>
      <c r="D9" s="524" t="s">
        <v>118</v>
      </c>
      <c r="E9" s="411" t="b">
        <v>1</v>
      </c>
    </row>
    <row r="10">
      <c r="A10" s="524" t="s">
        <v>323</v>
      </c>
      <c r="B10" s="524" t="s">
        <v>99</v>
      </c>
      <c r="C10" s="528">
        <v>15000.0</v>
      </c>
      <c r="D10" s="524" t="s">
        <v>194</v>
      </c>
      <c r="E10" s="411" t="b">
        <v>1</v>
      </c>
    </row>
    <row r="11">
      <c r="A11" s="524" t="s">
        <v>120</v>
      </c>
      <c r="B11" s="524" t="s">
        <v>99</v>
      </c>
      <c r="C11" s="525">
        <v>15000.0</v>
      </c>
      <c r="D11" s="524" t="s">
        <v>121</v>
      </c>
      <c r="E11" s="411" t="b">
        <v>1</v>
      </c>
    </row>
    <row r="12">
      <c r="A12" s="524" t="s">
        <v>88</v>
      </c>
      <c r="B12" s="524" t="s">
        <v>89</v>
      </c>
      <c r="C12" s="525">
        <v>15000.0</v>
      </c>
      <c r="D12" s="524" t="s">
        <v>90</v>
      </c>
      <c r="E12" s="411" t="b">
        <v>1</v>
      </c>
    </row>
    <row r="13">
      <c r="A13" s="524" t="s">
        <v>193</v>
      </c>
      <c r="B13" s="524" t="s">
        <v>89</v>
      </c>
      <c r="C13" s="525">
        <v>15000.0</v>
      </c>
      <c r="D13" s="524" t="s">
        <v>194</v>
      </c>
      <c r="E13" s="411" t="b">
        <v>1</v>
      </c>
      <c r="F13" s="487"/>
    </row>
    <row r="14">
      <c r="A14" s="524" t="s">
        <v>193</v>
      </c>
      <c r="B14" s="524" t="s">
        <v>99</v>
      </c>
      <c r="C14" s="526">
        <v>30000.0</v>
      </c>
      <c r="D14" s="524" t="s">
        <v>3188</v>
      </c>
      <c r="E14" s="411" t="b">
        <v>1</v>
      </c>
    </row>
    <row r="15">
      <c r="A15" s="524" t="s">
        <v>193</v>
      </c>
      <c r="B15" s="524" t="s">
        <v>99</v>
      </c>
      <c r="C15" s="526">
        <v>10000.0</v>
      </c>
      <c r="D15" s="524" t="s">
        <v>229</v>
      </c>
      <c r="E15" s="413" t="b">
        <v>0</v>
      </c>
    </row>
    <row r="16">
      <c r="A16" s="524" t="s">
        <v>188</v>
      </c>
      <c r="B16" s="524" t="s">
        <v>89</v>
      </c>
      <c r="C16" s="525">
        <v>120000.0</v>
      </c>
      <c r="D16" s="524" t="s">
        <v>189</v>
      </c>
      <c r="E16" s="411" t="b">
        <v>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109</v>
      </c>
    </row>
    <row r="2">
      <c r="A2" s="11" t="s">
        <v>142</v>
      </c>
    </row>
    <row r="3">
      <c r="A3" s="11" t="s">
        <v>51</v>
      </c>
    </row>
    <row r="4">
      <c r="A4" s="11" t="s">
        <v>202</v>
      </c>
    </row>
    <row r="5">
      <c r="A5" s="11" t="s">
        <v>260</v>
      </c>
    </row>
    <row r="6">
      <c r="A6" s="11" t="s">
        <v>109</v>
      </c>
    </row>
    <row r="7">
      <c r="A7" s="11" t="s">
        <v>51</v>
      </c>
    </row>
    <row r="8">
      <c r="A8" s="11" t="s">
        <v>260</v>
      </c>
    </row>
    <row r="9">
      <c r="A9" s="11" t="s">
        <v>471</v>
      </c>
    </row>
    <row r="10">
      <c r="A10" s="11" t="s">
        <v>124</v>
      </c>
    </row>
    <row r="11">
      <c r="A11" s="11" t="s">
        <v>51</v>
      </c>
    </row>
    <row r="12">
      <c r="A12" s="11" t="s">
        <v>315</v>
      </c>
    </row>
    <row r="13">
      <c r="A13" s="11" t="s">
        <v>315</v>
      </c>
    </row>
    <row r="14">
      <c r="A14" s="11" t="s">
        <v>315</v>
      </c>
    </row>
    <row r="15">
      <c r="A15" s="11" t="s">
        <v>315</v>
      </c>
    </row>
    <row r="16">
      <c r="A16" s="11" t="s">
        <v>142</v>
      </c>
    </row>
    <row r="17">
      <c r="A17" s="11" t="s">
        <v>51</v>
      </c>
    </row>
    <row r="18">
      <c r="A18" s="11" t="s">
        <v>51</v>
      </c>
    </row>
    <row r="19">
      <c r="A19" s="11" t="s">
        <v>142</v>
      </c>
    </row>
    <row r="20">
      <c r="A20" s="11" t="s">
        <v>109</v>
      </c>
    </row>
    <row r="21">
      <c r="A21" s="11" t="s">
        <v>51</v>
      </c>
    </row>
    <row r="22">
      <c r="A22" s="11" t="s">
        <v>51</v>
      </c>
    </row>
    <row r="23">
      <c r="A23" s="11" t="s">
        <v>109</v>
      </c>
    </row>
    <row r="24">
      <c r="A24" s="11" t="s">
        <v>109</v>
      </c>
    </row>
    <row r="25">
      <c r="A25" s="11" t="s">
        <v>202</v>
      </c>
    </row>
    <row r="26">
      <c r="A26" s="11" t="s">
        <v>51</v>
      </c>
    </row>
    <row r="27">
      <c r="A27" s="11" t="s">
        <v>51</v>
      </c>
    </row>
    <row r="28">
      <c r="A28" s="11" t="s">
        <v>124</v>
      </c>
    </row>
    <row r="29">
      <c r="A29" s="20" t="s">
        <v>378</v>
      </c>
    </row>
    <row r="30">
      <c r="A30" s="11" t="s">
        <v>109</v>
      </c>
    </row>
    <row r="31">
      <c r="A31" s="11" t="s">
        <v>109</v>
      </c>
    </row>
    <row r="32">
      <c r="A32" s="11" t="s">
        <v>394</v>
      </c>
    </row>
    <row r="33">
      <c r="A33" s="11" t="s">
        <v>142</v>
      </c>
    </row>
    <row r="34">
      <c r="A34" s="20" t="s">
        <v>142</v>
      </c>
    </row>
    <row r="35">
      <c r="A35" s="20" t="s">
        <v>142</v>
      </c>
    </row>
    <row r="36">
      <c r="A36" s="11" t="s">
        <v>51</v>
      </c>
    </row>
    <row r="37">
      <c r="A37" s="11" t="s">
        <v>51</v>
      </c>
    </row>
    <row r="38">
      <c r="A38" s="11" t="s">
        <v>51</v>
      </c>
    </row>
    <row r="39">
      <c r="A39" s="11" t="s">
        <v>455</v>
      </c>
    </row>
    <row r="40">
      <c r="A40" s="11" t="s">
        <v>109</v>
      </c>
    </row>
    <row r="41">
      <c r="A41" s="11" t="s">
        <v>109</v>
      </c>
    </row>
    <row r="42">
      <c r="A42" s="11" t="s">
        <v>474</v>
      </c>
    </row>
    <row r="43">
      <c r="A43" s="11" t="s">
        <v>109</v>
      </c>
    </row>
    <row r="44">
      <c r="A44" s="11" t="s">
        <v>109</v>
      </c>
    </row>
    <row r="45">
      <c r="A45" s="11" t="s">
        <v>109</v>
      </c>
    </row>
    <row r="46">
      <c r="A46" s="11" t="s">
        <v>142</v>
      </c>
    </row>
    <row r="47">
      <c r="A47" s="11" t="s">
        <v>491</v>
      </c>
    </row>
    <row r="48">
      <c r="A48" s="11" t="s">
        <v>142</v>
      </c>
    </row>
    <row r="49">
      <c r="A49" s="11" t="s">
        <v>109</v>
      </c>
    </row>
    <row r="50">
      <c r="A50" s="11" t="s">
        <v>389</v>
      </c>
    </row>
    <row r="51">
      <c r="A51" s="11" t="s">
        <v>389</v>
      </c>
    </row>
    <row r="52">
      <c r="A52" s="11" t="s">
        <v>109</v>
      </c>
    </row>
    <row r="53">
      <c r="A53" s="11" t="s">
        <v>142</v>
      </c>
    </row>
    <row r="54">
      <c r="A54" s="11" t="s">
        <v>51</v>
      </c>
    </row>
    <row r="55">
      <c r="A55" s="11" t="s">
        <v>51</v>
      </c>
    </row>
    <row r="56">
      <c r="A56" s="11" t="s">
        <v>109</v>
      </c>
    </row>
    <row r="57">
      <c r="A57" s="11" t="s">
        <v>142</v>
      </c>
    </row>
    <row r="58">
      <c r="A58" s="11" t="s">
        <v>51</v>
      </c>
    </row>
    <row r="59">
      <c r="A59" s="11" t="s">
        <v>109</v>
      </c>
    </row>
    <row r="60">
      <c r="A60" s="11" t="s">
        <v>38</v>
      </c>
    </row>
    <row r="61">
      <c r="A61" s="11" t="s">
        <v>51</v>
      </c>
    </row>
    <row r="62">
      <c r="A62" s="11" t="s">
        <v>51</v>
      </c>
    </row>
    <row r="63">
      <c r="A63" s="11" t="s">
        <v>51</v>
      </c>
    </row>
    <row r="64">
      <c r="A64" s="11" t="s">
        <v>142</v>
      </c>
    </row>
    <row r="65">
      <c r="A65" s="11" t="s">
        <v>142</v>
      </c>
    </row>
    <row r="66">
      <c r="A66" s="11" t="s">
        <v>51</v>
      </c>
    </row>
    <row r="67">
      <c r="A67" s="11" t="s">
        <v>142</v>
      </c>
    </row>
    <row r="68">
      <c r="A68" s="11" t="s">
        <v>51</v>
      </c>
    </row>
    <row r="69">
      <c r="A69" s="11" t="s">
        <v>51</v>
      </c>
    </row>
    <row r="70">
      <c r="A70" s="11" t="s">
        <v>142</v>
      </c>
    </row>
    <row r="71">
      <c r="A71" s="11" t="s">
        <v>109</v>
      </c>
    </row>
    <row r="72">
      <c r="A72" s="11" t="s">
        <v>51</v>
      </c>
    </row>
    <row r="73">
      <c r="A73" s="11" t="s">
        <v>109</v>
      </c>
    </row>
    <row r="74">
      <c r="A74" s="11" t="s">
        <v>51</v>
      </c>
    </row>
    <row r="75">
      <c r="A75" s="11" t="s">
        <v>51</v>
      </c>
    </row>
    <row r="76">
      <c r="A76" s="11" t="s">
        <v>109</v>
      </c>
    </row>
    <row r="77">
      <c r="A77" s="11" t="s">
        <v>51</v>
      </c>
    </row>
    <row r="78">
      <c r="A78" s="11" t="s">
        <v>202</v>
      </c>
    </row>
    <row r="79">
      <c r="A79" s="11" t="s">
        <v>51</v>
      </c>
    </row>
    <row r="80">
      <c r="A80" s="11" t="s">
        <v>109</v>
      </c>
    </row>
    <row r="81">
      <c r="A81" s="11" t="s">
        <v>142</v>
      </c>
    </row>
    <row r="82">
      <c r="A82" s="11" t="s">
        <v>51</v>
      </c>
    </row>
    <row r="83">
      <c r="A83" s="11" t="s">
        <v>51</v>
      </c>
    </row>
    <row r="84">
      <c r="A84" s="11" t="s">
        <v>51</v>
      </c>
    </row>
    <row r="85">
      <c r="A85" s="11" t="s">
        <v>51</v>
      </c>
    </row>
    <row r="86">
      <c r="A86" s="11" t="s">
        <v>51</v>
      </c>
    </row>
    <row r="87">
      <c r="A87" s="11" t="s">
        <v>38</v>
      </c>
    </row>
    <row r="88">
      <c r="A88" s="11" t="s">
        <v>142</v>
      </c>
    </row>
    <row r="89">
      <c r="A89" s="11" t="s">
        <v>389</v>
      </c>
    </row>
    <row r="90">
      <c r="A90" s="11" t="s">
        <v>686</v>
      </c>
    </row>
    <row r="91">
      <c r="A91" s="11" t="s">
        <v>686</v>
      </c>
    </row>
    <row r="92">
      <c r="A92" s="11" t="s">
        <v>51</v>
      </c>
    </row>
    <row r="93">
      <c r="A93" s="11" t="s">
        <v>334</v>
      </c>
    </row>
    <row r="94">
      <c r="A94" s="11" t="s">
        <v>109</v>
      </c>
    </row>
    <row r="95">
      <c r="A95" s="11" t="s">
        <v>704</v>
      </c>
    </row>
    <row r="96">
      <c r="A96" s="11" t="s">
        <v>109</v>
      </c>
    </row>
    <row r="97">
      <c r="A97" s="11" t="s">
        <v>51</v>
      </c>
    </row>
    <row r="98">
      <c r="A98" s="11" t="s">
        <v>51</v>
      </c>
    </row>
    <row r="99">
      <c r="A99" s="11" t="s">
        <v>38</v>
      </c>
    </row>
    <row r="100">
      <c r="A100" s="11" t="s">
        <v>109</v>
      </c>
    </row>
    <row r="101">
      <c r="A101" s="11" t="s">
        <v>51</v>
      </c>
    </row>
    <row r="102">
      <c r="A102" s="11" t="s">
        <v>38</v>
      </c>
    </row>
    <row r="103">
      <c r="A103" s="11" t="s">
        <v>38</v>
      </c>
    </row>
    <row r="104">
      <c r="A104" s="20" t="s">
        <v>38</v>
      </c>
    </row>
    <row r="105">
      <c r="A105" s="11" t="s">
        <v>51</v>
      </c>
    </row>
    <row r="106">
      <c r="A106" s="11" t="s">
        <v>51</v>
      </c>
    </row>
    <row r="107">
      <c r="A107" s="11" t="s">
        <v>51</v>
      </c>
    </row>
    <row r="108">
      <c r="A108" s="11" t="s">
        <v>51</v>
      </c>
    </row>
    <row r="109">
      <c r="A109" s="11" t="s">
        <v>38</v>
      </c>
    </row>
    <row r="110">
      <c r="A110" s="20" t="s">
        <v>51</v>
      </c>
    </row>
    <row r="111">
      <c r="A111" s="11" t="s">
        <v>51</v>
      </c>
    </row>
    <row r="112">
      <c r="A112" s="11" t="s">
        <v>51</v>
      </c>
    </row>
    <row r="113">
      <c r="A113" s="11" t="s">
        <v>51</v>
      </c>
    </row>
    <row r="114">
      <c r="A114" s="11" t="s">
        <v>51</v>
      </c>
    </row>
    <row r="115">
      <c r="A115" s="11" t="s">
        <v>51</v>
      </c>
    </row>
    <row r="116">
      <c r="A116" s="11" t="s">
        <v>51</v>
      </c>
    </row>
    <row r="117">
      <c r="A117" s="11" t="s">
        <v>124</v>
      </c>
    </row>
    <row r="118">
      <c r="A118" s="11" t="s">
        <v>51</v>
      </c>
    </row>
    <row r="119">
      <c r="A119" s="11" t="s">
        <v>51</v>
      </c>
    </row>
    <row r="120">
      <c r="A120" s="11" t="s">
        <v>51</v>
      </c>
    </row>
    <row r="121">
      <c r="A121" s="11" t="s">
        <v>51</v>
      </c>
    </row>
    <row r="122">
      <c r="A122" s="11" t="s">
        <v>51</v>
      </c>
    </row>
    <row r="123">
      <c r="A123" s="11" t="s">
        <v>142</v>
      </c>
    </row>
    <row r="124">
      <c r="A124" s="11" t="s">
        <v>156</v>
      </c>
    </row>
    <row r="125">
      <c r="A125" s="11" t="s">
        <v>109</v>
      </c>
    </row>
    <row r="126">
      <c r="A126" s="11" t="s">
        <v>142</v>
      </c>
    </row>
    <row r="127">
      <c r="A127" s="11" t="s">
        <v>51</v>
      </c>
    </row>
    <row r="128">
      <c r="A128" s="11" t="s">
        <v>109</v>
      </c>
    </row>
    <row r="129">
      <c r="A129" s="11" t="s">
        <v>51</v>
      </c>
    </row>
    <row r="130">
      <c r="A130" s="11" t="s">
        <v>51</v>
      </c>
    </row>
    <row r="131">
      <c r="A131" s="11" t="s">
        <v>51</v>
      </c>
    </row>
    <row r="132">
      <c r="A132" s="20" t="s">
        <v>38</v>
      </c>
    </row>
    <row r="133">
      <c r="A133" s="11" t="s">
        <v>51</v>
      </c>
    </row>
    <row r="134">
      <c r="A134" s="11" t="s">
        <v>109</v>
      </c>
    </row>
    <row r="135">
      <c r="A135" s="11" t="s">
        <v>38</v>
      </c>
    </row>
    <row r="136">
      <c r="A136" s="11" t="s">
        <v>51</v>
      </c>
    </row>
    <row r="137">
      <c r="A137" s="11" t="s">
        <v>51</v>
      </c>
    </row>
    <row r="138">
      <c r="A138" s="11" t="s">
        <v>142</v>
      </c>
    </row>
    <row r="139">
      <c r="A139" s="11" t="s">
        <v>51</v>
      </c>
    </row>
    <row r="140">
      <c r="A140" s="11" t="s">
        <v>109</v>
      </c>
    </row>
    <row r="141">
      <c r="A141" s="11" t="s">
        <v>109</v>
      </c>
    </row>
    <row r="142">
      <c r="A142" s="11" t="s">
        <v>51</v>
      </c>
    </row>
    <row r="143">
      <c r="A143" s="11" t="s">
        <v>142</v>
      </c>
    </row>
    <row r="144">
      <c r="A144" s="11" t="s">
        <v>142</v>
      </c>
    </row>
    <row r="145">
      <c r="A145" s="11" t="s">
        <v>109</v>
      </c>
    </row>
    <row r="146">
      <c r="A146" s="11" t="s">
        <v>51</v>
      </c>
    </row>
    <row r="147">
      <c r="A147" s="11" t="s">
        <v>260</v>
      </c>
    </row>
    <row r="148">
      <c r="A148" s="11" t="s">
        <v>51</v>
      </c>
    </row>
    <row r="149">
      <c r="A149" s="11" t="s">
        <v>51</v>
      </c>
    </row>
    <row r="150">
      <c r="A150" s="11" t="s">
        <v>51</v>
      </c>
    </row>
    <row r="151">
      <c r="A151" s="11" t="s">
        <v>51</v>
      </c>
    </row>
    <row r="152">
      <c r="A152" s="11" t="s">
        <v>202</v>
      </c>
    </row>
    <row r="153">
      <c r="A153" s="11" t="s">
        <v>51</v>
      </c>
    </row>
    <row r="154">
      <c r="A154" s="20" t="s">
        <v>109</v>
      </c>
    </row>
    <row r="155">
      <c r="A155" s="11" t="s">
        <v>109</v>
      </c>
    </row>
    <row r="156">
      <c r="A156" s="11" t="s">
        <v>109</v>
      </c>
    </row>
    <row r="157">
      <c r="A157" s="11" t="s">
        <v>51</v>
      </c>
    </row>
    <row r="158">
      <c r="A158" s="20" t="s">
        <v>51</v>
      </c>
    </row>
    <row r="159">
      <c r="A159" s="86" t="s">
        <v>105</v>
      </c>
    </row>
    <row r="160">
      <c r="A160" s="90" t="s">
        <v>315</v>
      </c>
    </row>
    <row r="161">
      <c r="A161" s="86" t="s">
        <v>317</v>
      </c>
    </row>
    <row r="162">
      <c r="A162" s="11" t="s">
        <v>51</v>
      </c>
    </row>
    <row r="163">
      <c r="A163" s="11" t="s">
        <v>142</v>
      </c>
    </row>
    <row r="164">
      <c r="A164" s="11" t="s">
        <v>51</v>
      </c>
    </row>
    <row r="165">
      <c r="A165" s="11" t="s">
        <v>51</v>
      </c>
    </row>
    <row r="166">
      <c r="A166" s="11" t="s">
        <v>334</v>
      </c>
    </row>
    <row r="167">
      <c r="A167" s="11" t="s">
        <v>142</v>
      </c>
    </row>
    <row r="168">
      <c r="A168" s="11" t="s">
        <v>142</v>
      </c>
    </row>
    <row r="169">
      <c r="A169" s="20" t="s">
        <v>51</v>
      </c>
    </row>
    <row r="170">
      <c r="A170" s="11" t="s">
        <v>124</v>
      </c>
    </row>
    <row r="171">
      <c r="A171" s="20" t="s">
        <v>51</v>
      </c>
    </row>
    <row r="172">
      <c r="A172" s="11" t="s">
        <v>142</v>
      </c>
    </row>
    <row r="173">
      <c r="A173" s="11" t="s">
        <v>51</v>
      </c>
    </row>
    <row r="174">
      <c r="A174" s="11" t="s">
        <v>315</v>
      </c>
    </row>
    <row r="175">
      <c r="A175" s="11" t="s">
        <v>315</v>
      </c>
    </row>
    <row r="176">
      <c r="A176" s="11" t="s">
        <v>142</v>
      </c>
    </row>
    <row r="177">
      <c r="A177" s="20" t="s">
        <v>142</v>
      </c>
    </row>
    <row r="178">
      <c r="A178" s="11" t="s">
        <v>142</v>
      </c>
    </row>
    <row r="179">
      <c r="A179" s="20" t="s">
        <v>142</v>
      </c>
    </row>
    <row r="180">
      <c r="A180" s="16" t="s">
        <v>142</v>
      </c>
    </row>
    <row r="181">
      <c r="A181" s="45" t="s">
        <v>51</v>
      </c>
    </row>
    <row r="182">
      <c r="A182" s="45" t="s">
        <v>51</v>
      </c>
    </row>
    <row r="183">
      <c r="A183" s="45" t="s">
        <v>202</v>
      </c>
    </row>
    <row r="184">
      <c r="A184" s="45" t="s">
        <v>51</v>
      </c>
    </row>
    <row r="185">
      <c r="A185" s="45" t="s">
        <v>51</v>
      </c>
    </row>
    <row r="186">
      <c r="A186" s="45" t="s">
        <v>51</v>
      </c>
    </row>
    <row r="187">
      <c r="A187" s="45" t="s">
        <v>51</v>
      </c>
    </row>
    <row r="188">
      <c r="A188" s="45" t="s">
        <v>51</v>
      </c>
    </row>
    <row r="189">
      <c r="A189" s="45" t="s">
        <v>51</v>
      </c>
    </row>
    <row r="190">
      <c r="A190" s="45" t="s">
        <v>51</v>
      </c>
    </row>
    <row r="191">
      <c r="A191" s="45" t="s">
        <v>51</v>
      </c>
    </row>
    <row r="192">
      <c r="A192" s="75" t="s">
        <v>142</v>
      </c>
    </row>
    <row r="193">
      <c r="A193" s="75" t="s">
        <v>109</v>
      </c>
    </row>
    <row r="194">
      <c r="A194" s="75" t="s">
        <v>51</v>
      </c>
    </row>
    <row r="195">
      <c r="A195" s="124" t="s">
        <v>501</v>
      </c>
    </row>
    <row r="196">
      <c r="A196" s="75" t="s">
        <v>142</v>
      </c>
    </row>
    <row r="197">
      <c r="A197" s="75" t="s">
        <v>51</v>
      </c>
    </row>
    <row r="198">
      <c r="A198" s="75" t="s">
        <v>51</v>
      </c>
    </row>
    <row r="199">
      <c r="A199" s="75" t="s">
        <v>38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7" max="7" width="19.25"/>
    <col customWidth="1" min="13" max="13" width="17.88"/>
    <col customWidth="1" min="16" max="16" width="14.75"/>
  </cols>
  <sheetData>
    <row r="1">
      <c r="A1" s="488"/>
      <c r="B1" s="488"/>
      <c r="C1" s="529"/>
      <c r="D1" s="488"/>
      <c r="E1" s="488"/>
      <c r="F1" s="529"/>
      <c r="G1" s="488"/>
      <c r="H1" s="488"/>
      <c r="I1" s="529"/>
      <c r="J1" s="529"/>
      <c r="K1" s="529"/>
      <c r="L1" s="530" t="s">
        <v>3189</v>
      </c>
      <c r="M1" s="530"/>
      <c r="N1" s="530"/>
      <c r="O1" s="530"/>
      <c r="P1" s="530"/>
      <c r="Q1" s="530"/>
      <c r="R1" s="531"/>
      <c r="S1" s="531"/>
      <c r="T1" s="529"/>
      <c r="U1" s="529"/>
      <c r="V1" s="529"/>
      <c r="W1" s="529"/>
      <c r="X1" s="529"/>
      <c r="Y1" s="529"/>
    </row>
    <row r="2">
      <c r="A2" s="488" t="s">
        <v>3190</v>
      </c>
      <c r="B2" s="488" t="s">
        <v>3191</v>
      </c>
      <c r="C2" s="529"/>
      <c r="D2" s="488" t="s">
        <v>3192</v>
      </c>
      <c r="E2" s="488" t="s">
        <v>3191</v>
      </c>
      <c r="F2" s="529"/>
      <c r="G2" s="488" t="s">
        <v>3193</v>
      </c>
      <c r="H2" s="488" t="s">
        <v>3191</v>
      </c>
      <c r="I2" s="529"/>
      <c r="J2" s="529"/>
      <c r="K2" s="529"/>
      <c r="L2" s="488" t="s">
        <v>3194</v>
      </c>
      <c r="M2" s="488" t="s">
        <v>3191</v>
      </c>
      <c r="N2" s="488" t="s">
        <v>3195</v>
      </c>
      <c r="O2" s="488" t="s">
        <v>3191</v>
      </c>
      <c r="P2" s="488" t="s">
        <v>3196</v>
      </c>
      <c r="Q2" s="488" t="s">
        <v>3197</v>
      </c>
      <c r="R2" s="529"/>
      <c r="S2" s="529"/>
      <c r="T2" s="529"/>
      <c r="U2" s="529"/>
      <c r="V2" s="529"/>
      <c r="W2" s="529"/>
      <c r="X2" s="529"/>
      <c r="Y2" s="529"/>
    </row>
    <row r="3">
      <c r="A3" s="10" t="s">
        <v>37</v>
      </c>
      <c r="B3" s="499" t="str">
        <f t="array" ref="B3:B216">unique(A3:A1001)</f>
        <v>sara.simmers@multco.us</v>
      </c>
      <c r="C3" s="484"/>
      <c r="D3" s="10" t="s">
        <v>64</v>
      </c>
      <c r="E3" s="499" t="str">
        <f t="array" ref="E3:E49">unique(D3:D1001)</f>
        <v>carmelle.cooper@multco.us</v>
      </c>
      <c r="F3" s="484"/>
      <c r="G3" s="10" t="s">
        <v>37</v>
      </c>
      <c r="H3" s="499" t="str">
        <f t="array" ref="H3:H188">unique(G3:G1001)</f>
        <v>sara.simmers@multco.us</v>
      </c>
      <c r="I3" s="484"/>
      <c r="J3" s="484"/>
      <c r="K3" s="484"/>
      <c r="L3" s="200" t="s">
        <v>37</v>
      </c>
      <c r="M3" s="499" t="str">
        <f t="array" ref="M3:M233">unique(L3:L1001)</f>
        <v>sara.simmers@multco.us</v>
      </c>
      <c r="N3" s="532" t="s">
        <v>78</v>
      </c>
      <c r="O3" s="484" t="str">
        <f t="array" ref="O3:O24">unique(N3:N987)</f>
        <v>laurel.s.b.wonder@multco.us</v>
      </c>
      <c r="P3" s="484" t="str">
        <f>IFERROR(__xludf.DUMMYFUNCTION("FILTER(M:M, ISNA(MATCH(M:M, O:O, 0)))"),"")</f>
        <v/>
      </c>
      <c r="Q3" s="487" t="s">
        <v>479</v>
      </c>
      <c r="R3" s="484"/>
      <c r="S3" s="484"/>
      <c r="T3" s="484"/>
      <c r="U3" s="484"/>
      <c r="V3" s="484"/>
      <c r="W3" s="484"/>
      <c r="X3" s="484"/>
      <c r="Y3" s="484"/>
    </row>
    <row r="4">
      <c r="A4" s="19" t="s">
        <v>59</v>
      </c>
      <c r="B4" s="499" t="s">
        <v>59</v>
      </c>
      <c r="C4" s="484"/>
      <c r="D4" s="10" t="s">
        <v>98</v>
      </c>
      <c r="E4" s="499" t="s">
        <v>98</v>
      </c>
      <c r="F4" s="484"/>
      <c r="G4" s="19" t="s">
        <v>59</v>
      </c>
      <c r="H4" s="499" t="s">
        <v>59</v>
      </c>
      <c r="I4" s="484"/>
      <c r="J4" s="484"/>
      <c r="K4" s="484"/>
      <c r="L4" s="200" t="s">
        <v>37</v>
      </c>
      <c r="M4" s="499" t="s">
        <v>50</v>
      </c>
      <c r="N4" s="532" t="s">
        <v>108</v>
      </c>
      <c r="O4" s="484" t="s">
        <v>108</v>
      </c>
      <c r="P4" s="499" t="str">
        <f>IFERROR(__xludf.DUMMYFUNCTION("""COMPUTED_VALUE"""),"sara.simmers@multco.us")</f>
        <v>sara.simmers@multco.us</v>
      </c>
      <c r="Q4" s="487" t="s">
        <v>411</v>
      </c>
      <c r="R4" s="484"/>
      <c r="S4" s="484"/>
      <c r="T4" s="484"/>
      <c r="U4" s="484"/>
      <c r="V4" s="484"/>
      <c r="W4" s="484"/>
      <c r="X4" s="484"/>
      <c r="Y4" s="484"/>
    </row>
    <row r="5">
      <c r="A5" s="10" t="s">
        <v>64</v>
      </c>
      <c r="B5" s="499" t="s">
        <v>64</v>
      </c>
      <c r="C5" s="484"/>
      <c r="D5" s="10" t="s">
        <v>117</v>
      </c>
      <c r="E5" s="499" t="s">
        <v>117</v>
      </c>
      <c r="F5" s="484"/>
      <c r="G5" s="10" t="s">
        <v>72</v>
      </c>
      <c r="H5" s="499" t="s">
        <v>72</v>
      </c>
      <c r="I5" s="484"/>
      <c r="J5" s="484"/>
      <c r="K5" s="484"/>
      <c r="L5" s="200" t="s">
        <v>50</v>
      </c>
      <c r="M5" s="499" t="s">
        <v>59</v>
      </c>
      <c r="N5" s="532" t="s">
        <v>943</v>
      </c>
      <c r="O5" s="484" t="s">
        <v>943</v>
      </c>
      <c r="P5" s="499" t="str">
        <f>IFERROR(__xludf.DUMMYFUNCTION("""COMPUTED_VALUE"""),"jennifer.gulzow@multco.us")</f>
        <v>jennifer.gulzow@multco.us</v>
      </c>
      <c r="Q5" s="484" t="s">
        <v>624</v>
      </c>
      <c r="R5" s="484"/>
      <c r="S5" s="484"/>
      <c r="T5" s="484"/>
      <c r="U5" s="484"/>
      <c r="V5" s="484"/>
      <c r="W5" s="484"/>
      <c r="X5" s="484"/>
      <c r="Y5" s="484"/>
    </row>
    <row r="6">
      <c r="A6" s="10" t="s">
        <v>72</v>
      </c>
      <c r="B6" s="499" t="s">
        <v>72</v>
      </c>
      <c r="C6" s="484"/>
      <c r="D6" s="10" t="s">
        <v>123</v>
      </c>
      <c r="E6" s="499" t="s">
        <v>123</v>
      </c>
      <c r="F6" s="484"/>
      <c r="G6" s="10" t="s">
        <v>72</v>
      </c>
      <c r="H6" s="499" t="s">
        <v>78</v>
      </c>
      <c r="I6" s="484"/>
      <c r="J6" s="484"/>
      <c r="K6" s="484"/>
      <c r="L6" s="414" t="s">
        <v>59</v>
      </c>
      <c r="M6" s="499" t="s">
        <v>64</v>
      </c>
      <c r="N6" s="532" t="s">
        <v>219</v>
      </c>
      <c r="O6" s="484" t="s">
        <v>219</v>
      </c>
      <c r="P6" s="499" t="str">
        <f>IFERROR(__xludf.DUMMYFUNCTION("""COMPUTED_VALUE"""),"Amber Ramos (per Carmelle)")</f>
        <v>Amber Ramos (per Carmelle)</v>
      </c>
      <c r="Q6" s="484" t="s">
        <v>789</v>
      </c>
      <c r="R6" s="484"/>
      <c r="S6" s="484"/>
      <c r="T6" s="484"/>
      <c r="U6" s="484"/>
      <c r="V6" s="484"/>
      <c r="W6" s="484"/>
      <c r="X6" s="484"/>
      <c r="Y6" s="484"/>
    </row>
    <row r="7">
      <c r="A7" s="10" t="s">
        <v>72</v>
      </c>
      <c r="B7" s="499" t="s">
        <v>78</v>
      </c>
      <c r="C7" s="484"/>
      <c r="D7" s="10" t="s">
        <v>137</v>
      </c>
      <c r="E7" s="499" t="s">
        <v>137</v>
      </c>
      <c r="F7" s="484"/>
      <c r="G7" s="10" t="s">
        <v>78</v>
      </c>
      <c r="H7" s="499" t="s">
        <v>85</v>
      </c>
      <c r="I7" s="484"/>
      <c r="J7" s="484"/>
      <c r="K7" s="484"/>
      <c r="L7" s="200" t="s">
        <v>64</v>
      </c>
      <c r="M7" s="499" t="s">
        <v>72</v>
      </c>
      <c r="N7" s="532" t="s">
        <v>141</v>
      </c>
      <c r="O7" s="484" t="s">
        <v>141</v>
      </c>
      <c r="P7" s="499" t="str">
        <f>IFERROR(__xludf.DUMMYFUNCTION("""COMPUTED_VALUE"""),"carmelle.cooper@multco.us")</f>
        <v>carmelle.cooper@multco.us</v>
      </c>
      <c r="Q7" s="487" t="s">
        <v>1725</v>
      </c>
      <c r="R7" s="484"/>
      <c r="S7" s="484"/>
      <c r="T7" s="484"/>
      <c r="U7" s="484"/>
      <c r="V7" s="484"/>
      <c r="W7" s="484"/>
      <c r="X7" s="484"/>
      <c r="Y7" s="484"/>
    </row>
    <row r="8">
      <c r="A8" s="10" t="s">
        <v>78</v>
      </c>
      <c r="B8" s="499" t="s">
        <v>85</v>
      </c>
      <c r="C8" s="484"/>
      <c r="D8" s="10" t="s">
        <v>160</v>
      </c>
      <c r="E8" s="499" t="s">
        <v>160</v>
      </c>
      <c r="F8" s="484"/>
      <c r="G8" s="10" t="s">
        <v>85</v>
      </c>
      <c r="H8" s="499" t="s">
        <v>94</v>
      </c>
      <c r="I8" s="484"/>
      <c r="J8" s="484"/>
      <c r="K8" s="484"/>
      <c r="L8" s="200" t="s">
        <v>72</v>
      </c>
      <c r="M8" s="499" t="s">
        <v>78</v>
      </c>
      <c r="N8" s="532" t="s">
        <v>108</v>
      </c>
      <c r="O8" s="484" t="s">
        <v>350</v>
      </c>
      <c r="P8" s="499" t="str">
        <f>IFERROR(__xludf.DUMMYFUNCTION("""COMPUTED_VALUE"""),"shari.kliewer@multco.us")</f>
        <v>shari.kliewer@multco.us</v>
      </c>
      <c r="Q8" s="487" t="s">
        <v>459</v>
      </c>
      <c r="R8" s="484"/>
      <c r="S8" s="484"/>
      <c r="T8" s="484"/>
      <c r="U8" s="484"/>
      <c r="V8" s="484"/>
      <c r="W8" s="484"/>
      <c r="X8" s="484"/>
      <c r="Y8" s="484"/>
    </row>
    <row r="9">
      <c r="A9" s="10" t="s">
        <v>85</v>
      </c>
      <c r="B9" s="499" t="s">
        <v>94</v>
      </c>
      <c r="C9" s="484"/>
      <c r="D9" s="10" t="s">
        <v>219</v>
      </c>
      <c r="E9" s="499" t="s">
        <v>219</v>
      </c>
      <c r="F9" s="484"/>
      <c r="G9" s="19" t="s">
        <v>78</v>
      </c>
      <c r="H9" s="499" t="s">
        <v>111</v>
      </c>
      <c r="I9" s="484"/>
      <c r="J9" s="484"/>
      <c r="K9" s="484"/>
      <c r="L9" s="200" t="s">
        <v>72</v>
      </c>
      <c r="M9" s="499" t="s">
        <v>85</v>
      </c>
      <c r="N9" s="532" t="s">
        <v>350</v>
      </c>
      <c r="O9" s="484" t="s">
        <v>368</v>
      </c>
      <c r="P9" s="499" t="str">
        <f>IFERROR(__xludf.DUMMYFUNCTION("""COMPUTED_VALUE"""),"jennifer.evans@multco.us")</f>
        <v>jennifer.evans@multco.us</v>
      </c>
      <c r="Q9" s="487" t="s">
        <v>653</v>
      </c>
      <c r="R9" s="484"/>
      <c r="S9" s="484"/>
      <c r="T9" s="484"/>
      <c r="U9" s="484"/>
      <c r="V9" s="484"/>
      <c r="W9" s="484"/>
      <c r="X9" s="484"/>
      <c r="Y9" s="484"/>
    </row>
    <row r="10">
      <c r="A10" s="19" t="s">
        <v>78</v>
      </c>
      <c r="B10" s="499" t="s">
        <v>111</v>
      </c>
      <c r="C10" s="484"/>
      <c r="D10" s="10" t="s">
        <v>234</v>
      </c>
      <c r="E10" s="499" t="s">
        <v>234</v>
      </c>
      <c r="F10" s="484"/>
      <c r="G10" s="10" t="s">
        <v>78</v>
      </c>
      <c r="H10" s="499" t="s">
        <v>120</v>
      </c>
      <c r="I10" s="484"/>
      <c r="J10" s="484"/>
      <c r="K10" s="484"/>
      <c r="L10" s="200" t="s">
        <v>78</v>
      </c>
      <c r="M10" s="499" t="s">
        <v>88</v>
      </c>
      <c r="N10" s="532" t="s">
        <v>943</v>
      </c>
      <c r="O10" s="484" t="s">
        <v>245</v>
      </c>
      <c r="P10" s="499" t="str">
        <f>IFERROR(__xludf.DUMMYFUNCTION("""COMPUTED_VALUE"""),"maggie.manning@multco.us")</f>
        <v>maggie.manning@multco.us</v>
      </c>
      <c r="Q10" s="484"/>
      <c r="R10" s="484"/>
      <c r="S10" s="484"/>
      <c r="T10" s="484"/>
      <c r="U10" s="484"/>
      <c r="V10" s="484"/>
      <c r="W10" s="484"/>
      <c r="X10" s="484"/>
      <c r="Y10" s="484"/>
    </row>
    <row r="11">
      <c r="A11" s="10" t="s">
        <v>78</v>
      </c>
      <c r="B11" s="499" t="s">
        <v>98</v>
      </c>
      <c r="C11" s="484"/>
      <c r="D11" s="10" t="s">
        <v>234</v>
      </c>
      <c r="E11" s="499" t="s">
        <v>272</v>
      </c>
      <c r="F11" s="484"/>
      <c r="G11" s="10" t="s">
        <v>94</v>
      </c>
      <c r="H11" s="499" t="s">
        <v>130</v>
      </c>
      <c r="I11" s="484"/>
      <c r="J11" s="484"/>
      <c r="K11" s="484"/>
      <c r="L11" s="200" t="s">
        <v>85</v>
      </c>
      <c r="M11" s="499" t="s">
        <v>94</v>
      </c>
      <c r="N11" s="532" t="s">
        <v>368</v>
      </c>
      <c r="O11" s="484" t="s">
        <v>377</v>
      </c>
      <c r="P11" s="499" t="str">
        <f>IFERROR(__xludf.DUMMYFUNCTION("""COMPUTED_VALUE"""),"billie.gibbs@multco.us")</f>
        <v>billie.gibbs@multco.us</v>
      </c>
      <c r="Q11" s="484"/>
      <c r="R11" s="484"/>
      <c r="S11" s="484"/>
      <c r="T11" s="484"/>
      <c r="U11" s="484"/>
      <c r="V11" s="484"/>
      <c r="W11" s="484"/>
      <c r="X11" s="484"/>
      <c r="Y11" s="484"/>
    </row>
    <row r="12">
      <c r="A12" s="10" t="s">
        <v>94</v>
      </c>
      <c r="B12" s="499" t="s">
        <v>117</v>
      </c>
      <c r="C12" s="484"/>
      <c r="D12" s="10" t="s">
        <v>117</v>
      </c>
      <c r="E12" s="499" t="s">
        <v>314</v>
      </c>
      <c r="F12" s="484"/>
      <c r="G12" s="10" t="s">
        <v>111</v>
      </c>
      <c r="H12" s="499" t="s">
        <v>150</v>
      </c>
      <c r="I12" s="484"/>
      <c r="J12" s="484"/>
      <c r="K12" s="484"/>
      <c r="L12" s="200" t="s">
        <v>88</v>
      </c>
      <c r="M12" s="499" t="s">
        <v>98</v>
      </c>
      <c r="N12" s="532" t="s">
        <v>245</v>
      </c>
      <c r="O12" s="484" t="s">
        <v>366</v>
      </c>
      <c r="P12" s="499" t="str">
        <f>IFERROR(__xludf.DUMMYFUNCTION("""COMPUTED_VALUE"""),"cheryl.lemley@multco.us")</f>
        <v>cheryl.lemley@multco.us</v>
      </c>
      <c r="Q12" s="484"/>
      <c r="R12" s="484"/>
      <c r="S12" s="484"/>
      <c r="T12" s="484"/>
      <c r="U12" s="484"/>
      <c r="V12" s="484"/>
      <c r="W12" s="484"/>
      <c r="X12" s="484"/>
      <c r="Y12" s="484"/>
    </row>
    <row r="13">
      <c r="A13" s="10" t="s">
        <v>111</v>
      </c>
      <c r="B13" s="499" t="s">
        <v>120</v>
      </c>
      <c r="C13" s="484"/>
      <c r="D13" s="10" t="s">
        <v>272</v>
      </c>
      <c r="E13" s="499" t="s">
        <v>50</v>
      </c>
      <c r="F13" s="484"/>
      <c r="G13" s="10" t="s">
        <v>120</v>
      </c>
      <c r="H13" s="499" t="s">
        <v>153</v>
      </c>
      <c r="I13" s="484"/>
      <c r="J13" s="484"/>
      <c r="K13" s="484"/>
      <c r="L13" s="414" t="s">
        <v>78</v>
      </c>
      <c r="M13" s="499" t="s">
        <v>101</v>
      </c>
      <c r="N13" s="532" t="s">
        <v>377</v>
      </c>
      <c r="O13" s="484" t="s">
        <v>308</v>
      </c>
      <c r="P13" s="499" t="str">
        <f>IFERROR(__xludf.DUMMYFUNCTION("""COMPUTED_VALUE"""),"julie.glover-walsh@multco.us")</f>
        <v>julie.glover-walsh@multco.us</v>
      </c>
      <c r="Q13" s="484"/>
      <c r="R13" s="484"/>
      <c r="S13" s="484"/>
      <c r="T13" s="484"/>
      <c r="U13" s="484"/>
      <c r="V13" s="484"/>
      <c r="W13" s="484"/>
      <c r="X13" s="484"/>
      <c r="Y13" s="484"/>
    </row>
    <row r="14">
      <c r="A14" s="10" t="s">
        <v>98</v>
      </c>
      <c r="B14" s="499" t="s">
        <v>123</v>
      </c>
      <c r="C14" s="484"/>
      <c r="D14" s="10" t="s">
        <v>64</v>
      </c>
      <c r="E14" s="499" t="s">
        <v>188</v>
      </c>
      <c r="F14" s="484"/>
      <c r="G14" s="10" t="s">
        <v>37</v>
      </c>
      <c r="H14" s="499" t="s">
        <v>155</v>
      </c>
      <c r="I14" s="484"/>
      <c r="J14" s="484"/>
      <c r="K14" s="484"/>
      <c r="L14" s="200" t="s">
        <v>78</v>
      </c>
      <c r="M14" s="499" t="s">
        <v>104</v>
      </c>
      <c r="N14" s="532" t="s">
        <v>366</v>
      </c>
      <c r="O14" s="484" t="s">
        <v>251</v>
      </c>
      <c r="P14" s="499" t="str">
        <f>IFERROR(__xludf.DUMMYFUNCTION("""COMPUTED_VALUE"""),"maira.blum@multco.us")</f>
        <v>maira.blum@multco.us</v>
      </c>
      <c r="Q14" s="484"/>
      <c r="R14" s="484"/>
      <c r="S14" s="484"/>
      <c r="T14" s="484"/>
      <c r="U14" s="484"/>
      <c r="V14" s="484"/>
      <c r="W14" s="484"/>
      <c r="X14" s="484"/>
      <c r="Y14" s="484"/>
    </row>
    <row r="15">
      <c r="A15" s="10" t="s">
        <v>117</v>
      </c>
      <c r="B15" s="499" t="s">
        <v>130</v>
      </c>
      <c r="C15" s="484"/>
      <c r="D15" s="92" t="s">
        <v>314</v>
      </c>
      <c r="E15" s="499" t="s">
        <v>416</v>
      </c>
      <c r="F15" s="484"/>
      <c r="G15" s="10" t="s">
        <v>130</v>
      </c>
      <c r="H15" s="499" t="s">
        <v>166</v>
      </c>
      <c r="I15" s="484"/>
      <c r="J15" s="484"/>
      <c r="K15" s="484"/>
      <c r="L15" s="200" t="s">
        <v>94</v>
      </c>
      <c r="M15" s="499" t="s">
        <v>108</v>
      </c>
      <c r="N15" s="532" t="s">
        <v>308</v>
      </c>
      <c r="O15" s="484" t="s">
        <v>276</v>
      </c>
      <c r="P15" s="499" t="str">
        <f>IFERROR(__xludf.DUMMYFUNCTION("""COMPUTED_VALUE"""),"rachel.orourke@multco.us")</f>
        <v>rachel.orourke@multco.us</v>
      </c>
      <c r="Q15" s="484"/>
      <c r="R15" s="484"/>
      <c r="S15" s="484"/>
      <c r="T15" s="484"/>
      <c r="U15" s="484"/>
      <c r="V15" s="484"/>
      <c r="W15" s="484"/>
      <c r="X15" s="484"/>
      <c r="Y15" s="484"/>
    </row>
    <row r="16">
      <c r="A16" s="10" t="s">
        <v>120</v>
      </c>
      <c r="B16" s="499" t="s">
        <v>137</v>
      </c>
      <c r="C16" s="484"/>
      <c r="D16" s="10" t="s">
        <v>50</v>
      </c>
      <c r="E16" s="499" t="s">
        <v>424</v>
      </c>
      <c r="F16" s="484"/>
      <c r="G16" s="10" t="s">
        <v>130</v>
      </c>
      <c r="H16" s="499" t="s">
        <v>168</v>
      </c>
      <c r="I16" s="484"/>
      <c r="J16" s="484"/>
      <c r="K16" s="484"/>
      <c r="L16" s="415" t="s">
        <v>98</v>
      </c>
      <c r="M16" s="499" t="s">
        <v>111</v>
      </c>
      <c r="N16" s="532" t="s">
        <v>251</v>
      </c>
      <c r="O16" s="484" t="s">
        <v>416</v>
      </c>
      <c r="P16" s="499" t="str">
        <f>IFERROR(__xludf.DUMMYFUNCTION("""COMPUTED_VALUE"""),"kelley.duron@multco.us")</f>
        <v>kelley.duron@multco.us</v>
      </c>
      <c r="Q16" s="484"/>
      <c r="R16" s="484"/>
      <c r="S16" s="484"/>
      <c r="T16" s="484"/>
      <c r="U16" s="484"/>
      <c r="V16" s="484"/>
      <c r="W16" s="484"/>
      <c r="X16" s="484"/>
      <c r="Y16" s="484"/>
    </row>
    <row r="17">
      <c r="A17" s="10" t="s">
        <v>123</v>
      </c>
      <c r="B17" s="499" t="s">
        <v>150</v>
      </c>
      <c r="C17" s="484"/>
      <c r="D17" s="10" t="s">
        <v>123</v>
      </c>
      <c r="E17" s="499" t="s">
        <v>431</v>
      </c>
      <c r="F17" s="484"/>
      <c r="G17" s="10" t="s">
        <v>150</v>
      </c>
      <c r="H17" s="499" t="s">
        <v>171</v>
      </c>
      <c r="I17" s="484"/>
      <c r="J17" s="484"/>
      <c r="K17" s="484"/>
      <c r="L17" s="200" t="s">
        <v>101</v>
      </c>
      <c r="M17" s="499" t="s">
        <v>117</v>
      </c>
      <c r="N17" s="532" t="s">
        <v>276</v>
      </c>
      <c r="O17" s="484" t="s">
        <v>314</v>
      </c>
      <c r="P17" s="499" t="str">
        <f>IFERROR(__xludf.DUMMYFUNCTION("""COMPUTED_VALUE"""),"jessica.ramirez-pichette@multco.us")</f>
        <v>jessica.ramirez-pichette@multco.us</v>
      </c>
      <c r="Q17" s="484"/>
      <c r="R17" s="484"/>
      <c r="S17" s="484"/>
      <c r="T17" s="484"/>
      <c r="U17" s="484"/>
      <c r="V17" s="484"/>
      <c r="W17" s="484"/>
      <c r="X17" s="484"/>
      <c r="Y17" s="484"/>
    </row>
    <row r="18">
      <c r="A18" s="10" t="s">
        <v>37</v>
      </c>
      <c r="B18" s="499" t="s">
        <v>153</v>
      </c>
      <c r="C18" s="484"/>
      <c r="D18" s="10" t="s">
        <v>314</v>
      </c>
      <c r="E18" s="499" t="s">
        <v>85</v>
      </c>
      <c r="F18" s="484"/>
      <c r="G18" s="10" t="s">
        <v>153</v>
      </c>
      <c r="H18" s="499" t="s">
        <v>174</v>
      </c>
      <c r="I18" s="484"/>
      <c r="J18" s="484"/>
      <c r="K18" s="484"/>
      <c r="L18" s="415" t="s">
        <v>98</v>
      </c>
      <c r="M18" s="499" t="s">
        <v>120</v>
      </c>
      <c r="N18" s="524" t="s">
        <v>416</v>
      </c>
      <c r="O18" s="484" t="s">
        <v>123</v>
      </c>
      <c r="P18" s="499" t="str">
        <f>IFERROR(__xludf.DUMMYFUNCTION("""COMPUTED_VALUE"""),"amy.solt@multco.us")</f>
        <v>amy.solt@multco.us</v>
      </c>
      <c r="Q18" s="484"/>
      <c r="R18" s="484"/>
      <c r="S18" s="484"/>
      <c r="T18" s="484"/>
      <c r="U18" s="484"/>
      <c r="V18" s="484"/>
      <c r="W18" s="484"/>
      <c r="X18" s="484"/>
      <c r="Y18" s="484"/>
    </row>
    <row r="19">
      <c r="A19" s="10" t="s">
        <v>130</v>
      </c>
      <c r="B19" s="499" t="s">
        <v>155</v>
      </c>
      <c r="C19" s="484"/>
      <c r="D19" s="10" t="s">
        <v>314</v>
      </c>
      <c r="E19" s="499" t="s">
        <v>541</v>
      </c>
      <c r="F19" s="484"/>
      <c r="G19" s="10" t="s">
        <v>155</v>
      </c>
      <c r="H19" s="499" t="s">
        <v>183</v>
      </c>
      <c r="I19" s="484"/>
      <c r="J19" s="484"/>
      <c r="K19" s="484"/>
      <c r="L19" s="414" t="s">
        <v>104</v>
      </c>
      <c r="M19" s="499" t="s">
        <v>123</v>
      </c>
      <c r="N19" s="524" t="s">
        <v>314</v>
      </c>
      <c r="O19" s="484" t="s">
        <v>293</v>
      </c>
      <c r="P19" s="499" t="str">
        <f>IFERROR(__xludf.DUMMYFUNCTION("""COMPUTED_VALUE"""),"stephen.p.dunlevy@multco.us")</f>
        <v>stephen.p.dunlevy@multco.us</v>
      </c>
      <c r="Q19" s="484"/>
      <c r="R19" s="484"/>
      <c r="S19" s="484"/>
      <c r="T19" s="484"/>
      <c r="U19" s="484"/>
      <c r="V19" s="484"/>
      <c r="W19" s="484"/>
      <c r="X19" s="484"/>
      <c r="Y19" s="484"/>
    </row>
    <row r="20">
      <c r="A20" s="10" t="s">
        <v>130</v>
      </c>
      <c r="B20" s="499" t="s">
        <v>160</v>
      </c>
      <c r="C20" s="484"/>
      <c r="D20" s="10" t="s">
        <v>160</v>
      </c>
      <c r="E20" s="499" t="s">
        <v>595</v>
      </c>
      <c r="F20" s="484"/>
      <c r="G20" s="10" t="s">
        <v>153</v>
      </c>
      <c r="H20" s="499" t="s">
        <v>209</v>
      </c>
      <c r="I20" s="484"/>
      <c r="J20" s="484"/>
      <c r="K20" s="484"/>
      <c r="L20" s="414" t="s">
        <v>108</v>
      </c>
      <c r="M20" s="499" t="s">
        <v>130</v>
      </c>
      <c r="N20" s="524" t="s">
        <v>123</v>
      </c>
      <c r="O20" s="484" t="s">
        <v>168</v>
      </c>
      <c r="P20" s="499" t="str">
        <f>IFERROR(__xludf.DUMMYFUNCTION("""COMPUTED_VALUE"""),"ember.vonletkemann@multco.us")</f>
        <v>ember.vonletkemann@multco.us</v>
      </c>
      <c r="Q20" s="484"/>
      <c r="R20" s="484"/>
      <c r="S20" s="484"/>
      <c r="T20" s="484"/>
      <c r="U20" s="484"/>
      <c r="V20" s="484"/>
      <c r="W20" s="484"/>
      <c r="X20" s="484"/>
      <c r="Y20" s="484"/>
    </row>
    <row r="21">
      <c r="A21" s="10" t="s">
        <v>137</v>
      </c>
      <c r="B21" s="499" t="s">
        <v>166</v>
      </c>
      <c r="C21" s="484"/>
      <c r="D21" s="10" t="s">
        <v>188</v>
      </c>
      <c r="E21" s="499" t="s">
        <v>624</v>
      </c>
      <c r="F21" s="484"/>
      <c r="G21" s="10" t="s">
        <v>166</v>
      </c>
      <c r="H21" s="499" t="s">
        <v>213</v>
      </c>
      <c r="I21" s="484"/>
      <c r="J21" s="484"/>
      <c r="K21" s="484"/>
      <c r="L21" s="200" t="s">
        <v>111</v>
      </c>
      <c r="M21" s="499" t="s">
        <v>134</v>
      </c>
      <c r="N21" s="524" t="s">
        <v>293</v>
      </c>
      <c r="O21" s="484" t="s">
        <v>117</v>
      </c>
      <c r="P21" s="499" t="str">
        <f>IFERROR(__xludf.DUMMYFUNCTION("""COMPUTED_VALUE"""),"erin.fisher7@multco.us")</f>
        <v>erin.fisher7@multco.us</v>
      </c>
      <c r="Q21" s="484"/>
      <c r="R21" s="484"/>
      <c r="S21" s="484"/>
      <c r="T21" s="484"/>
      <c r="U21" s="484"/>
      <c r="V21" s="484"/>
      <c r="W21" s="484"/>
      <c r="X21" s="484"/>
      <c r="Y21" s="484"/>
    </row>
    <row r="22">
      <c r="A22" s="10" t="s">
        <v>150</v>
      </c>
      <c r="B22" s="499" t="s">
        <v>168</v>
      </c>
      <c r="C22" s="484"/>
      <c r="D22" s="10" t="s">
        <v>416</v>
      </c>
      <c r="E22" s="499" t="s">
        <v>639</v>
      </c>
      <c r="F22" s="484"/>
      <c r="G22" s="10" t="s">
        <v>168</v>
      </c>
      <c r="H22" s="499" t="s">
        <v>141</v>
      </c>
      <c r="I22" s="484"/>
      <c r="J22" s="484"/>
      <c r="K22" s="484"/>
      <c r="L22" s="200" t="s">
        <v>98</v>
      </c>
      <c r="M22" s="499" t="s">
        <v>137</v>
      </c>
      <c r="N22" s="524" t="s">
        <v>168</v>
      </c>
      <c r="O22" s="484" t="s">
        <v>3198</v>
      </c>
      <c r="P22" s="499" t="str">
        <f>IFERROR(__xludf.DUMMYFUNCTION("""COMPUTED_VALUE"""),"mayra.hernandez8@multco.us")</f>
        <v>mayra.hernandez8@multco.us</v>
      </c>
      <c r="Q22" s="484"/>
      <c r="R22" s="484"/>
      <c r="S22" s="484"/>
      <c r="T22" s="484"/>
      <c r="U22" s="484"/>
      <c r="V22" s="484"/>
      <c r="W22" s="484"/>
      <c r="X22" s="484"/>
      <c r="Y22" s="484"/>
    </row>
    <row r="23">
      <c r="A23" s="10" t="s">
        <v>153</v>
      </c>
      <c r="B23" s="499" t="s">
        <v>171</v>
      </c>
      <c r="C23" s="484"/>
      <c r="D23" s="10" t="s">
        <v>424</v>
      </c>
      <c r="E23" s="499" t="s">
        <v>789</v>
      </c>
      <c r="F23" s="484"/>
      <c r="G23" s="10" t="s">
        <v>171</v>
      </c>
      <c r="H23" s="499" t="s">
        <v>222</v>
      </c>
      <c r="I23" s="484"/>
      <c r="J23" s="484"/>
      <c r="K23" s="484"/>
      <c r="L23" s="200" t="s">
        <v>117</v>
      </c>
      <c r="M23" s="499" t="s">
        <v>141</v>
      </c>
      <c r="N23" s="524" t="s">
        <v>117</v>
      </c>
      <c r="O23" s="484" t="s">
        <v>436</v>
      </c>
      <c r="P23" s="499" t="str">
        <f>IFERROR(__xludf.DUMMYFUNCTION("""COMPUTED_VALUE"""),"gianna.solomon@multco.us")</f>
        <v>gianna.solomon@multco.us</v>
      </c>
      <c r="Q23" s="484"/>
      <c r="R23" s="484"/>
      <c r="S23" s="484"/>
      <c r="T23" s="484"/>
      <c r="U23" s="484"/>
      <c r="V23" s="484"/>
      <c r="W23" s="484"/>
      <c r="X23" s="484"/>
      <c r="Y23" s="484"/>
    </row>
    <row r="24">
      <c r="A24" s="10" t="s">
        <v>155</v>
      </c>
      <c r="B24" s="499" t="s">
        <v>174</v>
      </c>
      <c r="C24" s="484"/>
      <c r="D24" s="10" t="s">
        <v>431</v>
      </c>
      <c r="E24" s="499" t="s">
        <v>193</v>
      </c>
      <c r="F24" s="484"/>
      <c r="G24" s="10" t="s">
        <v>174</v>
      </c>
      <c r="H24" s="499" t="s">
        <v>225</v>
      </c>
      <c r="I24" s="484"/>
      <c r="J24" s="484"/>
      <c r="K24" s="484"/>
      <c r="L24" s="200" t="s">
        <v>120</v>
      </c>
      <c r="M24" s="499" t="s">
        <v>148</v>
      </c>
      <c r="N24" s="524" t="s">
        <v>251</v>
      </c>
      <c r="O24" s="484"/>
      <c r="P24" s="499" t="str">
        <f>IFERROR(__xludf.DUMMYFUNCTION("""COMPUTED_VALUE"""),"darcell.dance@multco.us")</f>
        <v>darcell.dance@multco.us</v>
      </c>
      <c r="Q24" s="484"/>
      <c r="R24" s="484"/>
      <c r="S24" s="484"/>
      <c r="T24" s="484"/>
      <c r="U24" s="484"/>
      <c r="V24" s="484"/>
      <c r="W24" s="484"/>
      <c r="X24" s="484"/>
      <c r="Y24" s="484"/>
    </row>
    <row r="25">
      <c r="A25" s="10" t="s">
        <v>160</v>
      </c>
      <c r="B25" s="499" t="s">
        <v>183</v>
      </c>
      <c r="C25" s="484"/>
      <c r="D25" s="10" t="s">
        <v>416</v>
      </c>
      <c r="E25" s="499" t="s">
        <v>826</v>
      </c>
      <c r="F25" s="484"/>
      <c r="G25" s="10" t="s">
        <v>37</v>
      </c>
      <c r="H25" s="499" t="s">
        <v>231</v>
      </c>
      <c r="I25" s="484"/>
      <c r="J25" s="484"/>
      <c r="K25" s="484"/>
      <c r="L25" s="200" t="s">
        <v>123</v>
      </c>
      <c r="M25" s="499" t="s">
        <v>150</v>
      </c>
      <c r="N25" s="524" t="s">
        <v>3198</v>
      </c>
      <c r="O25" s="484"/>
      <c r="P25" s="499" t="str">
        <f>IFERROR(__xludf.DUMMYFUNCTION("""COMPUTED_VALUE"""),"darcy.kennedy@multco.us")</f>
        <v>darcy.kennedy@multco.us</v>
      </c>
      <c r="Q25" s="484"/>
      <c r="R25" s="484"/>
      <c r="S25" s="484"/>
      <c r="T25" s="484"/>
      <c r="U25" s="484"/>
      <c r="V25" s="484"/>
      <c r="W25" s="484"/>
      <c r="X25" s="484"/>
      <c r="Y25" s="484"/>
    </row>
    <row r="26">
      <c r="A26" s="10" t="s">
        <v>153</v>
      </c>
      <c r="B26" s="499" t="s">
        <v>209</v>
      </c>
      <c r="C26" s="484"/>
      <c r="D26" s="10" t="s">
        <v>85</v>
      </c>
      <c r="E26" s="499" t="s">
        <v>836</v>
      </c>
      <c r="F26" s="484"/>
      <c r="G26" s="19" t="s">
        <v>183</v>
      </c>
      <c r="H26" s="499" t="s">
        <v>237</v>
      </c>
      <c r="I26" s="484"/>
      <c r="J26" s="484"/>
      <c r="K26" s="484"/>
      <c r="L26" s="200" t="s">
        <v>37</v>
      </c>
      <c r="M26" s="499" t="s">
        <v>153</v>
      </c>
      <c r="N26" s="524" t="s">
        <v>78</v>
      </c>
      <c r="O26" s="484"/>
      <c r="P26" s="499" t="str">
        <f>IFERROR(__xludf.DUMMYFUNCTION("""COMPUTED_VALUE"""),"jessica.hall@multco.us")</f>
        <v>jessica.hall@multco.us</v>
      </c>
      <c r="Q26" s="484"/>
      <c r="R26" s="484"/>
      <c r="S26" s="484"/>
      <c r="T26" s="484"/>
      <c r="U26" s="484"/>
      <c r="V26" s="484"/>
      <c r="W26" s="484"/>
      <c r="X26" s="484"/>
      <c r="Y26" s="484"/>
    </row>
    <row r="27">
      <c r="A27" s="10" t="s">
        <v>166</v>
      </c>
      <c r="B27" s="499" t="s">
        <v>213</v>
      </c>
      <c r="C27" s="484"/>
      <c r="D27" s="10" t="s">
        <v>541</v>
      </c>
      <c r="E27" s="499" t="s">
        <v>347</v>
      </c>
      <c r="F27" s="484"/>
      <c r="G27" s="10" t="s">
        <v>209</v>
      </c>
      <c r="H27" s="499" t="s">
        <v>240</v>
      </c>
      <c r="I27" s="484"/>
      <c r="J27" s="484"/>
      <c r="K27" s="484"/>
      <c r="L27" s="200" t="s">
        <v>130</v>
      </c>
      <c r="M27" s="499" t="s">
        <v>155</v>
      </c>
      <c r="N27" s="524" t="s">
        <v>308</v>
      </c>
      <c r="O27" s="484"/>
      <c r="P27" s="499" t="str">
        <f>IFERROR(__xludf.DUMMYFUNCTION("""COMPUTED_VALUE"""),"anne.saraceno@multco.us")</f>
        <v>anne.saraceno@multco.us</v>
      </c>
      <c r="Q27" s="484"/>
      <c r="R27" s="484"/>
      <c r="S27" s="484"/>
      <c r="T27" s="484"/>
      <c r="U27" s="484"/>
      <c r="V27" s="484"/>
      <c r="W27" s="484"/>
      <c r="X27" s="484"/>
      <c r="Y27" s="484"/>
    </row>
    <row r="28">
      <c r="A28" s="10" t="s">
        <v>168</v>
      </c>
      <c r="B28" s="499" t="s">
        <v>141</v>
      </c>
      <c r="C28" s="484"/>
      <c r="D28" s="10" t="s">
        <v>314</v>
      </c>
      <c r="E28" s="499" t="s">
        <v>37</v>
      </c>
      <c r="F28" s="484"/>
      <c r="G28" s="10" t="s">
        <v>213</v>
      </c>
      <c r="H28" s="499" t="s">
        <v>245</v>
      </c>
      <c r="I28" s="484"/>
      <c r="J28" s="484"/>
      <c r="K28" s="484"/>
      <c r="L28" s="415" t="s">
        <v>134</v>
      </c>
      <c r="M28" s="499" t="s">
        <v>160</v>
      </c>
      <c r="N28" s="524" t="s">
        <v>436</v>
      </c>
      <c r="O28" s="484"/>
      <c r="P28" s="499" t="str">
        <f>IFERROR(__xludf.DUMMYFUNCTION("""COMPUTED_VALUE"""),"dylan.thompson@multco.us")</f>
        <v>dylan.thompson@multco.us</v>
      </c>
      <c r="Q28" s="484"/>
      <c r="R28" s="484"/>
      <c r="S28" s="484"/>
      <c r="T28" s="484"/>
      <c r="U28" s="484"/>
      <c r="V28" s="484"/>
      <c r="W28" s="484"/>
      <c r="X28" s="484"/>
      <c r="Y28" s="484"/>
    </row>
    <row r="29">
      <c r="A29" s="10" t="s">
        <v>171</v>
      </c>
      <c r="B29" s="499" t="s">
        <v>219</v>
      </c>
      <c r="C29" s="484"/>
      <c r="D29" s="10" t="s">
        <v>314</v>
      </c>
      <c r="E29" s="499" t="s">
        <v>883</v>
      </c>
      <c r="F29" s="484"/>
      <c r="G29" s="10" t="s">
        <v>141</v>
      </c>
      <c r="H29" s="499" t="s">
        <v>247</v>
      </c>
      <c r="I29" s="484"/>
      <c r="J29" s="484"/>
      <c r="K29" s="484"/>
      <c r="L29" s="200" t="s">
        <v>130</v>
      </c>
      <c r="M29" s="499" t="s">
        <v>162</v>
      </c>
      <c r="N29" s="524"/>
      <c r="O29" s="484"/>
      <c r="P29" s="499" t="str">
        <f>IFERROR(__xludf.DUMMYFUNCTION("""COMPUTED_VALUE"""),"carolyn.manke@multco.us")</f>
        <v>carolyn.manke@multco.us</v>
      </c>
      <c r="Q29" s="484"/>
      <c r="R29" s="484"/>
      <c r="S29" s="484"/>
      <c r="T29" s="484"/>
      <c r="U29" s="484"/>
      <c r="V29" s="484"/>
      <c r="W29" s="484"/>
      <c r="X29" s="484"/>
      <c r="Y29" s="484"/>
    </row>
    <row r="30">
      <c r="A30" s="10" t="s">
        <v>174</v>
      </c>
      <c r="B30" s="499" t="s">
        <v>222</v>
      </c>
      <c r="C30" s="484"/>
      <c r="D30" s="10" t="s">
        <v>314</v>
      </c>
      <c r="E30" s="499" t="s">
        <v>938</v>
      </c>
      <c r="F30" s="484"/>
      <c r="G30" s="10" t="s">
        <v>222</v>
      </c>
      <c r="H30" s="499" t="s">
        <v>251</v>
      </c>
      <c r="I30" s="484"/>
      <c r="J30" s="484"/>
      <c r="K30" s="484"/>
      <c r="L30" s="415" t="s">
        <v>88</v>
      </c>
      <c r="M30" s="499" t="s">
        <v>166</v>
      </c>
      <c r="N30" s="524"/>
      <c r="O30" s="484"/>
      <c r="P30" s="499" t="str">
        <f>IFERROR(__xludf.DUMMYFUNCTION("""COMPUTED_VALUE"""),"yolanda.gonzalez@multco.us")</f>
        <v>yolanda.gonzalez@multco.us</v>
      </c>
      <c r="Q30" s="484"/>
      <c r="R30" s="484"/>
      <c r="S30" s="484"/>
      <c r="T30" s="484"/>
      <c r="U30" s="484"/>
      <c r="V30" s="484"/>
      <c r="W30" s="484"/>
      <c r="X30" s="484"/>
      <c r="Y30" s="484"/>
    </row>
    <row r="31">
      <c r="A31" s="10" t="s">
        <v>37</v>
      </c>
      <c r="B31" s="499" t="s">
        <v>225</v>
      </c>
      <c r="C31" s="484"/>
      <c r="D31" s="10" t="s">
        <v>314</v>
      </c>
      <c r="E31" s="499" t="s">
        <v>213</v>
      </c>
      <c r="F31" s="484"/>
      <c r="G31" s="10" t="s">
        <v>225</v>
      </c>
      <c r="H31" s="499" t="s">
        <v>259</v>
      </c>
      <c r="I31" s="484"/>
      <c r="J31" s="484"/>
      <c r="K31" s="484"/>
      <c r="L31" s="200" t="s">
        <v>137</v>
      </c>
      <c r="M31" s="499" t="s">
        <v>168</v>
      </c>
      <c r="N31" s="524"/>
      <c r="O31" s="484"/>
      <c r="P31" s="499" t="str">
        <f>IFERROR(__xludf.DUMMYFUNCTION("""COMPUTED_VALUE"""),"sarah.wittmann@multco.us")</f>
        <v>sarah.wittmann@multco.us</v>
      </c>
      <c r="Q31" s="484"/>
      <c r="R31" s="484"/>
      <c r="S31" s="484"/>
      <c r="T31" s="484"/>
      <c r="U31" s="484"/>
      <c r="V31" s="484"/>
      <c r="W31" s="484"/>
      <c r="X31" s="484"/>
      <c r="Y31" s="484"/>
    </row>
    <row r="32">
      <c r="A32" s="19" t="s">
        <v>183</v>
      </c>
      <c r="B32" s="499" t="s">
        <v>231</v>
      </c>
      <c r="C32" s="484"/>
      <c r="D32" s="10" t="s">
        <v>137</v>
      </c>
      <c r="E32" s="499" t="s">
        <v>134</v>
      </c>
      <c r="F32" s="484"/>
      <c r="G32" s="10" t="s">
        <v>231</v>
      </c>
      <c r="H32" s="499" t="s">
        <v>264</v>
      </c>
      <c r="I32" s="484"/>
      <c r="J32" s="484"/>
      <c r="K32" s="484"/>
      <c r="L32" s="414" t="s">
        <v>141</v>
      </c>
      <c r="M32" s="499" t="s">
        <v>171</v>
      </c>
      <c r="N32" s="524"/>
      <c r="O32" s="484"/>
      <c r="P32" s="499" t="str">
        <f>IFERROR(__xludf.DUMMYFUNCTION("""COMPUTED_VALUE"""),"erica.gilliland@multco.us")</f>
        <v>erica.gilliland@multco.us</v>
      </c>
      <c r="Q32" s="484"/>
      <c r="R32" s="484"/>
      <c r="S32" s="484"/>
      <c r="T32" s="484"/>
      <c r="U32" s="484"/>
      <c r="V32" s="484"/>
      <c r="W32" s="484"/>
      <c r="X32" s="484"/>
      <c r="Y32" s="484"/>
    </row>
    <row r="33">
      <c r="A33" s="10" t="s">
        <v>209</v>
      </c>
      <c r="B33" s="499" t="s">
        <v>234</v>
      </c>
      <c r="C33" s="484"/>
      <c r="D33" s="10" t="s">
        <v>595</v>
      </c>
      <c r="E33" s="499" t="s">
        <v>1000</v>
      </c>
      <c r="F33" s="484"/>
      <c r="G33" s="10" t="s">
        <v>237</v>
      </c>
      <c r="H33" s="499" t="s">
        <v>280</v>
      </c>
      <c r="I33" s="484"/>
      <c r="J33" s="484"/>
      <c r="K33" s="484"/>
      <c r="L33" s="200" t="s">
        <v>141</v>
      </c>
      <c r="M33" s="499" t="s">
        <v>174</v>
      </c>
      <c r="N33" s="524"/>
      <c r="O33" s="484"/>
      <c r="P33" s="499" t="str">
        <f>IFERROR(__xludf.DUMMYFUNCTION("""COMPUTED_VALUE"""),"abrianna.williams@multco.us")</f>
        <v>abrianna.williams@multco.us</v>
      </c>
      <c r="Q33" s="484"/>
      <c r="R33" s="484"/>
      <c r="S33" s="484"/>
      <c r="T33" s="484"/>
      <c r="U33" s="484"/>
      <c r="V33" s="484"/>
      <c r="W33" s="484"/>
      <c r="X33" s="484"/>
      <c r="Y33" s="484"/>
    </row>
    <row r="34">
      <c r="A34" s="10" t="s">
        <v>213</v>
      </c>
      <c r="B34" s="499" t="s">
        <v>237</v>
      </c>
      <c r="C34" s="484"/>
      <c r="D34" s="10" t="s">
        <v>624</v>
      </c>
      <c r="E34" s="499" t="s">
        <v>1103</v>
      </c>
      <c r="F34" s="484"/>
      <c r="G34" s="10" t="s">
        <v>240</v>
      </c>
      <c r="H34" s="499" t="s">
        <v>305</v>
      </c>
      <c r="I34" s="484"/>
      <c r="J34" s="484"/>
      <c r="K34" s="484"/>
      <c r="L34" s="200" t="s">
        <v>148</v>
      </c>
      <c r="M34" s="499" t="s">
        <v>183</v>
      </c>
      <c r="N34" s="524"/>
      <c r="O34" s="484"/>
      <c r="P34" s="499" t="str">
        <f>IFERROR(__xludf.DUMMYFUNCTION("""COMPUTED_VALUE"""),"christi.s.taylor@multco.us")</f>
        <v>christi.s.taylor@multco.us</v>
      </c>
      <c r="Q34" s="484"/>
      <c r="R34" s="484"/>
      <c r="S34" s="484"/>
      <c r="T34" s="484"/>
      <c r="U34" s="484"/>
      <c r="V34" s="484"/>
      <c r="W34" s="484"/>
      <c r="X34" s="484"/>
      <c r="Y34" s="484"/>
    </row>
    <row r="35">
      <c r="A35" s="10" t="s">
        <v>141</v>
      </c>
      <c r="B35" s="499" t="s">
        <v>240</v>
      </c>
      <c r="C35" s="484"/>
      <c r="D35" s="10" t="s">
        <v>639</v>
      </c>
      <c r="E35" s="499" t="s">
        <v>1185</v>
      </c>
      <c r="F35" s="484"/>
      <c r="G35" s="10" t="s">
        <v>245</v>
      </c>
      <c r="H35" s="499" t="s">
        <v>308</v>
      </c>
      <c r="I35" s="484"/>
      <c r="J35" s="484"/>
      <c r="K35" s="484"/>
      <c r="L35" s="200" t="s">
        <v>150</v>
      </c>
      <c r="M35" s="499" t="s">
        <v>188</v>
      </c>
      <c r="N35" s="524"/>
      <c r="O35" s="484"/>
      <c r="P35" s="499" t="str">
        <f>IFERROR(__xludf.DUMMYFUNCTION("""COMPUTED_VALUE"""),"charli.isidro@multco.us")</f>
        <v>charli.isidro@multco.us</v>
      </c>
      <c r="Q35" s="484"/>
      <c r="R35" s="484"/>
      <c r="S35" s="484"/>
      <c r="T35" s="484"/>
      <c r="U35" s="484"/>
      <c r="V35" s="484"/>
      <c r="W35" s="484"/>
      <c r="X35" s="484"/>
      <c r="Y35" s="484"/>
    </row>
    <row r="36">
      <c r="A36" s="10" t="s">
        <v>219</v>
      </c>
      <c r="B36" s="499" t="s">
        <v>245</v>
      </c>
      <c r="C36" s="484"/>
      <c r="D36" s="10" t="s">
        <v>595</v>
      </c>
      <c r="E36" s="499" t="s">
        <v>284</v>
      </c>
      <c r="F36" s="484"/>
      <c r="G36" s="10" t="s">
        <v>247</v>
      </c>
      <c r="H36" s="499" t="s">
        <v>311</v>
      </c>
      <c r="I36" s="484"/>
      <c r="J36" s="484"/>
      <c r="K36" s="484"/>
      <c r="L36" s="200" t="s">
        <v>153</v>
      </c>
      <c r="M36" s="499" t="s">
        <v>193</v>
      </c>
      <c r="N36" s="524"/>
      <c r="O36" s="484"/>
      <c r="P36" s="499" t="str">
        <f>IFERROR(__xludf.DUMMYFUNCTION("""COMPUTED_VALUE"""),"alexandra.rieman@multco.us")</f>
        <v>alexandra.rieman@multco.us</v>
      </c>
      <c r="Q36" s="484"/>
      <c r="R36" s="484"/>
      <c r="S36" s="484"/>
      <c r="T36" s="484"/>
      <c r="U36" s="484"/>
      <c r="V36" s="484"/>
      <c r="W36" s="484"/>
      <c r="X36" s="484"/>
      <c r="Y36" s="484"/>
    </row>
    <row r="37">
      <c r="A37" s="10" t="s">
        <v>222</v>
      </c>
      <c r="B37" s="499" t="s">
        <v>247</v>
      </c>
      <c r="C37" s="484"/>
      <c r="D37" s="10" t="s">
        <v>541</v>
      </c>
      <c r="E37" s="499" t="s">
        <v>1253</v>
      </c>
      <c r="F37" s="484"/>
      <c r="G37" s="10" t="s">
        <v>231</v>
      </c>
      <c r="H37" s="499" t="s">
        <v>320</v>
      </c>
      <c r="I37" s="484"/>
      <c r="J37" s="484"/>
      <c r="K37" s="484"/>
      <c r="L37" s="200" t="s">
        <v>155</v>
      </c>
      <c r="M37" s="499" t="s">
        <v>209</v>
      </c>
      <c r="N37" s="524"/>
      <c r="O37" s="484"/>
      <c r="P37" s="499" t="str">
        <f>IFERROR(__xludf.DUMMYFUNCTION("""COMPUTED_VALUE"""),"elizabeth.loving@multco.us")</f>
        <v>elizabeth.loving@multco.us</v>
      </c>
      <c r="Q37" s="484"/>
      <c r="R37" s="484"/>
      <c r="S37" s="484"/>
      <c r="T37" s="484"/>
      <c r="U37" s="484"/>
      <c r="V37" s="484"/>
      <c r="W37" s="484"/>
      <c r="X37" s="484"/>
      <c r="Y37" s="484"/>
    </row>
    <row r="38">
      <c r="A38" s="10" t="s">
        <v>225</v>
      </c>
      <c r="B38" s="499" t="s">
        <v>251</v>
      </c>
      <c r="C38" s="484"/>
      <c r="D38" s="10" t="s">
        <v>123</v>
      </c>
      <c r="E38" s="499" t="s">
        <v>1406</v>
      </c>
      <c r="F38" s="484"/>
      <c r="G38" s="10" t="s">
        <v>251</v>
      </c>
      <c r="H38" s="499" t="s">
        <v>325</v>
      </c>
      <c r="I38" s="484"/>
      <c r="J38" s="484"/>
      <c r="K38" s="484"/>
      <c r="L38" s="200" t="s">
        <v>160</v>
      </c>
      <c r="M38" s="499" t="s">
        <v>213</v>
      </c>
      <c r="N38" s="524"/>
      <c r="O38" s="484"/>
      <c r="P38" s="499" t="str">
        <f>IFERROR(__xludf.DUMMYFUNCTION("""COMPUTED_VALUE"""),"miranda.shapiro@multco.us")</f>
        <v>miranda.shapiro@multco.us</v>
      </c>
      <c r="Q38" s="484"/>
      <c r="R38" s="484"/>
      <c r="S38" s="484"/>
      <c r="T38" s="484"/>
      <c r="U38" s="484"/>
      <c r="V38" s="484"/>
      <c r="W38" s="484"/>
      <c r="X38" s="484"/>
      <c r="Y38" s="484"/>
    </row>
    <row r="39">
      <c r="A39" s="10" t="s">
        <v>231</v>
      </c>
      <c r="B39" s="499" t="s">
        <v>259</v>
      </c>
      <c r="C39" s="484"/>
      <c r="D39" s="10" t="s">
        <v>272</v>
      </c>
      <c r="E39" s="484" t="s">
        <v>1725</v>
      </c>
      <c r="F39" s="484"/>
      <c r="G39" s="10" t="s">
        <v>259</v>
      </c>
      <c r="H39" s="499" t="s">
        <v>330</v>
      </c>
      <c r="I39" s="484"/>
      <c r="J39" s="484"/>
      <c r="K39" s="484"/>
      <c r="L39" s="200" t="s">
        <v>162</v>
      </c>
      <c r="M39" s="499" t="s">
        <v>219</v>
      </c>
      <c r="N39" s="524"/>
      <c r="O39" s="484"/>
      <c r="P39" s="499" t="str">
        <f>IFERROR(__xludf.DUMMYFUNCTION("""COMPUTED_VALUE"""),"otoniel.calderon@multco.us")</f>
        <v>otoniel.calderon@multco.us</v>
      </c>
      <c r="Q39" s="484"/>
      <c r="R39" s="484"/>
      <c r="S39" s="484"/>
      <c r="T39" s="484"/>
      <c r="U39" s="484"/>
      <c r="V39" s="484"/>
      <c r="W39" s="484"/>
      <c r="X39" s="484"/>
      <c r="Y39" s="484"/>
    </row>
    <row r="40">
      <c r="A40" s="10" t="s">
        <v>234</v>
      </c>
      <c r="B40" s="499" t="s">
        <v>264</v>
      </c>
      <c r="C40" s="484"/>
      <c r="D40" s="10" t="s">
        <v>123</v>
      </c>
      <c r="E40" s="484" t="s">
        <v>1751</v>
      </c>
      <c r="F40" s="484"/>
      <c r="G40" s="10" t="s">
        <v>264</v>
      </c>
      <c r="H40" s="499" t="s">
        <v>333</v>
      </c>
      <c r="I40" s="484"/>
      <c r="J40" s="484"/>
      <c r="K40" s="484"/>
      <c r="L40" s="200" t="s">
        <v>153</v>
      </c>
      <c r="M40" s="499" t="s">
        <v>222</v>
      </c>
      <c r="N40" s="524"/>
      <c r="O40" s="484"/>
      <c r="P40" s="499" t="str">
        <f>IFERROR(__xludf.DUMMYFUNCTION("""COMPUTED_VALUE"""),"linda.hudson@multco.us")</f>
        <v>linda.hudson@multco.us</v>
      </c>
      <c r="Q40" s="484"/>
      <c r="R40" s="484"/>
      <c r="S40" s="484"/>
      <c r="T40" s="484"/>
      <c r="U40" s="484"/>
      <c r="V40" s="484"/>
      <c r="W40" s="484"/>
      <c r="X40" s="484"/>
      <c r="Y40" s="484"/>
    </row>
    <row r="41">
      <c r="A41" s="10" t="s">
        <v>234</v>
      </c>
      <c r="B41" s="499" t="s">
        <v>272</v>
      </c>
      <c r="C41" s="484"/>
      <c r="D41" s="10" t="s">
        <v>789</v>
      </c>
      <c r="E41" s="484" t="s">
        <v>1318</v>
      </c>
      <c r="F41" s="484"/>
      <c r="G41" s="10" t="s">
        <v>264</v>
      </c>
      <c r="H41" s="499" t="s">
        <v>350</v>
      </c>
      <c r="I41" s="484"/>
      <c r="J41" s="484"/>
      <c r="K41" s="484"/>
      <c r="L41" s="200" t="s">
        <v>166</v>
      </c>
      <c r="M41" s="499" t="s">
        <v>225</v>
      </c>
      <c r="N41" s="524"/>
      <c r="O41" s="484"/>
      <c r="P41" s="499" t="str">
        <f>IFERROR(__xludf.DUMMYFUNCTION("""COMPUTED_VALUE"""),"james.r.dixon@multco.us")</f>
        <v>james.r.dixon@multco.us</v>
      </c>
      <c r="Q41" s="484"/>
      <c r="R41" s="484"/>
      <c r="S41" s="484"/>
      <c r="T41" s="484"/>
      <c r="U41" s="484"/>
      <c r="V41" s="484"/>
      <c r="W41" s="484"/>
      <c r="X41" s="484"/>
      <c r="Y41" s="484"/>
    </row>
    <row r="42">
      <c r="A42" s="10" t="s">
        <v>237</v>
      </c>
      <c r="B42" s="499" t="s">
        <v>280</v>
      </c>
      <c r="C42" s="484"/>
      <c r="D42" s="10" t="s">
        <v>123</v>
      </c>
      <c r="E42" s="484" t="s">
        <v>1025</v>
      </c>
      <c r="F42" s="484"/>
      <c r="G42" s="10" t="s">
        <v>280</v>
      </c>
      <c r="H42" s="499" t="s">
        <v>368</v>
      </c>
      <c r="I42" s="484"/>
      <c r="J42" s="484"/>
      <c r="K42" s="484"/>
      <c r="L42" s="200" t="s">
        <v>168</v>
      </c>
      <c r="M42" s="499" t="s">
        <v>231</v>
      </c>
      <c r="N42" s="524"/>
      <c r="O42" s="484"/>
      <c r="P42" s="499" t="str">
        <f>IFERROR(__xludf.DUMMYFUNCTION("""COMPUTED_VALUE"""),"canada.taylor.parker@multco.us")</f>
        <v>canada.taylor.parker@multco.us</v>
      </c>
      <c r="Q42" s="484"/>
      <c r="R42" s="484"/>
      <c r="S42" s="484"/>
      <c r="T42" s="484"/>
      <c r="U42" s="484"/>
      <c r="V42" s="484"/>
      <c r="W42" s="484"/>
      <c r="X42" s="484"/>
      <c r="Y42" s="484"/>
    </row>
    <row r="43">
      <c r="A43" s="10" t="s">
        <v>240</v>
      </c>
      <c r="B43" s="499" t="s">
        <v>305</v>
      </c>
      <c r="C43" s="484"/>
      <c r="D43" s="10" t="s">
        <v>193</v>
      </c>
      <c r="E43" s="484" t="s">
        <v>231</v>
      </c>
      <c r="F43" s="484"/>
      <c r="G43" s="19" t="s">
        <v>168</v>
      </c>
      <c r="H43" s="499" t="s">
        <v>374</v>
      </c>
      <c r="I43" s="484"/>
      <c r="J43" s="484"/>
      <c r="K43" s="484"/>
      <c r="L43" s="200" t="s">
        <v>171</v>
      </c>
      <c r="M43" s="499" t="s">
        <v>234</v>
      </c>
      <c r="N43" s="524"/>
      <c r="O43" s="484"/>
      <c r="P43" s="499" t="str">
        <f>IFERROR(__xludf.DUMMYFUNCTION("""COMPUTED_VALUE"""),"kit.oboyle@multco.us")</f>
        <v>kit.oboyle@multco.us</v>
      </c>
      <c r="Q43" s="484"/>
      <c r="R43" s="484"/>
      <c r="S43" s="484"/>
      <c r="T43" s="484"/>
      <c r="U43" s="484"/>
      <c r="V43" s="484"/>
      <c r="W43" s="484"/>
      <c r="X43" s="484"/>
      <c r="Y43" s="484"/>
    </row>
    <row r="44">
      <c r="A44" s="10" t="s">
        <v>245</v>
      </c>
      <c r="B44" s="499" t="s">
        <v>308</v>
      </c>
      <c r="C44" s="484"/>
      <c r="D44" s="10" t="s">
        <v>826</v>
      </c>
      <c r="E44" s="484" t="s">
        <v>516</v>
      </c>
      <c r="F44" s="484"/>
      <c r="G44" s="10" t="s">
        <v>168</v>
      </c>
      <c r="H44" s="499" t="s">
        <v>377</v>
      </c>
      <c r="I44" s="484"/>
      <c r="J44" s="484"/>
      <c r="K44" s="484"/>
      <c r="L44" s="200" t="s">
        <v>174</v>
      </c>
      <c r="M44" s="499" t="s">
        <v>237</v>
      </c>
      <c r="N44" s="524"/>
      <c r="O44" s="484"/>
      <c r="P44" s="499" t="str">
        <f>IFERROR(__xludf.DUMMYFUNCTION("""COMPUTED_VALUE"""),"hilary.gray@multco.us")</f>
        <v>hilary.gray@multco.us</v>
      </c>
      <c r="Q44" s="484"/>
      <c r="R44" s="484"/>
      <c r="S44" s="484"/>
      <c r="T44" s="484"/>
      <c r="U44" s="484"/>
      <c r="V44" s="484"/>
      <c r="W44" s="484"/>
      <c r="X44" s="484"/>
      <c r="Y44" s="484"/>
    </row>
    <row r="45">
      <c r="A45" s="10" t="s">
        <v>247</v>
      </c>
      <c r="B45" s="499" t="s">
        <v>311</v>
      </c>
      <c r="C45" s="484"/>
      <c r="D45" s="10" t="s">
        <v>836</v>
      </c>
      <c r="E45" s="484" t="s">
        <v>130</v>
      </c>
      <c r="F45" s="484"/>
      <c r="G45" s="10" t="s">
        <v>168</v>
      </c>
      <c r="H45" s="499" t="s">
        <v>382</v>
      </c>
      <c r="I45" s="484"/>
      <c r="J45" s="484"/>
      <c r="K45" s="484"/>
      <c r="L45" s="200" t="s">
        <v>37</v>
      </c>
      <c r="M45" s="499" t="s">
        <v>240</v>
      </c>
      <c r="N45" s="524"/>
      <c r="O45" s="484"/>
      <c r="P45" s="499" t="str">
        <f>IFERROR(__xludf.DUMMYFUNCTION("""COMPUTED_VALUE"""),"tenzin.teykhang@multco.us")</f>
        <v>tenzin.teykhang@multco.us</v>
      </c>
      <c r="Q45" s="484"/>
      <c r="R45" s="484"/>
      <c r="S45" s="484"/>
      <c r="T45" s="484"/>
      <c r="U45" s="484"/>
      <c r="V45" s="484"/>
      <c r="W45" s="484"/>
      <c r="X45" s="484"/>
      <c r="Y45" s="484"/>
    </row>
    <row r="46">
      <c r="A46" s="10" t="s">
        <v>231</v>
      </c>
      <c r="B46" s="499" t="s">
        <v>314</v>
      </c>
      <c r="C46" s="484"/>
      <c r="D46" s="10" t="s">
        <v>624</v>
      </c>
      <c r="E46" s="484" t="s">
        <v>1706</v>
      </c>
      <c r="F46" s="484"/>
      <c r="G46" s="10" t="s">
        <v>305</v>
      </c>
      <c r="H46" s="499" t="s">
        <v>385</v>
      </c>
      <c r="I46" s="484"/>
      <c r="J46" s="484"/>
      <c r="K46" s="484"/>
      <c r="L46" s="414" t="s">
        <v>183</v>
      </c>
      <c r="M46" s="499" t="s">
        <v>243</v>
      </c>
      <c r="N46" s="524"/>
      <c r="O46" s="484"/>
      <c r="P46" s="499" t="str">
        <f>IFERROR(__xludf.DUMMYFUNCTION("""COMPUTED_VALUE"""),"kelerie.heiser@multco.us")</f>
        <v>kelerie.heiser@multco.us</v>
      </c>
      <c r="Q46" s="484"/>
      <c r="R46" s="484"/>
      <c r="S46" s="484"/>
      <c r="T46" s="484"/>
      <c r="U46" s="484"/>
      <c r="V46" s="484"/>
      <c r="W46" s="484"/>
      <c r="X46" s="484"/>
      <c r="Y46" s="484"/>
    </row>
    <row r="47">
      <c r="A47" s="10" t="s">
        <v>251</v>
      </c>
      <c r="B47" s="499" t="s">
        <v>320</v>
      </c>
      <c r="C47" s="484"/>
      <c r="D47" s="10" t="s">
        <v>347</v>
      </c>
      <c r="E47" s="484" t="s">
        <v>2239</v>
      </c>
      <c r="F47" s="484"/>
      <c r="G47" s="19" t="s">
        <v>308</v>
      </c>
      <c r="H47" s="499" t="s">
        <v>396</v>
      </c>
      <c r="I47" s="484"/>
      <c r="J47" s="484"/>
      <c r="K47" s="484"/>
      <c r="L47" s="415" t="s">
        <v>188</v>
      </c>
      <c r="M47" s="499" t="s">
        <v>245</v>
      </c>
      <c r="N47" s="524"/>
      <c r="O47" s="484"/>
      <c r="P47" s="499" t="str">
        <f>IFERROR(__xludf.DUMMYFUNCTION("""COMPUTED_VALUE"""),"madonna.wells@multco.us")</f>
        <v>madonna.wells@multco.us</v>
      </c>
      <c r="Q47" s="484"/>
      <c r="R47" s="484"/>
      <c r="S47" s="484"/>
      <c r="T47" s="484"/>
      <c r="U47" s="484"/>
      <c r="V47" s="484"/>
      <c r="W47" s="484"/>
      <c r="X47" s="484"/>
      <c r="Y47" s="484"/>
    </row>
    <row r="48">
      <c r="A48" s="10" t="s">
        <v>259</v>
      </c>
      <c r="B48" s="499" t="s">
        <v>325</v>
      </c>
      <c r="C48" s="484"/>
      <c r="D48" s="10" t="s">
        <v>37</v>
      </c>
      <c r="E48" s="484" t="s">
        <v>276</v>
      </c>
      <c r="F48" s="484"/>
      <c r="G48" s="88" t="s">
        <v>311</v>
      </c>
      <c r="H48" s="499" t="s">
        <v>407</v>
      </c>
      <c r="I48" s="484"/>
      <c r="J48" s="484"/>
      <c r="K48" s="484"/>
      <c r="L48" s="419" t="s">
        <v>193</v>
      </c>
      <c r="M48" s="499" t="s">
        <v>247</v>
      </c>
      <c r="N48" s="524"/>
      <c r="O48" s="484"/>
      <c r="P48" s="499" t="str">
        <f>IFERROR(__xludf.DUMMYFUNCTION("""COMPUTED_VALUE"""),"austin.burres@multco.us")</f>
        <v>austin.burres@multco.us</v>
      </c>
      <c r="Q48" s="484"/>
      <c r="R48" s="484"/>
      <c r="S48" s="484"/>
      <c r="T48" s="484"/>
      <c r="U48" s="484"/>
      <c r="V48" s="484"/>
      <c r="W48" s="484"/>
      <c r="X48" s="484"/>
      <c r="Y48" s="484"/>
    </row>
    <row r="49">
      <c r="A49" s="10" t="s">
        <v>264</v>
      </c>
      <c r="B49" s="499" t="s">
        <v>50</v>
      </c>
      <c r="C49" s="484"/>
      <c r="D49" s="10" t="s">
        <v>424</v>
      </c>
      <c r="E49" s="484"/>
      <c r="F49" s="484"/>
      <c r="G49" s="88" t="s">
        <v>311</v>
      </c>
      <c r="H49" s="499" t="s">
        <v>411</v>
      </c>
      <c r="I49" s="484"/>
      <c r="J49" s="484"/>
      <c r="K49" s="484"/>
      <c r="L49" s="200" t="s">
        <v>209</v>
      </c>
      <c r="M49" s="499" t="s">
        <v>251</v>
      </c>
      <c r="N49" s="524"/>
      <c r="O49" s="484"/>
      <c r="P49" s="499" t="str">
        <f>IFERROR(__xludf.DUMMYFUNCTION("""COMPUTED_VALUE"""),"glen.lafollette@multco.us")</f>
        <v>glen.lafollette@multco.us</v>
      </c>
      <c r="Q49" s="484"/>
      <c r="R49" s="484"/>
      <c r="S49" s="484"/>
      <c r="T49" s="484"/>
      <c r="U49" s="484"/>
      <c r="V49" s="484"/>
      <c r="W49" s="484"/>
      <c r="X49" s="484"/>
      <c r="Y49" s="484"/>
    </row>
    <row r="50">
      <c r="A50" s="10" t="s">
        <v>117</v>
      </c>
      <c r="B50" s="499" t="s">
        <v>330</v>
      </c>
      <c r="C50" s="484"/>
      <c r="D50" s="10" t="s">
        <v>883</v>
      </c>
      <c r="E50" s="484"/>
      <c r="F50" s="484"/>
      <c r="G50" s="10" t="s">
        <v>320</v>
      </c>
      <c r="H50" s="499" t="s">
        <v>148</v>
      </c>
      <c r="I50" s="484"/>
      <c r="J50" s="484"/>
      <c r="K50" s="484"/>
      <c r="L50" s="200" t="s">
        <v>213</v>
      </c>
      <c r="M50" s="499" t="s">
        <v>259</v>
      </c>
      <c r="N50" s="524"/>
      <c r="O50" s="484"/>
      <c r="P50" s="499" t="str">
        <f>IFERROR(__xludf.DUMMYFUNCTION("""COMPUTED_VALUE"""),"alex.garcia@multco.us")</f>
        <v>alex.garcia@multco.us</v>
      </c>
      <c r="Q50" s="484"/>
      <c r="R50" s="484"/>
      <c r="S50" s="484"/>
      <c r="T50" s="484"/>
      <c r="U50" s="484"/>
      <c r="V50" s="484"/>
      <c r="W50" s="484"/>
      <c r="X50" s="484"/>
      <c r="Y50" s="484"/>
    </row>
    <row r="51">
      <c r="A51" s="10" t="s">
        <v>272</v>
      </c>
      <c r="B51" s="499" t="s">
        <v>333</v>
      </c>
      <c r="C51" s="484"/>
      <c r="D51" s="10" t="s">
        <v>37</v>
      </c>
      <c r="E51" s="484"/>
      <c r="F51" s="484"/>
      <c r="G51" s="10" t="s">
        <v>325</v>
      </c>
      <c r="H51" s="499" t="s">
        <v>427</v>
      </c>
      <c r="I51" s="484"/>
      <c r="J51" s="484"/>
      <c r="K51" s="484"/>
      <c r="L51" s="200" t="s">
        <v>141</v>
      </c>
      <c r="M51" s="499" t="s">
        <v>264</v>
      </c>
      <c r="N51" s="524"/>
      <c r="O51" s="484"/>
      <c r="P51" s="499" t="str">
        <f>IFERROR(__xludf.DUMMYFUNCTION("""COMPUTED_VALUE"""),"sara.carter@multco.us")</f>
        <v>sara.carter@multco.us</v>
      </c>
      <c r="Q51" s="484"/>
      <c r="R51" s="484"/>
      <c r="S51" s="484"/>
      <c r="T51" s="484"/>
      <c r="U51" s="484"/>
      <c r="V51" s="484"/>
      <c r="W51" s="484"/>
      <c r="X51" s="484"/>
      <c r="Y51" s="484"/>
    </row>
    <row r="52">
      <c r="A52" s="10" t="s">
        <v>264</v>
      </c>
      <c r="B52" s="499" t="s">
        <v>350</v>
      </c>
      <c r="C52" s="484"/>
      <c r="D52" s="10" t="s">
        <v>938</v>
      </c>
      <c r="E52" s="484"/>
      <c r="F52" s="484"/>
      <c r="G52" s="10" t="s">
        <v>330</v>
      </c>
      <c r="H52" s="499" t="s">
        <v>449</v>
      </c>
      <c r="I52" s="484"/>
      <c r="J52" s="484"/>
      <c r="K52" s="484"/>
      <c r="L52" s="200" t="s">
        <v>219</v>
      </c>
      <c r="M52" s="499" t="s">
        <v>272</v>
      </c>
      <c r="N52" s="524"/>
      <c r="O52" s="484"/>
      <c r="P52" s="499" t="str">
        <f>IFERROR(__xludf.DUMMYFUNCTION("""COMPUTED_VALUE"""),"erika.mosqueda.franco@multco.us")</f>
        <v>erika.mosqueda.franco@multco.us</v>
      </c>
      <c r="Q52" s="484"/>
      <c r="R52" s="484"/>
      <c r="S52" s="484"/>
      <c r="T52" s="484"/>
      <c r="U52" s="484"/>
      <c r="V52" s="484"/>
      <c r="W52" s="484"/>
      <c r="X52" s="484"/>
      <c r="Y52" s="484"/>
    </row>
    <row r="53">
      <c r="A53" s="10" t="s">
        <v>280</v>
      </c>
      <c r="B53" s="499" t="s">
        <v>368</v>
      </c>
      <c r="C53" s="484"/>
      <c r="D53" s="10" t="s">
        <v>213</v>
      </c>
      <c r="E53" s="484"/>
      <c r="F53" s="484"/>
      <c r="G53" s="10" t="s">
        <v>333</v>
      </c>
      <c r="H53" s="499" t="s">
        <v>416</v>
      </c>
      <c r="I53" s="484"/>
      <c r="J53" s="484"/>
      <c r="K53" s="484"/>
      <c r="L53" s="200" t="s">
        <v>222</v>
      </c>
      <c r="M53" s="499" t="s">
        <v>276</v>
      </c>
      <c r="N53" s="524"/>
      <c r="O53" s="484"/>
      <c r="P53" s="499" t="str">
        <f>IFERROR(__xludf.DUMMYFUNCTION("""COMPUTED_VALUE"""),"eric.follis@multco.us")</f>
        <v>eric.follis@multco.us</v>
      </c>
      <c r="Q53" s="484"/>
      <c r="R53" s="484"/>
      <c r="S53" s="484"/>
      <c r="T53" s="484"/>
      <c r="U53" s="484"/>
      <c r="V53" s="484"/>
      <c r="W53" s="484"/>
      <c r="X53" s="484"/>
      <c r="Y53" s="484"/>
    </row>
    <row r="54">
      <c r="A54" s="10" t="s">
        <v>64</v>
      </c>
      <c r="B54" s="499" t="s">
        <v>374</v>
      </c>
      <c r="C54" s="484"/>
      <c r="D54" s="10" t="s">
        <v>134</v>
      </c>
      <c r="E54" s="484"/>
      <c r="F54" s="484"/>
      <c r="G54" s="10" t="s">
        <v>141</v>
      </c>
      <c r="H54" s="499" t="s">
        <v>461</v>
      </c>
      <c r="I54" s="484"/>
      <c r="J54" s="484"/>
      <c r="K54" s="484"/>
      <c r="L54" s="200" t="s">
        <v>225</v>
      </c>
      <c r="M54" s="499" t="s">
        <v>280</v>
      </c>
      <c r="N54" s="524"/>
      <c r="O54" s="484"/>
      <c r="P54" s="499" t="str">
        <f>IFERROR(__xludf.DUMMYFUNCTION("""COMPUTED_VALUE"""),"daniela.evangelista@multco.us")</f>
        <v>daniela.evangelista@multco.us</v>
      </c>
      <c r="Q54" s="484"/>
      <c r="R54" s="484"/>
      <c r="S54" s="484"/>
      <c r="T54" s="484"/>
      <c r="U54" s="484"/>
      <c r="V54" s="484"/>
      <c r="W54" s="484"/>
      <c r="X54" s="484"/>
      <c r="Y54" s="484"/>
    </row>
    <row r="55">
      <c r="A55" s="19" t="s">
        <v>168</v>
      </c>
      <c r="B55" s="499" t="s">
        <v>377</v>
      </c>
      <c r="C55" s="484"/>
      <c r="D55" s="10" t="s">
        <v>1000</v>
      </c>
      <c r="E55" s="484"/>
      <c r="F55" s="484"/>
      <c r="G55" s="10" t="s">
        <v>141</v>
      </c>
      <c r="H55" s="499" t="s">
        <v>479</v>
      </c>
      <c r="I55" s="484"/>
      <c r="J55" s="484"/>
      <c r="K55" s="484"/>
      <c r="L55" s="414" t="s">
        <v>117</v>
      </c>
      <c r="M55" s="499" t="s">
        <v>293</v>
      </c>
      <c r="N55" s="524"/>
      <c r="O55" s="484"/>
      <c r="P55" s="499" t="str">
        <f>IFERROR(__xludf.DUMMYFUNCTION("""COMPUTED_VALUE"""),"frances.flores@multco.us")</f>
        <v>frances.flores@multco.us</v>
      </c>
      <c r="Q55" s="484"/>
      <c r="R55" s="484"/>
      <c r="S55" s="484"/>
      <c r="T55" s="484"/>
      <c r="U55" s="484"/>
      <c r="V55" s="484"/>
      <c r="W55" s="484"/>
      <c r="X55" s="484"/>
      <c r="Y55" s="484"/>
    </row>
    <row r="56">
      <c r="A56" s="10" t="s">
        <v>168</v>
      </c>
      <c r="B56" s="499" t="s">
        <v>382</v>
      </c>
      <c r="C56" s="484"/>
      <c r="D56" s="10" t="s">
        <v>188</v>
      </c>
      <c r="E56" s="484"/>
      <c r="F56" s="484"/>
      <c r="G56" s="19" t="s">
        <v>350</v>
      </c>
      <c r="H56" s="499" t="s">
        <v>482</v>
      </c>
      <c r="I56" s="484"/>
      <c r="J56" s="484"/>
      <c r="K56" s="484"/>
      <c r="L56" s="200" t="s">
        <v>231</v>
      </c>
      <c r="M56" s="499" t="s">
        <v>305</v>
      </c>
      <c r="N56" s="524"/>
      <c r="O56" s="484"/>
      <c r="P56" s="499" t="str">
        <f>IFERROR(__xludf.DUMMYFUNCTION("""COMPUTED_VALUE"""),"anita.bailey-huff@multco.us")</f>
        <v>anita.bailey-huff@multco.us</v>
      </c>
      <c r="Q56" s="484"/>
      <c r="R56" s="484"/>
      <c r="S56" s="484"/>
      <c r="T56" s="484"/>
      <c r="U56" s="484"/>
      <c r="V56" s="484"/>
      <c r="W56" s="484"/>
      <c r="X56" s="484"/>
      <c r="Y56" s="484"/>
    </row>
    <row r="57">
      <c r="A57" s="10" t="s">
        <v>168</v>
      </c>
      <c r="B57" s="499" t="s">
        <v>385</v>
      </c>
      <c r="C57" s="484"/>
      <c r="D57" s="10" t="s">
        <v>1103</v>
      </c>
      <c r="E57" s="484"/>
      <c r="F57" s="484"/>
      <c r="G57" s="19" t="s">
        <v>251</v>
      </c>
      <c r="H57" s="499" t="s">
        <v>487</v>
      </c>
      <c r="I57" s="484"/>
      <c r="J57" s="484"/>
      <c r="K57" s="484"/>
      <c r="L57" s="200" t="s">
        <v>234</v>
      </c>
      <c r="M57" s="499" t="s">
        <v>308</v>
      </c>
      <c r="N57" s="524"/>
      <c r="O57" s="484"/>
      <c r="P57" s="499" t="str">
        <f>IFERROR(__xludf.DUMMYFUNCTION("""COMPUTED_VALUE"""),"misao.eliahim@multco.us")</f>
        <v>misao.eliahim@multco.us</v>
      </c>
      <c r="Q57" s="484"/>
      <c r="R57" s="484"/>
      <c r="S57" s="484"/>
      <c r="T57" s="484"/>
      <c r="U57" s="484"/>
      <c r="V57" s="484"/>
      <c r="W57" s="484"/>
      <c r="X57" s="484"/>
      <c r="Y57" s="484"/>
    </row>
    <row r="58">
      <c r="A58" s="10" t="s">
        <v>305</v>
      </c>
      <c r="B58" s="499" t="s">
        <v>396</v>
      </c>
      <c r="C58" s="484"/>
      <c r="D58" s="10" t="s">
        <v>424</v>
      </c>
      <c r="E58" s="484"/>
      <c r="F58" s="484"/>
      <c r="G58" s="10" t="s">
        <v>153</v>
      </c>
      <c r="H58" s="499" t="s">
        <v>490</v>
      </c>
      <c r="I58" s="484"/>
      <c r="J58" s="484"/>
      <c r="K58" s="484"/>
      <c r="L58" s="200" t="s">
        <v>234</v>
      </c>
      <c r="M58" s="499" t="s">
        <v>311</v>
      </c>
      <c r="N58" s="524"/>
      <c r="O58" s="484"/>
      <c r="P58" s="499" t="str">
        <f>IFERROR(__xludf.DUMMYFUNCTION("""COMPUTED_VALUE"""),"jazmin.munoz@multco.us")</f>
        <v>jazmin.munoz@multco.us</v>
      </c>
      <c r="Q58" s="484"/>
      <c r="R58" s="484"/>
      <c r="S58" s="484"/>
      <c r="T58" s="484"/>
      <c r="U58" s="484"/>
      <c r="V58" s="484"/>
      <c r="W58" s="484"/>
      <c r="X58" s="484"/>
      <c r="Y58" s="484"/>
    </row>
    <row r="59">
      <c r="A59" s="19" t="s">
        <v>308</v>
      </c>
      <c r="B59" s="499" t="s">
        <v>188</v>
      </c>
      <c r="C59" s="484"/>
      <c r="D59" s="10" t="s">
        <v>1185</v>
      </c>
      <c r="E59" s="484"/>
      <c r="F59" s="484"/>
      <c r="G59" s="10" t="s">
        <v>37</v>
      </c>
      <c r="H59" s="499" t="s">
        <v>494</v>
      </c>
      <c r="I59" s="484"/>
      <c r="J59" s="484"/>
      <c r="K59" s="484"/>
      <c r="L59" s="200" t="s">
        <v>237</v>
      </c>
      <c r="M59" s="499" t="s">
        <v>314</v>
      </c>
      <c r="N59" s="524"/>
      <c r="O59" s="484"/>
      <c r="P59" s="499" t="str">
        <f>IFERROR(__xludf.DUMMYFUNCTION("""COMPUTED_VALUE"""),"hezekiah.rinn@multco.us")</f>
        <v>hezekiah.rinn@multco.us</v>
      </c>
      <c r="Q59" s="484"/>
      <c r="R59" s="484"/>
      <c r="S59" s="484"/>
      <c r="T59" s="484"/>
      <c r="U59" s="484"/>
      <c r="V59" s="484"/>
      <c r="W59" s="484"/>
      <c r="X59" s="484"/>
      <c r="Y59" s="484"/>
    </row>
    <row r="60">
      <c r="A60" s="88" t="s">
        <v>311</v>
      </c>
      <c r="B60" s="499" t="s">
        <v>407</v>
      </c>
      <c r="C60" s="484"/>
      <c r="D60" s="10" t="s">
        <v>284</v>
      </c>
      <c r="E60" s="484"/>
      <c r="F60" s="484"/>
      <c r="G60" s="10" t="s">
        <v>368</v>
      </c>
      <c r="H60" s="499" t="s">
        <v>500</v>
      </c>
      <c r="I60" s="484"/>
      <c r="J60" s="484"/>
      <c r="K60" s="484"/>
      <c r="L60" s="200" t="s">
        <v>240</v>
      </c>
      <c r="M60" s="499" t="s">
        <v>320</v>
      </c>
      <c r="N60" s="524"/>
      <c r="O60" s="484"/>
      <c r="P60" s="499" t="str">
        <f>IFERROR(__xludf.DUMMYFUNCTION("""COMPUTED_VALUE"""),"nickr@multco.us")</f>
        <v>nickr@multco.us</v>
      </c>
      <c r="Q60" s="484"/>
      <c r="R60" s="484"/>
      <c r="S60" s="484"/>
      <c r="T60" s="484"/>
      <c r="U60" s="484"/>
      <c r="V60" s="484"/>
      <c r="W60" s="484"/>
      <c r="X60" s="484"/>
      <c r="Y60" s="484"/>
    </row>
    <row r="61">
      <c r="A61" s="92" t="s">
        <v>314</v>
      </c>
      <c r="B61" s="499" t="s">
        <v>411</v>
      </c>
      <c r="C61" s="484"/>
      <c r="D61" s="10" t="s">
        <v>1253</v>
      </c>
      <c r="E61" s="484"/>
      <c r="F61" s="484"/>
      <c r="G61" s="19" t="s">
        <v>245</v>
      </c>
      <c r="H61" s="499" t="s">
        <v>512</v>
      </c>
      <c r="I61" s="484"/>
      <c r="J61" s="484"/>
      <c r="K61" s="484"/>
      <c r="L61" s="200" t="s">
        <v>243</v>
      </c>
      <c r="M61" s="499" t="s">
        <v>323</v>
      </c>
      <c r="N61" s="524"/>
      <c r="O61" s="484"/>
      <c r="P61" s="499" t="str">
        <f>IFERROR(__xludf.DUMMYFUNCTION("""COMPUTED_VALUE"""),"april.taylor@multco.us")</f>
        <v>april.taylor@multco.us</v>
      </c>
      <c r="Q61" s="484"/>
      <c r="R61" s="484"/>
      <c r="S61" s="484"/>
      <c r="T61" s="484"/>
      <c r="U61" s="484"/>
      <c r="V61" s="484"/>
      <c r="W61" s="484"/>
      <c r="X61" s="484"/>
      <c r="Y61" s="484"/>
    </row>
    <row r="62">
      <c r="A62" s="88" t="s">
        <v>311</v>
      </c>
      <c r="B62" s="499" t="s">
        <v>148</v>
      </c>
      <c r="C62" s="484"/>
      <c r="D62" s="10" t="s">
        <v>37</v>
      </c>
      <c r="E62" s="484"/>
      <c r="F62" s="484"/>
      <c r="G62" s="10" t="s">
        <v>325</v>
      </c>
      <c r="H62" s="499" t="s">
        <v>272</v>
      </c>
      <c r="I62" s="484"/>
      <c r="J62" s="484"/>
      <c r="K62" s="484"/>
      <c r="L62" s="200" t="s">
        <v>245</v>
      </c>
      <c r="M62" s="499" t="s">
        <v>325</v>
      </c>
      <c r="N62" s="524"/>
      <c r="O62" s="484"/>
      <c r="P62" s="499" t="str">
        <f>IFERROR(__xludf.DUMMYFUNCTION("""COMPUTED_VALUE"""),"anthony.jordan@multco.us")</f>
        <v>anthony.jordan@multco.us</v>
      </c>
      <c r="Q62" s="484"/>
      <c r="R62" s="484"/>
      <c r="S62" s="484"/>
      <c r="T62" s="484"/>
      <c r="U62" s="484"/>
      <c r="V62" s="484"/>
      <c r="W62" s="484"/>
      <c r="X62" s="484"/>
      <c r="Y62" s="484"/>
    </row>
    <row r="63">
      <c r="A63" s="10" t="s">
        <v>320</v>
      </c>
      <c r="B63" s="499" t="s">
        <v>416</v>
      </c>
      <c r="C63" s="484"/>
      <c r="D63" s="10" t="s">
        <v>938</v>
      </c>
      <c r="E63" s="484"/>
      <c r="F63" s="484"/>
      <c r="G63" s="19" t="s">
        <v>374</v>
      </c>
      <c r="H63" s="499" t="s">
        <v>522</v>
      </c>
      <c r="I63" s="484"/>
      <c r="J63" s="484"/>
      <c r="K63" s="484"/>
      <c r="L63" s="415" t="s">
        <v>120</v>
      </c>
      <c r="M63" s="499" t="s">
        <v>330</v>
      </c>
      <c r="N63" s="533"/>
      <c r="O63" s="484"/>
      <c r="P63" s="499" t="str">
        <f>IFERROR(__xludf.DUMMYFUNCTION("""COMPUTED_VALUE"""),"marrissa.gottlob@multco.us")</f>
        <v>marrissa.gottlob@multco.us</v>
      </c>
      <c r="Q63" s="484"/>
      <c r="R63" s="484"/>
      <c r="S63" s="484"/>
      <c r="T63" s="484"/>
      <c r="U63" s="484"/>
      <c r="V63" s="484"/>
      <c r="W63" s="484"/>
      <c r="X63" s="484"/>
      <c r="Y63" s="484"/>
    </row>
    <row r="64">
      <c r="A64" s="10" t="s">
        <v>325</v>
      </c>
      <c r="B64" s="499" t="s">
        <v>424</v>
      </c>
      <c r="C64" s="484"/>
      <c r="D64" s="10" t="s">
        <v>1406</v>
      </c>
      <c r="E64" s="484"/>
      <c r="F64" s="484"/>
      <c r="G64" s="19" t="s">
        <v>377</v>
      </c>
      <c r="H64" s="499" t="s">
        <v>108</v>
      </c>
      <c r="I64" s="484"/>
      <c r="J64" s="484"/>
      <c r="K64" s="484"/>
      <c r="L64" s="200" t="s">
        <v>247</v>
      </c>
      <c r="M64" s="499" t="s">
        <v>333</v>
      </c>
      <c r="N64" s="484"/>
      <c r="O64" s="484"/>
      <c r="P64" s="499" t="str">
        <f>IFERROR(__xludf.DUMMYFUNCTION("""COMPUTED_VALUE"""),"jessica.jacobsen@multco.us")</f>
        <v>jessica.jacobsen@multco.us</v>
      </c>
      <c r="Q64" s="484"/>
      <c r="R64" s="484"/>
      <c r="S64" s="484"/>
      <c r="T64" s="484"/>
      <c r="U64" s="484"/>
      <c r="V64" s="484"/>
      <c r="W64" s="484"/>
      <c r="X64" s="484"/>
      <c r="Y64" s="484"/>
    </row>
    <row r="65">
      <c r="A65" s="10" t="s">
        <v>50</v>
      </c>
      <c r="B65" s="499" t="s">
        <v>427</v>
      </c>
      <c r="C65" s="484"/>
      <c r="D65" s="10" t="s">
        <v>37</v>
      </c>
      <c r="E65" s="484"/>
      <c r="F65" s="484"/>
      <c r="G65" s="10" t="s">
        <v>382</v>
      </c>
      <c r="H65" s="499" t="s">
        <v>530</v>
      </c>
      <c r="I65" s="484"/>
      <c r="J65" s="484"/>
      <c r="K65" s="484"/>
      <c r="L65" s="200" t="s">
        <v>231</v>
      </c>
      <c r="M65" s="499" t="s">
        <v>347</v>
      </c>
      <c r="N65" s="484"/>
      <c r="O65" s="484"/>
      <c r="P65" s="499" t="str">
        <f>IFERROR(__xludf.DUMMYFUNCTION("""COMPUTED_VALUE"""),"susan.yoon@multco.us")</f>
        <v>susan.yoon@multco.us</v>
      </c>
      <c r="Q65" s="484"/>
      <c r="R65" s="484"/>
      <c r="S65" s="484"/>
      <c r="T65" s="484"/>
      <c r="U65" s="484"/>
      <c r="V65" s="484"/>
      <c r="W65" s="484"/>
      <c r="X65" s="484"/>
      <c r="Y65" s="484"/>
    </row>
    <row r="66">
      <c r="A66" s="10" t="s">
        <v>330</v>
      </c>
      <c r="B66" s="499" t="s">
        <v>431</v>
      </c>
      <c r="C66" s="484"/>
      <c r="D66" s="10" t="s">
        <v>123</v>
      </c>
      <c r="E66" s="484"/>
      <c r="F66" s="484"/>
      <c r="G66" s="10" t="s">
        <v>385</v>
      </c>
      <c r="H66" s="499" t="s">
        <v>123</v>
      </c>
      <c r="I66" s="484"/>
      <c r="J66" s="484"/>
      <c r="K66" s="484"/>
      <c r="L66" s="200" t="s">
        <v>251</v>
      </c>
      <c r="M66" s="499" t="s">
        <v>350</v>
      </c>
      <c r="N66" s="484"/>
      <c r="O66" s="484"/>
      <c r="P66" s="499" t="str">
        <f>IFERROR(__xludf.DUMMYFUNCTION("""COMPUTED_VALUE"""),"robert.lizardy@multco.us")</f>
        <v>robert.lizardy@multco.us</v>
      </c>
      <c r="Q66" s="484"/>
      <c r="R66" s="484"/>
      <c r="S66" s="484"/>
      <c r="T66" s="484"/>
      <c r="U66" s="484"/>
      <c r="V66" s="484"/>
      <c r="W66" s="484"/>
      <c r="X66" s="484"/>
      <c r="Y66" s="484"/>
    </row>
    <row r="67">
      <c r="A67" s="10" t="s">
        <v>333</v>
      </c>
      <c r="B67" s="499" t="s">
        <v>449</v>
      </c>
      <c r="C67" s="484"/>
      <c r="D67" s="10" t="s">
        <v>314</v>
      </c>
      <c r="E67" s="484"/>
      <c r="F67" s="484"/>
      <c r="G67" s="10" t="s">
        <v>155</v>
      </c>
      <c r="H67" s="499" t="s">
        <v>545</v>
      </c>
      <c r="I67" s="484"/>
      <c r="J67" s="484"/>
      <c r="K67" s="484"/>
      <c r="L67" s="200" t="s">
        <v>259</v>
      </c>
      <c r="M67" s="499" t="s">
        <v>357</v>
      </c>
      <c r="N67" s="484"/>
      <c r="O67" s="484"/>
      <c r="P67" s="499" t="str">
        <f>IFERROR(__xludf.DUMMYFUNCTION("""COMPUTED_VALUE"""),"sadie.campbell@multco.us")</f>
        <v>sadie.campbell@multco.us</v>
      </c>
      <c r="Q67" s="484"/>
      <c r="R67" s="484"/>
      <c r="S67" s="484"/>
      <c r="T67" s="484"/>
      <c r="U67" s="484"/>
      <c r="V67" s="484"/>
      <c r="W67" s="484"/>
      <c r="X67" s="484"/>
      <c r="Y67" s="484"/>
    </row>
    <row r="68">
      <c r="A68" s="10" t="s">
        <v>141</v>
      </c>
      <c r="B68" s="499" t="s">
        <v>461</v>
      </c>
      <c r="C68" s="484"/>
      <c r="D68" s="11" t="s">
        <v>137</v>
      </c>
      <c r="E68" s="484"/>
      <c r="F68" s="484"/>
      <c r="G68" s="10" t="s">
        <v>396</v>
      </c>
      <c r="H68" s="499" t="s">
        <v>188</v>
      </c>
      <c r="I68" s="484"/>
      <c r="J68" s="484"/>
      <c r="K68" s="484"/>
      <c r="L68" s="200" t="s">
        <v>264</v>
      </c>
      <c r="M68" s="499" t="s">
        <v>366</v>
      </c>
      <c r="N68" s="484"/>
      <c r="O68" s="484"/>
      <c r="P68" s="499" t="str">
        <f>IFERROR(__xludf.DUMMYFUNCTION("""COMPUTED_VALUE"""),"bill.osborne@multco.us")</f>
        <v>bill.osborne@multco.us</v>
      </c>
      <c r="Q68" s="484"/>
      <c r="R68" s="484"/>
      <c r="S68" s="484"/>
      <c r="T68" s="484"/>
      <c r="U68" s="484"/>
      <c r="V68" s="484"/>
      <c r="W68" s="484"/>
      <c r="X68" s="484"/>
      <c r="Y68" s="484"/>
    </row>
    <row r="69">
      <c r="A69" s="10" t="s">
        <v>141</v>
      </c>
      <c r="B69" s="499" t="s">
        <v>479</v>
      </c>
      <c r="C69" s="484"/>
      <c r="D69" s="226" t="s">
        <v>424</v>
      </c>
      <c r="E69" s="484"/>
      <c r="F69" s="484"/>
      <c r="G69" s="19" t="s">
        <v>368</v>
      </c>
      <c r="H69" s="499" t="s">
        <v>558</v>
      </c>
      <c r="I69" s="484"/>
      <c r="J69" s="484"/>
      <c r="K69" s="484"/>
      <c r="L69" s="200" t="s">
        <v>117</v>
      </c>
      <c r="M69" s="499" t="s">
        <v>368</v>
      </c>
      <c r="N69" s="484"/>
      <c r="O69" s="484"/>
      <c r="P69" s="499" t="str">
        <f>IFERROR(__xludf.DUMMYFUNCTION("""COMPUTED_VALUE"""),"ykirshia.davis@multco.us")</f>
        <v>ykirshia.davis@multco.us</v>
      </c>
      <c r="Q69" s="484"/>
      <c r="R69" s="484"/>
      <c r="S69" s="484"/>
      <c r="T69" s="484"/>
      <c r="U69" s="484"/>
      <c r="V69" s="484"/>
      <c r="W69" s="484"/>
      <c r="X69" s="484"/>
      <c r="Y69" s="484"/>
    </row>
    <row r="70">
      <c r="A70" s="19" t="s">
        <v>350</v>
      </c>
      <c r="B70" s="499" t="s">
        <v>482</v>
      </c>
      <c r="C70" s="484"/>
      <c r="D70" s="226" t="s">
        <v>37</v>
      </c>
      <c r="E70" s="484"/>
      <c r="F70" s="484"/>
      <c r="G70" s="10" t="s">
        <v>37</v>
      </c>
      <c r="H70" s="499" t="s">
        <v>561</v>
      </c>
      <c r="I70" s="484"/>
      <c r="J70" s="484"/>
      <c r="K70" s="484"/>
      <c r="L70" s="200" t="s">
        <v>148</v>
      </c>
      <c r="M70" s="499" t="s">
        <v>374</v>
      </c>
      <c r="N70" s="484"/>
      <c r="O70" s="484"/>
      <c r="P70" s="499" t="str">
        <f>IFERROR(__xludf.DUMMYFUNCTION("""COMPUTED_VALUE"""),"ramon.benton@multco.us")</f>
        <v>ramon.benton@multco.us</v>
      </c>
      <c r="Q70" s="484"/>
      <c r="R70" s="484"/>
      <c r="S70" s="484"/>
      <c r="T70" s="484"/>
      <c r="U70" s="484"/>
      <c r="V70" s="484"/>
      <c r="W70" s="484"/>
      <c r="X70" s="484"/>
      <c r="Y70" s="484"/>
    </row>
    <row r="71">
      <c r="A71" s="10" t="s">
        <v>123</v>
      </c>
      <c r="B71" s="499" t="s">
        <v>487</v>
      </c>
      <c r="C71" s="484"/>
      <c r="D71" s="226" t="s">
        <v>160</v>
      </c>
      <c r="E71" s="484"/>
      <c r="F71" s="484"/>
      <c r="G71" s="10" t="s">
        <v>407</v>
      </c>
      <c r="H71" s="499" t="s">
        <v>284</v>
      </c>
      <c r="I71" s="484"/>
      <c r="J71" s="484"/>
      <c r="K71" s="484"/>
      <c r="L71" s="200" t="s">
        <v>272</v>
      </c>
      <c r="M71" s="499" t="s">
        <v>377</v>
      </c>
      <c r="N71" s="484"/>
      <c r="O71" s="484"/>
      <c r="P71" s="499" t="str">
        <f>IFERROR(__xludf.DUMMYFUNCTION("""COMPUTED_VALUE"""),"christopher.jenkins@multco.us")</f>
        <v>christopher.jenkins@multco.us</v>
      </c>
      <c r="Q71" s="484"/>
      <c r="R71" s="484"/>
      <c r="S71" s="484"/>
      <c r="T71" s="484"/>
      <c r="U71" s="484"/>
      <c r="V71" s="484"/>
      <c r="W71" s="484"/>
      <c r="X71" s="484"/>
      <c r="Y71" s="484"/>
    </row>
    <row r="72">
      <c r="A72" s="19" t="s">
        <v>251</v>
      </c>
      <c r="B72" s="499" t="s">
        <v>490</v>
      </c>
      <c r="C72" s="484"/>
      <c r="D72" s="226" t="s">
        <v>117</v>
      </c>
      <c r="E72" s="484"/>
      <c r="F72" s="484"/>
      <c r="G72" s="19" t="s">
        <v>411</v>
      </c>
      <c r="H72" s="499" t="s">
        <v>569</v>
      </c>
      <c r="I72" s="484"/>
      <c r="J72" s="484"/>
      <c r="K72" s="484"/>
      <c r="L72" s="200" t="s">
        <v>264</v>
      </c>
      <c r="M72" s="499" t="s">
        <v>382</v>
      </c>
      <c r="N72" s="484"/>
      <c r="O72" s="484"/>
      <c r="P72" s="499" t="str">
        <f>IFERROR(__xludf.DUMMYFUNCTION("""COMPUTED_VALUE"""),"nancy.flores.peterson@multco.us")</f>
        <v>nancy.flores.peterson@multco.us</v>
      </c>
      <c r="Q72" s="484"/>
      <c r="R72" s="484"/>
      <c r="S72" s="484"/>
      <c r="T72" s="484"/>
      <c r="U72" s="484"/>
      <c r="V72" s="484"/>
      <c r="W72" s="484"/>
      <c r="X72" s="484"/>
      <c r="Y72" s="484"/>
    </row>
    <row r="73">
      <c r="A73" s="10" t="s">
        <v>153</v>
      </c>
      <c r="B73" s="499" t="s">
        <v>494</v>
      </c>
      <c r="C73" s="484"/>
      <c r="D73" s="226" t="s">
        <v>938</v>
      </c>
      <c r="E73" s="484"/>
      <c r="F73" s="484"/>
      <c r="G73" s="10" t="s">
        <v>148</v>
      </c>
      <c r="H73" s="499" t="s">
        <v>574</v>
      </c>
      <c r="I73" s="484"/>
      <c r="J73" s="484"/>
      <c r="K73" s="484"/>
      <c r="L73" s="414" t="s">
        <v>276</v>
      </c>
      <c r="M73" s="499" t="s">
        <v>385</v>
      </c>
      <c r="N73" s="484"/>
      <c r="O73" s="484"/>
      <c r="P73" s="499" t="str">
        <f>IFERROR(__xludf.DUMMYFUNCTION("""COMPUTED_VALUE"""),"teresa.becerra@multco.us")</f>
        <v>teresa.becerra@multco.us</v>
      </c>
      <c r="Q73" s="484"/>
      <c r="R73" s="484"/>
      <c r="S73" s="484"/>
      <c r="T73" s="484"/>
      <c r="U73" s="484"/>
      <c r="V73" s="484"/>
      <c r="W73" s="484"/>
      <c r="X73" s="484"/>
      <c r="Y73" s="484"/>
    </row>
    <row r="74">
      <c r="A74" s="10" t="s">
        <v>37</v>
      </c>
      <c r="B74" s="499" t="s">
        <v>500</v>
      </c>
      <c r="C74" s="484"/>
      <c r="D74" s="226" t="s">
        <v>117</v>
      </c>
      <c r="E74" s="484"/>
      <c r="F74" s="484"/>
      <c r="G74" s="10" t="s">
        <v>427</v>
      </c>
      <c r="H74" s="499" t="s">
        <v>577</v>
      </c>
      <c r="I74" s="484"/>
      <c r="J74" s="484"/>
      <c r="K74" s="484"/>
      <c r="L74" s="200" t="s">
        <v>280</v>
      </c>
      <c r="M74" s="499" t="s">
        <v>396</v>
      </c>
      <c r="N74" s="484"/>
      <c r="O74" s="484"/>
      <c r="P74" s="499" t="str">
        <f>IFERROR(__xludf.DUMMYFUNCTION("""COMPUTED_VALUE"""),"saray.brito.santa.fe@multco.us")</f>
        <v>saray.brito.santa.fe@multco.us</v>
      </c>
      <c r="Q74" s="484"/>
      <c r="R74" s="484"/>
      <c r="S74" s="484"/>
      <c r="T74" s="484"/>
      <c r="U74" s="484"/>
      <c r="V74" s="484"/>
      <c r="W74" s="484"/>
      <c r="X74" s="484"/>
      <c r="Y74" s="484"/>
    </row>
    <row r="75">
      <c r="A75" s="10" t="s">
        <v>314</v>
      </c>
      <c r="B75" s="499" t="s">
        <v>512</v>
      </c>
      <c r="C75" s="484"/>
      <c r="D75" s="226" t="s">
        <v>85</v>
      </c>
      <c r="E75" s="484"/>
      <c r="F75" s="484"/>
      <c r="G75" s="10" t="s">
        <v>449</v>
      </c>
      <c r="H75" s="499" t="s">
        <v>2934</v>
      </c>
      <c r="I75" s="484"/>
      <c r="J75" s="484"/>
      <c r="K75" s="484"/>
      <c r="L75" s="200" t="s">
        <v>64</v>
      </c>
      <c r="M75" s="499" t="s">
        <v>407</v>
      </c>
      <c r="N75" s="484"/>
      <c r="O75" s="484"/>
      <c r="P75" s="499" t="str">
        <f>IFERROR(__xludf.DUMMYFUNCTION("""COMPUTED_VALUE"""),"zahra.abukar2@multco.us")</f>
        <v>zahra.abukar2@multco.us</v>
      </c>
      <c r="Q75" s="484"/>
      <c r="R75" s="484"/>
      <c r="S75" s="484"/>
      <c r="T75" s="484"/>
      <c r="U75" s="484"/>
      <c r="V75" s="484"/>
      <c r="W75" s="484"/>
      <c r="X75" s="484"/>
      <c r="Y75" s="484"/>
    </row>
    <row r="76">
      <c r="A76" s="10" t="s">
        <v>314</v>
      </c>
      <c r="B76" s="499" t="s">
        <v>522</v>
      </c>
      <c r="C76" s="484"/>
      <c r="D76" s="226" t="s">
        <v>98</v>
      </c>
      <c r="E76" s="484"/>
      <c r="F76" s="484"/>
      <c r="G76" s="10" t="s">
        <v>416</v>
      </c>
      <c r="H76" s="499" t="s">
        <v>586</v>
      </c>
      <c r="I76" s="484"/>
      <c r="J76" s="484"/>
      <c r="K76" s="484"/>
      <c r="L76" s="414" t="s">
        <v>293</v>
      </c>
      <c r="M76" s="499" t="s">
        <v>411</v>
      </c>
      <c r="N76" s="484"/>
      <c r="O76" s="484"/>
      <c r="P76" s="499" t="str">
        <f>IFERROR(__xludf.DUMMYFUNCTION("""COMPUTED_VALUE"""),"antonio.centurion@multco.us")</f>
        <v>antonio.centurion@multco.us</v>
      </c>
      <c r="Q76" s="484"/>
      <c r="R76" s="484"/>
      <c r="S76" s="484"/>
      <c r="T76" s="484"/>
      <c r="U76" s="484"/>
      <c r="V76" s="484"/>
      <c r="W76" s="484"/>
      <c r="X76" s="484"/>
      <c r="Y76" s="484"/>
    </row>
    <row r="77">
      <c r="A77" s="10" t="s">
        <v>368</v>
      </c>
      <c r="B77" s="499" t="s">
        <v>108</v>
      </c>
      <c r="C77" s="484"/>
      <c r="D77" s="226" t="s">
        <v>1725</v>
      </c>
      <c r="E77" s="484"/>
      <c r="F77" s="484"/>
      <c r="G77" s="10" t="s">
        <v>461</v>
      </c>
      <c r="H77" s="499" t="s">
        <v>589</v>
      </c>
      <c r="I77" s="484"/>
      <c r="J77" s="484"/>
      <c r="K77" s="484"/>
      <c r="L77" s="414" t="s">
        <v>168</v>
      </c>
      <c r="M77" s="499" t="s">
        <v>414</v>
      </c>
      <c r="N77" s="484"/>
      <c r="O77" s="484"/>
      <c r="P77" s="499" t="str">
        <f>IFERROR(__xludf.DUMMYFUNCTION("""COMPUTED_VALUE"""),"ayla.terry-mitchell@multco.us")</f>
        <v>ayla.terry-mitchell@multco.us</v>
      </c>
      <c r="Q77" s="484"/>
      <c r="R77" s="484"/>
      <c r="S77" s="484"/>
      <c r="T77" s="484"/>
      <c r="U77" s="484"/>
      <c r="V77" s="484"/>
      <c r="W77" s="484"/>
      <c r="X77" s="484"/>
      <c r="Y77" s="484"/>
    </row>
    <row r="78">
      <c r="A78" s="19" t="s">
        <v>245</v>
      </c>
      <c r="B78" s="499" t="s">
        <v>530</v>
      </c>
      <c r="C78" s="484"/>
      <c r="D78" s="226" t="s">
        <v>1725</v>
      </c>
      <c r="E78" s="484"/>
      <c r="F78" s="484"/>
      <c r="G78" s="10" t="s">
        <v>382</v>
      </c>
      <c r="H78" s="499" t="s">
        <v>600</v>
      </c>
      <c r="I78" s="484"/>
      <c r="J78" s="484"/>
      <c r="K78" s="484"/>
      <c r="L78" s="200" t="s">
        <v>168</v>
      </c>
      <c r="M78" s="499" t="s">
        <v>416</v>
      </c>
      <c r="N78" s="484"/>
      <c r="O78" s="484"/>
      <c r="P78" s="499" t="str">
        <f>IFERROR(__xludf.DUMMYFUNCTION("""COMPUTED_VALUE"""),"eloise.holdship@multco.us")</f>
        <v>eloise.holdship@multco.us</v>
      </c>
      <c r="Q78" s="484"/>
      <c r="R78" s="484"/>
      <c r="S78" s="484"/>
      <c r="T78" s="484"/>
      <c r="U78" s="484"/>
      <c r="V78" s="484"/>
      <c r="W78" s="484"/>
      <c r="X78" s="484"/>
      <c r="Y78" s="484"/>
    </row>
    <row r="79">
      <c r="A79" s="10" t="s">
        <v>325</v>
      </c>
      <c r="B79" s="499" t="s">
        <v>541</v>
      </c>
      <c r="C79" s="484"/>
      <c r="D79" s="226" t="s">
        <v>1751</v>
      </c>
      <c r="E79" s="484"/>
      <c r="F79" s="484"/>
      <c r="G79" s="10" t="s">
        <v>85</v>
      </c>
      <c r="H79" s="499" t="s">
        <v>604</v>
      </c>
      <c r="I79" s="484"/>
      <c r="J79" s="484"/>
      <c r="K79" s="484"/>
      <c r="L79" s="200" t="s">
        <v>168</v>
      </c>
      <c r="M79" s="499" t="s">
        <v>424</v>
      </c>
      <c r="N79" s="484"/>
      <c r="O79" s="484"/>
      <c r="P79" s="499" t="str">
        <f>IFERROR(__xludf.DUMMYFUNCTION("""COMPUTED_VALUE"""),"linda.santos-martinez@multco.us")</f>
        <v>linda.santos-martinez@multco.us</v>
      </c>
      <c r="Q79" s="484"/>
      <c r="R79" s="484"/>
      <c r="S79" s="484"/>
      <c r="T79" s="484"/>
      <c r="U79" s="484"/>
      <c r="V79" s="484"/>
      <c r="W79" s="484"/>
      <c r="X79" s="484"/>
      <c r="Y79" s="484"/>
    </row>
    <row r="80">
      <c r="A80" s="19" t="s">
        <v>374</v>
      </c>
      <c r="B80" s="499" t="s">
        <v>545</v>
      </c>
      <c r="C80" s="484"/>
      <c r="D80" s="226" t="s">
        <v>234</v>
      </c>
      <c r="E80" s="484"/>
      <c r="F80" s="484"/>
      <c r="G80" s="10" t="s">
        <v>85</v>
      </c>
      <c r="H80" s="499" t="s">
        <v>616</v>
      </c>
      <c r="I80" s="484"/>
      <c r="J80" s="484"/>
      <c r="K80" s="484"/>
      <c r="L80" s="200" t="s">
        <v>305</v>
      </c>
      <c r="M80" s="499" t="s">
        <v>427</v>
      </c>
      <c r="N80" s="484"/>
      <c r="O80" s="484"/>
      <c r="P80" s="499" t="str">
        <f>IFERROR(__xludf.DUMMYFUNCTION("""COMPUTED_VALUE"""),"andrea.casey@multco.us")</f>
        <v>andrea.casey@multco.us</v>
      </c>
      <c r="Q80" s="484"/>
      <c r="R80" s="484"/>
      <c r="S80" s="484"/>
      <c r="T80" s="484"/>
      <c r="U80" s="484"/>
      <c r="V80" s="484"/>
      <c r="W80" s="484"/>
      <c r="X80" s="484"/>
      <c r="Y80" s="484"/>
    </row>
    <row r="81">
      <c r="A81" s="19" t="s">
        <v>377</v>
      </c>
      <c r="B81" s="499" t="s">
        <v>558</v>
      </c>
      <c r="C81" s="484"/>
      <c r="D81" s="226" t="s">
        <v>1318</v>
      </c>
      <c r="E81" s="484"/>
      <c r="F81" s="484"/>
      <c r="G81" s="10" t="s">
        <v>479</v>
      </c>
      <c r="H81" s="499" t="s">
        <v>620</v>
      </c>
      <c r="I81" s="484"/>
      <c r="J81" s="484"/>
      <c r="K81" s="484"/>
      <c r="L81" s="414" t="s">
        <v>308</v>
      </c>
      <c r="M81" s="499" t="s">
        <v>431</v>
      </c>
      <c r="N81" s="484"/>
      <c r="O81" s="484"/>
      <c r="P81" s="499" t="str">
        <f>IFERROR(__xludf.DUMMYFUNCTION("""COMPUTED_VALUE"""),"christine.arrington@multco.us")</f>
        <v>christine.arrington@multco.us</v>
      </c>
      <c r="Q81" s="484"/>
      <c r="R81" s="484"/>
      <c r="S81" s="484"/>
      <c r="T81" s="484"/>
      <c r="U81" s="484"/>
      <c r="V81" s="484"/>
      <c r="W81" s="484"/>
      <c r="X81" s="484"/>
      <c r="Y81" s="484"/>
    </row>
    <row r="82">
      <c r="A82" s="10" t="s">
        <v>382</v>
      </c>
      <c r="B82" s="499" t="s">
        <v>561</v>
      </c>
      <c r="C82" s="484"/>
      <c r="D82" s="226" t="s">
        <v>234</v>
      </c>
      <c r="E82" s="484"/>
      <c r="F82" s="484"/>
      <c r="G82" s="10" t="s">
        <v>482</v>
      </c>
      <c r="H82" s="499" t="s">
        <v>636</v>
      </c>
      <c r="I82" s="484"/>
      <c r="J82" s="484"/>
      <c r="K82" s="484"/>
      <c r="L82" s="200" t="s">
        <v>311</v>
      </c>
      <c r="M82" s="499" t="s">
        <v>436</v>
      </c>
      <c r="N82" s="484"/>
      <c r="O82" s="484"/>
      <c r="P82" s="499" t="str">
        <f>IFERROR(__xludf.DUMMYFUNCTION("""COMPUTED_VALUE"""),"kelly.fitzpatrick@multco.us")</f>
        <v>kelly.fitzpatrick@multco.us</v>
      </c>
      <c r="Q82" s="484"/>
      <c r="R82" s="484"/>
      <c r="S82" s="484"/>
      <c r="T82" s="484"/>
      <c r="U82" s="484"/>
      <c r="V82" s="484"/>
      <c r="W82" s="484"/>
      <c r="X82" s="484"/>
      <c r="Y82" s="484"/>
    </row>
    <row r="83">
      <c r="A83" s="10" t="s">
        <v>385</v>
      </c>
      <c r="B83" s="499" t="s">
        <v>284</v>
      </c>
      <c r="C83" s="484"/>
      <c r="D83" s="226" t="s">
        <v>431</v>
      </c>
      <c r="E83" s="484"/>
      <c r="F83" s="484"/>
      <c r="G83" s="10" t="s">
        <v>487</v>
      </c>
      <c r="H83" s="499" t="s">
        <v>650</v>
      </c>
      <c r="I83" s="484"/>
      <c r="J83" s="484"/>
      <c r="K83" s="484"/>
      <c r="L83" s="414" t="s">
        <v>314</v>
      </c>
      <c r="M83" s="499" t="s">
        <v>201</v>
      </c>
      <c r="N83" s="484"/>
      <c r="O83" s="484"/>
      <c r="P83" s="499" t="str">
        <f>IFERROR(__xludf.DUMMYFUNCTION("""COMPUTED_VALUE"""),"raina.bliven@multco.us")</f>
        <v>raina.bliven@multco.us</v>
      </c>
      <c r="Q83" s="484"/>
      <c r="R83" s="484"/>
      <c r="S83" s="484"/>
      <c r="T83" s="484"/>
      <c r="U83" s="484"/>
      <c r="V83" s="484"/>
      <c r="W83" s="484"/>
      <c r="X83" s="484"/>
      <c r="Y83" s="484"/>
    </row>
    <row r="84">
      <c r="A84" s="10" t="s">
        <v>160</v>
      </c>
      <c r="B84" s="499" t="s">
        <v>569</v>
      </c>
      <c r="C84" s="484"/>
      <c r="D84" s="226" t="s">
        <v>314</v>
      </c>
      <c r="E84" s="484"/>
      <c r="F84" s="484"/>
      <c r="G84" s="10" t="s">
        <v>490</v>
      </c>
      <c r="H84" s="499" t="s">
        <v>653</v>
      </c>
      <c r="I84" s="484"/>
      <c r="J84" s="484"/>
      <c r="K84" s="484"/>
      <c r="L84" s="200" t="s">
        <v>311</v>
      </c>
      <c r="M84" s="499" t="s">
        <v>445</v>
      </c>
      <c r="N84" s="484"/>
      <c r="O84" s="484"/>
      <c r="P84" s="499" t="str">
        <f>IFERROR(__xludf.DUMMYFUNCTION("""COMPUTED_VALUE"""),"galen.cohen@multco.us")</f>
        <v>galen.cohen@multco.us</v>
      </c>
      <c r="Q84" s="484"/>
      <c r="R84" s="484"/>
      <c r="S84" s="484"/>
      <c r="T84" s="484"/>
      <c r="U84" s="484"/>
      <c r="V84" s="484"/>
      <c r="W84" s="484"/>
      <c r="X84" s="484"/>
      <c r="Y84" s="484"/>
    </row>
    <row r="85">
      <c r="A85" s="10" t="s">
        <v>155</v>
      </c>
      <c r="B85" s="499" t="s">
        <v>574</v>
      </c>
      <c r="C85" s="484"/>
      <c r="D85" s="226" t="s">
        <v>1025</v>
      </c>
      <c r="E85" s="484"/>
      <c r="F85" s="484"/>
      <c r="G85" s="10" t="s">
        <v>494</v>
      </c>
      <c r="H85" s="499" t="s">
        <v>666</v>
      </c>
      <c r="I85" s="484"/>
      <c r="J85" s="484"/>
      <c r="K85" s="484"/>
      <c r="L85" s="419" t="s">
        <v>193</v>
      </c>
      <c r="M85" s="499" t="s">
        <v>449</v>
      </c>
      <c r="N85" s="484"/>
      <c r="O85" s="484"/>
      <c r="P85" s="499" t="str">
        <f>IFERROR(__xludf.DUMMYFUNCTION("""COMPUTED_VALUE"""),"miles.richmond@multco.us")</f>
        <v>miles.richmond@multco.us</v>
      </c>
      <c r="Q85" s="484"/>
      <c r="R85" s="484"/>
      <c r="S85" s="484"/>
      <c r="T85" s="484"/>
      <c r="U85" s="484"/>
      <c r="V85" s="484"/>
      <c r="W85" s="484"/>
      <c r="X85" s="484"/>
      <c r="Y85" s="484"/>
    </row>
    <row r="86">
      <c r="A86" s="10" t="s">
        <v>396</v>
      </c>
      <c r="B86" s="499" t="s">
        <v>577</v>
      </c>
      <c r="C86" s="484"/>
      <c r="D86" s="226" t="s">
        <v>231</v>
      </c>
      <c r="E86" s="484"/>
      <c r="F86" s="484"/>
      <c r="G86" s="10" t="s">
        <v>85</v>
      </c>
      <c r="H86" s="499" t="s">
        <v>673</v>
      </c>
      <c r="I86" s="484"/>
      <c r="J86" s="484"/>
      <c r="K86" s="484"/>
      <c r="L86" s="200" t="s">
        <v>320</v>
      </c>
      <c r="M86" s="499" t="s">
        <v>459</v>
      </c>
      <c r="N86" s="484"/>
      <c r="O86" s="484"/>
      <c r="P86" s="499" t="str">
        <f>IFERROR(__xludf.DUMMYFUNCTION("""COMPUTED_VALUE"""),"leticia.ochoa@multco.us")</f>
        <v>leticia.ochoa@multco.us</v>
      </c>
      <c r="Q86" s="484"/>
      <c r="R86" s="484"/>
      <c r="S86" s="484"/>
      <c r="T86" s="484"/>
      <c r="U86" s="484"/>
      <c r="V86" s="484"/>
      <c r="W86" s="484"/>
      <c r="X86" s="484"/>
      <c r="Y86" s="484"/>
    </row>
    <row r="87">
      <c r="A87" s="19" t="s">
        <v>368</v>
      </c>
      <c r="B87" s="499" t="s">
        <v>2934</v>
      </c>
      <c r="C87" s="484"/>
      <c r="D87" s="226" t="s">
        <v>424</v>
      </c>
      <c r="E87" s="484"/>
      <c r="F87" s="484"/>
      <c r="G87" s="10" t="s">
        <v>500</v>
      </c>
      <c r="H87" s="499" t="s">
        <v>675</v>
      </c>
      <c r="I87" s="484"/>
      <c r="J87" s="484"/>
      <c r="K87" s="484"/>
      <c r="L87" s="415" t="s">
        <v>323</v>
      </c>
      <c r="M87" s="499" t="s">
        <v>461</v>
      </c>
      <c r="N87" s="484"/>
      <c r="O87" s="484"/>
      <c r="P87" s="499" t="str">
        <f>IFERROR(__xludf.DUMMYFUNCTION("""COMPUTED_VALUE"""),"heather.christiansen@multco.us")</f>
        <v>heather.christiansen@multco.us</v>
      </c>
      <c r="Q87" s="484"/>
      <c r="R87" s="484"/>
      <c r="S87" s="484"/>
      <c r="T87" s="484"/>
      <c r="U87" s="484"/>
      <c r="V87" s="484"/>
      <c r="W87" s="484"/>
      <c r="X87" s="484"/>
      <c r="Y87" s="484"/>
    </row>
    <row r="88">
      <c r="A88" s="10" t="s">
        <v>188</v>
      </c>
      <c r="B88" s="499" t="s">
        <v>586</v>
      </c>
      <c r="C88" s="484"/>
      <c r="D88" s="226" t="s">
        <v>188</v>
      </c>
      <c r="E88" s="484"/>
      <c r="F88" s="484"/>
      <c r="G88" s="10" t="s">
        <v>500</v>
      </c>
      <c r="H88" s="499" t="s">
        <v>685</v>
      </c>
      <c r="I88" s="484"/>
      <c r="J88" s="484"/>
      <c r="K88" s="484"/>
      <c r="L88" s="200" t="s">
        <v>325</v>
      </c>
      <c r="M88" s="499" t="s">
        <v>479</v>
      </c>
      <c r="N88" s="484"/>
      <c r="O88" s="484"/>
      <c r="P88" s="499" t="str">
        <f>IFERROR(__xludf.DUMMYFUNCTION("""COMPUTED_VALUE"""),"savannah.paz@multco.us")</f>
        <v>savannah.paz@multco.us</v>
      </c>
      <c r="Q88" s="484"/>
      <c r="R88" s="484"/>
      <c r="S88" s="484"/>
      <c r="T88" s="484"/>
      <c r="U88" s="484"/>
      <c r="V88" s="484"/>
      <c r="W88" s="484"/>
      <c r="X88" s="484"/>
      <c r="Y88" s="484"/>
    </row>
    <row r="89">
      <c r="A89" s="10" t="s">
        <v>37</v>
      </c>
      <c r="B89" s="499" t="s">
        <v>589</v>
      </c>
      <c r="C89" s="484"/>
      <c r="D89" s="226" t="s">
        <v>516</v>
      </c>
      <c r="E89" s="484"/>
      <c r="F89" s="484"/>
      <c r="G89" s="10" t="s">
        <v>482</v>
      </c>
      <c r="H89" s="499" t="s">
        <v>694</v>
      </c>
      <c r="I89" s="484"/>
      <c r="J89" s="484"/>
      <c r="K89" s="484"/>
      <c r="L89" s="200" t="s">
        <v>50</v>
      </c>
      <c r="M89" s="499" t="s">
        <v>482</v>
      </c>
      <c r="N89" s="484"/>
      <c r="O89" s="484"/>
      <c r="P89" s="499" t="str">
        <f>IFERROR(__xludf.DUMMYFUNCTION("""COMPUTED_VALUE"""),"kate.thomas@multco.us")</f>
        <v>kate.thomas@multco.us</v>
      </c>
      <c r="Q89" s="484"/>
      <c r="R89" s="484"/>
      <c r="S89" s="484"/>
      <c r="T89" s="484"/>
      <c r="U89" s="484"/>
      <c r="V89" s="484"/>
      <c r="W89" s="484"/>
      <c r="X89" s="484"/>
      <c r="Y89" s="484"/>
    </row>
    <row r="90">
      <c r="A90" s="10" t="s">
        <v>407</v>
      </c>
      <c r="B90" s="499" t="s">
        <v>595</v>
      </c>
      <c r="C90" s="484"/>
      <c r="D90" s="226" t="s">
        <v>123</v>
      </c>
      <c r="E90" s="484"/>
      <c r="F90" s="484"/>
      <c r="G90" s="10" t="s">
        <v>512</v>
      </c>
      <c r="H90" s="499" t="s">
        <v>697</v>
      </c>
      <c r="I90" s="484"/>
      <c r="J90" s="484"/>
      <c r="K90" s="484"/>
      <c r="L90" s="200" t="s">
        <v>330</v>
      </c>
      <c r="M90" s="499" t="s">
        <v>487</v>
      </c>
      <c r="N90" s="484"/>
      <c r="O90" s="484"/>
      <c r="P90" s="499" t="str">
        <f>IFERROR(__xludf.DUMMYFUNCTION("""COMPUTED_VALUE"""),"jonathan.hankins@multco.us")</f>
        <v>jonathan.hankins@multco.us</v>
      </c>
      <c r="Q90" s="484"/>
      <c r="R90" s="484"/>
      <c r="S90" s="484"/>
      <c r="T90" s="484"/>
      <c r="U90" s="484"/>
      <c r="V90" s="484"/>
      <c r="W90" s="484"/>
      <c r="X90" s="484"/>
      <c r="Y90" s="484"/>
    </row>
    <row r="91">
      <c r="A91" s="19" t="s">
        <v>411</v>
      </c>
      <c r="B91" s="499" t="s">
        <v>600</v>
      </c>
      <c r="C91" s="484"/>
      <c r="D91" s="226" t="s">
        <v>130</v>
      </c>
      <c r="E91" s="484"/>
      <c r="F91" s="484"/>
      <c r="G91" s="10" t="s">
        <v>272</v>
      </c>
      <c r="H91" s="499" t="s">
        <v>699</v>
      </c>
      <c r="I91" s="484"/>
      <c r="J91" s="484"/>
      <c r="K91" s="484"/>
      <c r="L91" s="200" t="s">
        <v>333</v>
      </c>
      <c r="M91" s="499" t="s">
        <v>490</v>
      </c>
      <c r="N91" s="484"/>
      <c r="O91" s="484"/>
      <c r="P91" s="499" t="str">
        <f>IFERROR(__xludf.DUMMYFUNCTION("""COMPUTED_VALUE"""),"scott.williams@multco.us")</f>
        <v>scott.williams@multco.us</v>
      </c>
      <c r="Q91" s="484"/>
      <c r="R91" s="484"/>
      <c r="S91" s="484"/>
      <c r="T91" s="484"/>
      <c r="U91" s="484"/>
      <c r="V91" s="484"/>
      <c r="W91" s="484"/>
      <c r="X91" s="484"/>
      <c r="Y91" s="484"/>
    </row>
    <row r="92">
      <c r="A92" s="10" t="s">
        <v>148</v>
      </c>
      <c r="B92" s="499" t="s">
        <v>604</v>
      </c>
      <c r="C92" s="484"/>
      <c r="D92" s="226" t="s">
        <v>272</v>
      </c>
      <c r="E92" s="484"/>
      <c r="F92" s="484"/>
      <c r="G92" s="10" t="s">
        <v>522</v>
      </c>
      <c r="H92" s="499" t="s">
        <v>703</v>
      </c>
      <c r="I92" s="484"/>
      <c r="J92" s="484"/>
      <c r="K92" s="484"/>
      <c r="L92" s="415" t="s">
        <v>123</v>
      </c>
      <c r="M92" s="499" t="s">
        <v>494</v>
      </c>
      <c r="N92" s="484"/>
      <c r="O92" s="484"/>
      <c r="P92" s="499" t="str">
        <f>IFERROR(__xludf.DUMMYFUNCTION("""COMPUTED_VALUE"""),"rocio.handal-rodriguez@multco.us")</f>
        <v>rocio.handal-rodriguez@multco.us</v>
      </c>
      <c r="Q92" s="484"/>
      <c r="R92" s="484"/>
      <c r="S92" s="484"/>
      <c r="T92" s="484"/>
      <c r="U92" s="484"/>
      <c r="V92" s="484"/>
      <c r="W92" s="484"/>
      <c r="X92" s="484"/>
      <c r="Y92" s="484"/>
    </row>
    <row r="93">
      <c r="A93" s="10" t="s">
        <v>416</v>
      </c>
      <c r="B93" s="499" t="s">
        <v>616</v>
      </c>
      <c r="C93" s="484"/>
      <c r="D93" s="226" t="s">
        <v>431</v>
      </c>
      <c r="E93" s="484"/>
      <c r="F93" s="484"/>
      <c r="G93" s="10" t="s">
        <v>108</v>
      </c>
      <c r="H93" s="499" t="s">
        <v>706</v>
      </c>
      <c r="I93" s="484"/>
      <c r="J93" s="484"/>
      <c r="K93" s="484"/>
      <c r="L93" s="415" t="s">
        <v>64</v>
      </c>
      <c r="M93" s="499" t="s">
        <v>500</v>
      </c>
      <c r="N93" s="484"/>
      <c r="O93" s="484"/>
      <c r="P93" s="499" t="str">
        <f>IFERROR(__xludf.DUMMYFUNCTION("""COMPUTED_VALUE"""),"megan.chapman@multco.us")</f>
        <v>megan.chapman@multco.us</v>
      </c>
      <c r="Q93" s="484"/>
      <c r="R93" s="484"/>
      <c r="S93" s="484"/>
      <c r="T93" s="484"/>
      <c r="U93" s="484"/>
      <c r="V93" s="484"/>
      <c r="W93" s="484"/>
      <c r="X93" s="484"/>
      <c r="Y93" s="484"/>
    </row>
    <row r="94">
      <c r="A94" s="10" t="s">
        <v>424</v>
      </c>
      <c r="B94" s="499" t="s">
        <v>620</v>
      </c>
      <c r="C94" s="484"/>
      <c r="D94" s="226" t="s">
        <v>130</v>
      </c>
      <c r="E94" s="484"/>
      <c r="F94" s="484"/>
      <c r="G94" s="10" t="s">
        <v>530</v>
      </c>
      <c r="H94" s="499" t="s">
        <v>707</v>
      </c>
      <c r="I94" s="484"/>
      <c r="J94" s="484"/>
      <c r="K94" s="484"/>
      <c r="L94" s="200" t="s">
        <v>141</v>
      </c>
      <c r="M94" s="499" t="s">
        <v>512</v>
      </c>
      <c r="N94" s="484"/>
      <c r="O94" s="484"/>
      <c r="P94" s="499" t="str">
        <f>IFERROR(__xludf.DUMMYFUNCTION("""COMPUTED_VALUE"""),"jason.wyman@multco.us")</f>
        <v>jason.wyman@multco.us</v>
      </c>
      <c r="Q94" s="484"/>
      <c r="R94" s="484"/>
      <c r="S94" s="484"/>
      <c r="T94" s="484"/>
      <c r="U94" s="484"/>
      <c r="V94" s="484"/>
      <c r="W94" s="484"/>
      <c r="X94" s="484"/>
      <c r="Y94" s="484"/>
    </row>
    <row r="95">
      <c r="A95" s="10" t="s">
        <v>427</v>
      </c>
      <c r="B95" s="499" t="s">
        <v>624</v>
      </c>
      <c r="C95" s="484"/>
      <c r="D95" s="226" t="s">
        <v>130</v>
      </c>
      <c r="E95" s="484"/>
      <c r="F95" s="484"/>
      <c r="G95" s="10" t="s">
        <v>123</v>
      </c>
      <c r="H95" s="499" t="s">
        <v>710</v>
      </c>
      <c r="I95" s="484"/>
      <c r="J95" s="484"/>
      <c r="K95" s="484"/>
      <c r="L95" s="200" t="s">
        <v>141</v>
      </c>
      <c r="M95" s="499" t="s">
        <v>516</v>
      </c>
      <c r="N95" s="484"/>
      <c r="O95" s="484"/>
      <c r="P95" s="499" t="str">
        <f>IFERROR(__xludf.DUMMYFUNCTION("""COMPUTED_VALUE"""),"lisa.bridgewater@multco.us")</f>
        <v>lisa.bridgewater@multco.us</v>
      </c>
      <c r="Q95" s="484"/>
      <c r="R95" s="484"/>
      <c r="S95" s="484"/>
      <c r="T95" s="484"/>
      <c r="U95" s="484"/>
      <c r="V95" s="484"/>
      <c r="W95" s="484"/>
      <c r="X95" s="484"/>
      <c r="Y95" s="484"/>
    </row>
    <row r="96">
      <c r="A96" s="10" t="s">
        <v>431</v>
      </c>
      <c r="B96" s="499" t="s">
        <v>636</v>
      </c>
      <c r="C96" s="484"/>
      <c r="D96" s="226" t="s">
        <v>1706</v>
      </c>
      <c r="E96" s="484"/>
      <c r="F96" s="484"/>
      <c r="G96" s="10" t="s">
        <v>545</v>
      </c>
      <c r="H96" s="499" t="s">
        <v>725</v>
      </c>
      <c r="I96" s="484"/>
      <c r="J96" s="484"/>
      <c r="K96" s="484"/>
      <c r="L96" s="200" t="s">
        <v>141</v>
      </c>
      <c r="M96" s="499" t="s">
        <v>522</v>
      </c>
      <c r="N96" s="484"/>
      <c r="O96" s="484"/>
      <c r="P96" s="499" t="str">
        <f>IFERROR(__xludf.DUMMYFUNCTION("""COMPUTED_VALUE"""),"alan.splitter@multco.us")</f>
        <v>alan.splitter@multco.us</v>
      </c>
      <c r="Q96" s="484"/>
      <c r="R96" s="484"/>
      <c r="S96" s="484"/>
      <c r="T96" s="484"/>
      <c r="U96" s="484"/>
      <c r="V96" s="484"/>
      <c r="W96" s="484"/>
      <c r="X96" s="484"/>
      <c r="Y96" s="484"/>
    </row>
    <row r="97">
      <c r="A97" s="10" t="s">
        <v>449</v>
      </c>
      <c r="B97" s="499" t="s">
        <v>639</v>
      </c>
      <c r="C97" s="484"/>
      <c r="D97" s="226" t="s">
        <v>2239</v>
      </c>
      <c r="E97" s="484"/>
      <c r="F97" s="484"/>
      <c r="G97" s="10" t="s">
        <v>188</v>
      </c>
      <c r="H97" s="499" t="s">
        <v>728</v>
      </c>
      <c r="I97" s="484"/>
      <c r="J97" s="484"/>
      <c r="K97" s="484"/>
      <c r="L97" s="200" t="s">
        <v>37</v>
      </c>
      <c r="M97" s="499" t="s">
        <v>530</v>
      </c>
      <c r="N97" s="484"/>
      <c r="O97" s="484"/>
      <c r="P97" s="499" t="str">
        <f>IFERROR(__xludf.DUMMYFUNCTION("""COMPUTED_VALUE"""),"kathy.mccarter@multco.us")</f>
        <v>kathy.mccarter@multco.us</v>
      </c>
      <c r="Q97" s="484"/>
      <c r="R97" s="484"/>
      <c r="S97" s="484"/>
      <c r="T97" s="484"/>
      <c r="U97" s="484"/>
      <c r="V97" s="484"/>
      <c r="W97" s="484"/>
      <c r="X97" s="484"/>
      <c r="Y97" s="484"/>
    </row>
    <row r="98">
      <c r="A98" s="10" t="s">
        <v>416</v>
      </c>
      <c r="B98" s="499" t="s">
        <v>650</v>
      </c>
      <c r="C98" s="484"/>
      <c r="D98" s="426" t="s">
        <v>117</v>
      </c>
      <c r="E98" s="484"/>
      <c r="F98" s="484"/>
      <c r="G98" s="10" t="s">
        <v>479</v>
      </c>
      <c r="H98" s="499" t="s">
        <v>733</v>
      </c>
      <c r="I98" s="484"/>
      <c r="J98" s="484"/>
      <c r="K98" s="484"/>
      <c r="L98" s="415" t="s">
        <v>347</v>
      </c>
      <c r="M98" s="499" t="s">
        <v>541</v>
      </c>
      <c r="N98" s="484"/>
      <c r="O98" s="484"/>
      <c r="P98" s="499" t="str">
        <f>IFERROR(__xludf.DUMMYFUNCTION("""COMPUTED_VALUE"""),"kathlyn.diaz@multco.us")</f>
        <v>kathlyn.diaz@multco.us</v>
      </c>
      <c r="Q98" s="484"/>
      <c r="R98" s="484"/>
      <c r="S98" s="484"/>
      <c r="T98" s="484"/>
      <c r="U98" s="484"/>
      <c r="V98" s="484"/>
      <c r="W98" s="484"/>
      <c r="X98" s="484"/>
      <c r="Y98" s="484"/>
    </row>
    <row r="99">
      <c r="A99" s="10" t="s">
        <v>461</v>
      </c>
      <c r="B99" s="499" t="s">
        <v>653</v>
      </c>
      <c r="C99" s="484"/>
      <c r="D99" s="426" t="s">
        <v>516</v>
      </c>
      <c r="E99" s="484"/>
      <c r="F99" s="484"/>
      <c r="G99" s="10" t="s">
        <v>558</v>
      </c>
      <c r="H99" s="499" t="s">
        <v>737</v>
      </c>
      <c r="I99" s="484"/>
      <c r="J99" s="484"/>
      <c r="K99" s="484"/>
      <c r="L99" s="200" t="s">
        <v>311</v>
      </c>
      <c r="M99" s="499" t="s">
        <v>545</v>
      </c>
      <c r="N99" s="484"/>
      <c r="O99" s="484"/>
      <c r="P99" s="499" t="str">
        <f>IFERROR(__xludf.DUMMYFUNCTION("""COMPUTED_VALUE"""),"cynthia.m.lambert@multco.us")</f>
        <v>cynthia.m.lambert@multco.us</v>
      </c>
      <c r="Q99" s="484"/>
      <c r="R99" s="484"/>
      <c r="S99" s="484"/>
      <c r="T99" s="484"/>
      <c r="U99" s="484"/>
      <c r="V99" s="484"/>
      <c r="W99" s="484"/>
      <c r="X99" s="484"/>
      <c r="Y99" s="484"/>
    </row>
    <row r="100">
      <c r="A100" s="10" t="s">
        <v>416</v>
      </c>
      <c r="B100" s="499" t="s">
        <v>666</v>
      </c>
      <c r="C100" s="484"/>
      <c r="D100" s="426" t="s">
        <v>160</v>
      </c>
      <c r="E100" s="484"/>
      <c r="F100" s="484"/>
      <c r="G100" s="10" t="s">
        <v>561</v>
      </c>
      <c r="H100" s="499" t="s">
        <v>747</v>
      </c>
      <c r="I100" s="484"/>
      <c r="J100" s="484"/>
      <c r="K100" s="484"/>
      <c r="L100" s="414" t="s">
        <v>350</v>
      </c>
      <c r="M100" s="499" t="s">
        <v>558</v>
      </c>
      <c r="N100" s="484"/>
      <c r="O100" s="484"/>
      <c r="P100" s="499" t="str">
        <f>IFERROR(__xludf.DUMMYFUNCTION("""COMPUTED_VALUE"""),"scott.vu@multco.us")</f>
        <v>scott.vu@multco.us</v>
      </c>
      <c r="Q100" s="484"/>
      <c r="R100" s="484"/>
      <c r="S100" s="484"/>
      <c r="T100" s="484"/>
      <c r="U100" s="484"/>
      <c r="V100" s="484"/>
      <c r="W100" s="484"/>
      <c r="X100" s="484"/>
      <c r="Y100" s="484"/>
    </row>
    <row r="101">
      <c r="A101" s="10" t="s">
        <v>382</v>
      </c>
      <c r="B101" s="499" t="s">
        <v>673</v>
      </c>
      <c r="C101" s="484"/>
      <c r="D101" s="426" t="s">
        <v>276</v>
      </c>
      <c r="E101" s="484"/>
      <c r="F101" s="484"/>
      <c r="G101" s="10" t="s">
        <v>251</v>
      </c>
      <c r="H101" s="499" t="s">
        <v>752</v>
      </c>
      <c r="I101" s="484"/>
      <c r="J101" s="484"/>
      <c r="K101" s="484"/>
      <c r="L101" s="200" t="s">
        <v>123</v>
      </c>
      <c r="M101" s="499" t="s">
        <v>561</v>
      </c>
      <c r="N101" s="484"/>
      <c r="O101" s="484"/>
      <c r="P101" s="499" t="str">
        <f>IFERROR(__xludf.DUMMYFUNCTION("""COMPUTED_VALUE"""),"shaneesta.sanfilippo@multco.us")</f>
        <v>shaneesta.sanfilippo@multco.us</v>
      </c>
      <c r="Q101" s="484"/>
      <c r="R101" s="484"/>
      <c r="S101" s="484"/>
      <c r="T101" s="484"/>
      <c r="U101" s="484"/>
      <c r="V101" s="484"/>
      <c r="W101" s="484"/>
      <c r="X101" s="484"/>
      <c r="Y101" s="484"/>
    </row>
    <row r="102">
      <c r="A102" s="10" t="s">
        <v>85</v>
      </c>
      <c r="B102" s="499" t="s">
        <v>675</v>
      </c>
      <c r="C102" s="484"/>
      <c r="D102" s="426" t="s">
        <v>276</v>
      </c>
      <c r="E102" s="484"/>
      <c r="F102" s="484"/>
      <c r="G102" s="10" t="s">
        <v>284</v>
      </c>
      <c r="H102" s="499" t="s">
        <v>757</v>
      </c>
      <c r="I102" s="484"/>
      <c r="J102" s="484"/>
      <c r="K102" s="484"/>
      <c r="L102" s="414" t="s">
        <v>251</v>
      </c>
      <c r="M102" s="499" t="s">
        <v>284</v>
      </c>
      <c r="N102" s="484"/>
      <c r="O102" s="484"/>
      <c r="P102" s="499" t="str">
        <f>IFERROR(__xludf.DUMMYFUNCTION("""COMPUTED_VALUE"""),"casey.kendall@multco.us")</f>
        <v>casey.kendall@multco.us</v>
      </c>
      <c r="Q102" s="484"/>
      <c r="R102" s="484"/>
      <c r="S102" s="484"/>
      <c r="T102" s="484"/>
      <c r="U102" s="484"/>
      <c r="V102" s="484"/>
      <c r="W102" s="484"/>
      <c r="X102" s="484"/>
      <c r="Y102" s="484"/>
    </row>
    <row r="103">
      <c r="A103" s="10" t="s">
        <v>85</v>
      </c>
      <c r="B103" s="499" t="s">
        <v>685</v>
      </c>
      <c r="C103" s="484"/>
      <c r="D103" s="426" t="s">
        <v>639</v>
      </c>
      <c r="E103" s="484"/>
      <c r="F103" s="484"/>
      <c r="G103" s="10" t="s">
        <v>111</v>
      </c>
      <c r="H103" s="499" t="s">
        <v>760</v>
      </c>
      <c r="I103" s="484"/>
      <c r="J103" s="484"/>
      <c r="K103" s="484"/>
      <c r="L103" s="200" t="s">
        <v>153</v>
      </c>
      <c r="M103" s="499" t="s">
        <v>569</v>
      </c>
      <c r="N103" s="484"/>
      <c r="O103" s="484"/>
      <c r="P103" s="499" t="str">
        <f>IFERROR(__xludf.DUMMYFUNCTION("""COMPUTED_VALUE"""),"nidal.jianni@multco.us")</f>
        <v>nidal.jianni@multco.us</v>
      </c>
      <c r="Q103" s="484"/>
      <c r="R103" s="484"/>
      <c r="S103" s="484"/>
      <c r="T103" s="484"/>
      <c r="U103" s="484"/>
      <c r="V103" s="484"/>
      <c r="W103" s="484"/>
      <c r="X103" s="484"/>
      <c r="Y103" s="484"/>
    </row>
    <row r="104">
      <c r="A104" s="10" t="s">
        <v>85</v>
      </c>
      <c r="B104" s="499" t="s">
        <v>694</v>
      </c>
      <c r="C104" s="484"/>
      <c r="D104" s="426" t="s">
        <v>2239</v>
      </c>
      <c r="E104" s="484"/>
      <c r="F104" s="484"/>
      <c r="G104" s="10" t="s">
        <v>569</v>
      </c>
      <c r="H104" s="499" t="s">
        <v>771</v>
      </c>
      <c r="I104" s="484"/>
      <c r="J104" s="484"/>
      <c r="K104" s="484"/>
      <c r="L104" s="200" t="s">
        <v>357</v>
      </c>
      <c r="M104" s="499" t="s">
        <v>574</v>
      </c>
      <c r="N104" s="484"/>
      <c r="O104" s="484"/>
      <c r="P104" s="499" t="str">
        <f>IFERROR(__xludf.DUMMYFUNCTION("""COMPUTED_VALUE"""),"joy.wallace@multco.us")</f>
        <v>joy.wallace@multco.us</v>
      </c>
      <c r="Q104" s="484"/>
      <c r="R104" s="484"/>
      <c r="S104" s="484"/>
      <c r="T104" s="484"/>
      <c r="U104" s="484"/>
      <c r="V104" s="484"/>
      <c r="W104" s="484"/>
      <c r="X104" s="484"/>
      <c r="Y104" s="484"/>
    </row>
    <row r="105">
      <c r="A105" s="10" t="s">
        <v>479</v>
      </c>
      <c r="B105" s="499" t="s">
        <v>697</v>
      </c>
      <c r="C105" s="484"/>
      <c r="D105" s="426" t="s">
        <v>416</v>
      </c>
      <c r="E105" s="484"/>
      <c r="F105" s="484"/>
      <c r="G105" s="10" t="s">
        <v>487</v>
      </c>
      <c r="H105" s="499" t="s">
        <v>775</v>
      </c>
      <c r="I105" s="484"/>
      <c r="J105" s="484"/>
      <c r="K105" s="484"/>
      <c r="L105" s="200" t="s">
        <v>37</v>
      </c>
      <c r="M105" s="499" t="s">
        <v>577</v>
      </c>
      <c r="N105" s="484"/>
      <c r="O105" s="484"/>
      <c r="P105" s="499" t="str">
        <f>IFERROR(__xludf.DUMMYFUNCTION("""COMPUTED_VALUE"""),"milo.venson@multco.us")</f>
        <v>milo.venson@multco.us</v>
      </c>
      <c r="Q105" s="484"/>
      <c r="R105" s="484"/>
      <c r="S105" s="484"/>
      <c r="T105" s="484"/>
      <c r="U105" s="484"/>
      <c r="V105" s="484"/>
      <c r="W105" s="484"/>
      <c r="X105" s="484"/>
      <c r="Y105" s="484"/>
    </row>
    <row r="106">
      <c r="A106" s="10" t="s">
        <v>482</v>
      </c>
      <c r="B106" s="499" t="s">
        <v>699</v>
      </c>
      <c r="C106" s="484"/>
      <c r="D106" s="426" t="s">
        <v>314</v>
      </c>
      <c r="E106" s="484"/>
      <c r="F106" s="484"/>
      <c r="G106" s="10" t="s">
        <v>574</v>
      </c>
      <c r="H106" s="499" t="s">
        <v>785</v>
      </c>
      <c r="I106" s="484"/>
      <c r="J106" s="484"/>
      <c r="K106" s="484"/>
      <c r="L106" s="200" t="s">
        <v>98</v>
      </c>
      <c r="M106" s="499" t="s">
        <v>2934</v>
      </c>
      <c r="N106" s="484"/>
      <c r="O106" s="484"/>
      <c r="P106" s="499" t="str">
        <f>IFERROR(__xludf.DUMMYFUNCTION("""COMPUTED_VALUE"""),"alicia.palmer@multco.us")</f>
        <v>alicia.palmer@multco.us</v>
      </c>
      <c r="Q106" s="484"/>
      <c r="R106" s="484"/>
      <c r="S106" s="484"/>
      <c r="T106" s="484"/>
      <c r="U106" s="484"/>
      <c r="V106" s="484"/>
      <c r="W106" s="484"/>
      <c r="X106" s="484"/>
      <c r="Y106" s="484"/>
    </row>
    <row r="107">
      <c r="A107" s="10" t="s">
        <v>487</v>
      </c>
      <c r="B107" s="499" t="s">
        <v>703</v>
      </c>
      <c r="C107" s="484"/>
      <c r="D107" s="487"/>
      <c r="E107" s="484"/>
      <c r="F107" s="484"/>
      <c r="G107" s="10" t="s">
        <v>577</v>
      </c>
      <c r="H107" s="499" t="s">
        <v>794</v>
      </c>
      <c r="I107" s="484"/>
      <c r="J107" s="484"/>
      <c r="K107" s="484"/>
      <c r="L107" s="200" t="s">
        <v>314</v>
      </c>
      <c r="M107" s="499" t="s">
        <v>586</v>
      </c>
      <c r="N107" s="484"/>
      <c r="O107" s="484"/>
      <c r="P107" s="499" t="str">
        <f>IFERROR(__xludf.DUMMYFUNCTION("""COMPUTED_VALUE"""),"adolfo.jimenez@multco.us")</f>
        <v>adolfo.jimenez@multco.us</v>
      </c>
      <c r="Q107" s="484"/>
      <c r="R107" s="484"/>
      <c r="S107" s="484"/>
      <c r="T107" s="484"/>
      <c r="U107" s="484"/>
      <c r="V107" s="484"/>
      <c r="W107" s="484"/>
      <c r="X107" s="484"/>
      <c r="Y107" s="484"/>
    </row>
    <row r="108">
      <c r="A108" s="10" t="s">
        <v>490</v>
      </c>
      <c r="B108" s="499" t="s">
        <v>706</v>
      </c>
      <c r="C108" s="484"/>
      <c r="D108" s="484"/>
      <c r="E108" s="484"/>
      <c r="F108" s="484"/>
      <c r="G108" s="10" t="s">
        <v>2934</v>
      </c>
      <c r="H108" s="499" t="s">
        <v>780</v>
      </c>
      <c r="I108" s="484"/>
      <c r="J108" s="484"/>
      <c r="K108" s="484"/>
      <c r="L108" s="200" t="s">
        <v>314</v>
      </c>
      <c r="M108" s="499" t="s">
        <v>589</v>
      </c>
      <c r="N108" s="484"/>
      <c r="O108" s="484"/>
      <c r="P108" s="499" t="str">
        <f>IFERROR(__xludf.DUMMYFUNCTION("""COMPUTED_VALUE"""),"melvin.l.hawkins@multco.us")</f>
        <v>melvin.l.hawkins@multco.us</v>
      </c>
      <c r="Q108" s="484"/>
      <c r="R108" s="484"/>
      <c r="S108" s="484"/>
      <c r="T108" s="484"/>
      <c r="U108" s="484"/>
      <c r="V108" s="484"/>
      <c r="W108" s="484"/>
      <c r="X108" s="484"/>
      <c r="Y108" s="484"/>
    </row>
    <row r="109">
      <c r="A109" s="10" t="s">
        <v>494</v>
      </c>
      <c r="B109" s="499" t="s">
        <v>707</v>
      </c>
      <c r="C109" s="484"/>
      <c r="D109" s="484"/>
      <c r="E109" s="484"/>
      <c r="F109" s="484"/>
      <c r="G109" s="10" t="s">
        <v>586</v>
      </c>
      <c r="H109" s="499" t="s">
        <v>852</v>
      </c>
      <c r="I109" s="484"/>
      <c r="J109" s="484"/>
      <c r="K109" s="484"/>
      <c r="L109" s="414" t="s">
        <v>366</v>
      </c>
      <c r="M109" s="499" t="s">
        <v>595</v>
      </c>
      <c r="N109" s="484"/>
      <c r="O109" s="484"/>
      <c r="P109" s="499" t="str">
        <f>IFERROR(__xludf.DUMMYFUNCTION("""COMPUTED_VALUE"""),"john.k.anderson@multco.us")</f>
        <v>john.k.anderson@multco.us</v>
      </c>
      <c r="Q109" s="484"/>
      <c r="R109" s="484"/>
      <c r="S109" s="484"/>
      <c r="T109" s="484"/>
      <c r="U109" s="484"/>
      <c r="V109" s="484"/>
      <c r="W109" s="484"/>
      <c r="X109" s="484"/>
      <c r="Y109" s="484"/>
    </row>
    <row r="110">
      <c r="A110" s="10" t="s">
        <v>85</v>
      </c>
      <c r="B110" s="499" t="s">
        <v>710</v>
      </c>
      <c r="C110" s="484"/>
      <c r="D110" s="484"/>
      <c r="E110" s="484"/>
      <c r="F110" s="484"/>
      <c r="G110" s="10" t="s">
        <v>589</v>
      </c>
      <c r="H110" s="499" t="s">
        <v>868</v>
      </c>
      <c r="I110" s="484"/>
      <c r="J110" s="484"/>
      <c r="K110" s="484"/>
      <c r="L110" s="200" t="s">
        <v>368</v>
      </c>
      <c r="M110" s="499" t="s">
        <v>600</v>
      </c>
      <c r="N110" s="484"/>
      <c r="O110" s="484"/>
      <c r="P110" s="499" t="str">
        <f>IFERROR(__xludf.DUMMYFUNCTION("""COMPUTED_VALUE"""),"patricia.ford@multco.us")</f>
        <v>patricia.ford@multco.us</v>
      </c>
      <c r="Q110" s="484"/>
      <c r="R110" s="484"/>
      <c r="S110" s="484"/>
      <c r="T110" s="484"/>
      <c r="U110" s="484"/>
      <c r="V110" s="484"/>
      <c r="W110" s="484"/>
      <c r="X110" s="484"/>
      <c r="Y110" s="484"/>
    </row>
    <row r="111">
      <c r="A111" s="10" t="s">
        <v>500</v>
      </c>
      <c r="B111" s="499" t="s">
        <v>725</v>
      </c>
      <c r="C111" s="484"/>
      <c r="D111" s="484"/>
      <c r="E111" s="484"/>
      <c r="F111" s="484"/>
      <c r="G111" s="10" t="s">
        <v>600</v>
      </c>
      <c r="H111" s="499" t="s">
        <v>872</v>
      </c>
      <c r="I111" s="484"/>
      <c r="J111" s="484"/>
      <c r="K111" s="484"/>
      <c r="L111" s="414" t="s">
        <v>245</v>
      </c>
      <c r="M111" s="499" t="s">
        <v>604</v>
      </c>
      <c r="N111" s="484"/>
      <c r="O111" s="484"/>
      <c r="P111" s="499" t="str">
        <f>IFERROR(__xludf.DUMMYFUNCTION("""COMPUTED_VALUE"""),"sarah.stanzione@multco.us")</f>
        <v>sarah.stanzione@multco.us</v>
      </c>
      <c r="Q111" s="484"/>
      <c r="R111" s="484"/>
      <c r="S111" s="484"/>
      <c r="T111" s="484"/>
      <c r="U111" s="484"/>
      <c r="V111" s="484"/>
      <c r="W111" s="484"/>
      <c r="X111" s="484"/>
      <c r="Y111" s="484"/>
    </row>
    <row r="112">
      <c r="A112" s="10" t="s">
        <v>500</v>
      </c>
      <c r="B112" s="499" t="s">
        <v>728</v>
      </c>
      <c r="C112" s="484"/>
      <c r="D112" s="484"/>
      <c r="E112" s="484"/>
      <c r="F112" s="484"/>
      <c r="G112" s="10" t="s">
        <v>604</v>
      </c>
      <c r="H112" s="499" t="s">
        <v>876</v>
      </c>
      <c r="I112" s="484"/>
      <c r="J112" s="484"/>
      <c r="K112" s="484"/>
      <c r="L112" s="200" t="s">
        <v>325</v>
      </c>
      <c r="M112" s="499" t="s">
        <v>606</v>
      </c>
      <c r="N112" s="484"/>
      <c r="O112" s="484"/>
      <c r="P112" s="499" t="str">
        <f>IFERROR(__xludf.DUMMYFUNCTION("""COMPUTED_VALUE"""),"meggan.mcevoy@multco.us")</f>
        <v>meggan.mcevoy@multco.us</v>
      </c>
      <c r="Q112" s="484"/>
      <c r="R112" s="484"/>
      <c r="S112" s="484"/>
      <c r="T112" s="484"/>
      <c r="U112" s="484"/>
      <c r="V112" s="484"/>
      <c r="W112" s="484"/>
      <c r="X112" s="484"/>
      <c r="Y112" s="484"/>
    </row>
    <row r="113">
      <c r="A113" s="10" t="s">
        <v>482</v>
      </c>
      <c r="B113" s="499" t="s">
        <v>733</v>
      </c>
      <c r="C113" s="484"/>
      <c r="D113" s="484"/>
      <c r="E113" s="484"/>
      <c r="F113" s="484"/>
      <c r="G113" s="10" t="s">
        <v>616</v>
      </c>
      <c r="H113" s="499" t="s">
        <v>887</v>
      </c>
      <c r="I113" s="484"/>
      <c r="J113" s="484"/>
      <c r="K113" s="484"/>
      <c r="L113" s="414" t="s">
        <v>374</v>
      </c>
      <c r="M113" s="499" t="s">
        <v>616</v>
      </c>
      <c r="N113" s="484"/>
      <c r="O113" s="484"/>
      <c r="P113" s="499" t="str">
        <f>IFERROR(__xludf.DUMMYFUNCTION("""COMPUTED_VALUE"""),"caroline.radulski@multco.us")</f>
        <v>caroline.radulski@multco.us</v>
      </c>
      <c r="Q113" s="484"/>
      <c r="R113" s="484"/>
      <c r="S113" s="484"/>
      <c r="T113" s="484"/>
      <c r="U113" s="484"/>
      <c r="V113" s="484"/>
      <c r="W113" s="484"/>
      <c r="X113" s="484"/>
      <c r="Y113" s="484"/>
    </row>
    <row r="114">
      <c r="A114" s="10" t="s">
        <v>512</v>
      </c>
      <c r="B114" s="499" t="s">
        <v>737</v>
      </c>
      <c r="C114" s="484"/>
      <c r="D114" s="484"/>
      <c r="E114" s="484"/>
      <c r="F114" s="484"/>
      <c r="G114" s="10" t="s">
        <v>620</v>
      </c>
      <c r="H114" s="499" t="s">
        <v>895</v>
      </c>
      <c r="I114" s="484"/>
      <c r="J114" s="484"/>
      <c r="K114" s="484"/>
      <c r="L114" s="414" t="s">
        <v>377</v>
      </c>
      <c r="M114" s="499" t="s">
        <v>620</v>
      </c>
      <c r="N114" s="484"/>
      <c r="O114" s="484"/>
      <c r="P114" s="499" t="str">
        <f>IFERROR(__xludf.DUMMYFUNCTION("""COMPUTED_VALUE"""),"elizabeth.sanders@multco.us")</f>
        <v>elizabeth.sanders@multco.us</v>
      </c>
      <c r="Q114" s="484"/>
      <c r="R114" s="484"/>
      <c r="S114" s="484"/>
      <c r="T114" s="484"/>
      <c r="U114" s="484"/>
      <c r="V114" s="484"/>
      <c r="W114" s="484"/>
      <c r="X114" s="484"/>
      <c r="Y114" s="484"/>
    </row>
    <row r="115">
      <c r="A115" s="10" t="s">
        <v>272</v>
      </c>
      <c r="B115" s="499" t="s">
        <v>747</v>
      </c>
      <c r="C115" s="484"/>
      <c r="D115" s="484"/>
      <c r="E115" s="484"/>
      <c r="F115" s="484"/>
      <c r="G115" s="10" t="s">
        <v>272</v>
      </c>
      <c r="H115" s="499" t="s">
        <v>897</v>
      </c>
      <c r="I115" s="484"/>
      <c r="J115" s="484"/>
      <c r="K115" s="484"/>
      <c r="L115" s="200" t="s">
        <v>382</v>
      </c>
      <c r="M115" s="499" t="s">
        <v>624</v>
      </c>
      <c r="N115" s="484"/>
      <c r="O115" s="484"/>
      <c r="P115" s="499" t="str">
        <f>IFERROR(__xludf.DUMMYFUNCTION("""COMPUTED_VALUE"""),"kay.shepherd@multco.us")</f>
        <v>kay.shepherd@multco.us</v>
      </c>
      <c r="Q115" s="484"/>
      <c r="R115" s="484"/>
      <c r="S115" s="484"/>
      <c r="T115" s="484"/>
      <c r="U115" s="484"/>
      <c r="V115" s="484"/>
      <c r="W115" s="484"/>
      <c r="X115" s="484"/>
      <c r="Y115" s="484"/>
    </row>
    <row r="116">
      <c r="A116" s="10" t="s">
        <v>522</v>
      </c>
      <c r="B116" s="499" t="s">
        <v>752</v>
      </c>
      <c r="C116" s="484"/>
      <c r="D116" s="484"/>
      <c r="E116" s="484"/>
      <c r="F116" s="484"/>
      <c r="G116" s="10" t="s">
        <v>247</v>
      </c>
      <c r="H116" s="499" t="s">
        <v>925</v>
      </c>
      <c r="I116" s="484"/>
      <c r="J116" s="484"/>
      <c r="K116" s="484"/>
      <c r="L116" s="200" t="s">
        <v>385</v>
      </c>
      <c r="M116" s="499" t="s">
        <v>636</v>
      </c>
      <c r="N116" s="484"/>
      <c r="O116" s="484"/>
      <c r="P116" s="499" t="str">
        <f>IFERROR(__xludf.DUMMYFUNCTION("""COMPUTED_VALUE"""),"steph.spann@multco.us")</f>
        <v>steph.spann@multco.us</v>
      </c>
      <c r="Q116" s="484"/>
      <c r="R116" s="484"/>
      <c r="S116" s="484"/>
      <c r="T116" s="484"/>
      <c r="U116" s="484"/>
      <c r="V116" s="484"/>
      <c r="W116" s="484"/>
      <c r="X116" s="484"/>
      <c r="Y116" s="484"/>
    </row>
    <row r="117">
      <c r="A117" s="10" t="s">
        <v>108</v>
      </c>
      <c r="B117" s="499" t="s">
        <v>757</v>
      </c>
      <c r="C117" s="484"/>
      <c r="D117" s="484"/>
      <c r="E117" s="484"/>
      <c r="F117" s="484"/>
      <c r="G117" s="10" t="s">
        <v>111</v>
      </c>
      <c r="H117" s="499" t="s">
        <v>943</v>
      </c>
      <c r="I117" s="484"/>
      <c r="J117" s="484"/>
      <c r="K117" s="484"/>
      <c r="L117" s="200" t="s">
        <v>160</v>
      </c>
      <c r="M117" s="499" t="s">
        <v>639</v>
      </c>
      <c r="N117" s="484"/>
      <c r="O117" s="484"/>
      <c r="P117" s="499" t="str">
        <f>IFERROR(__xludf.DUMMYFUNCTION("""COMPUTED_VALUE"""),"tamaradl@multco.us")</f>
        <v>tamaradl@multco.us</v>
      </c>
      <c r="Q117" s="484"/>
      <c r="R117" s="484"/>
      <c r="S117" s="484"/>
      <c r="T117" s="484"/>
      <c r="U117" s="484"/>
      <c r="V117" s="484"/>
      <c r="W117" s="484"/>
      <c r="X117" s="484"/>
      <c r="Y117" s="484"/>
    </row>
    <row r="118">
      <c r="A118" s="10" t="s">
        <v>530</v>
      </c>
      <c r="B118" s="499" t="s">
        <v>760</v>
      </c>
      <c r="C118" s="484"/>
      <c r="D118" s="484"/>
      <c r="E118" s="484"/>
      <c r="F118" s="484"/>
      <c r="G118" s="10" t="s">
        <v>586</v>
      </c>
      <c r="H118" s="499" t="s">
        <v>947</v>
      </c>
      <c r="I118" s="484"/>
      <c r="J118" s="484"/>
      <c r="K118" s="484"/>
      <c r="L118" s="200" t="s">
        <v>155</v>
      </c>
      <c r="M118" s="499" t="s">
        <v>650</v>
      </c>
      <c r="N118" s="484"/>
      <c r="O118" s="484"/>
      <c r="P118" s="499" t="str">
        <f>IFERROR(__xludf.DUMMYFUNCTION("""COMPUTED_VALUE"""),"darline.hill@multco.us")</f>
        <v>darline.hill@multco.us</v>
      </c>
      <c r="Q118" s="484"/>
      <c r="R118" s="484"/>
      <c r="S118" s="484"/>
      <c r="T118" s="484"/>
      <c r="U118" s="484"/>
      <c r="V118" s="484"/>
      <c r="W118" s="484"/>
      <c r="X118" s="484"/>
      <c r="Y118" s="484"/>
    </row>
    <row r="119">
      <c r="A119" s="10" t="s">
        <v>123</v>
      </c>
      <c r="B119" s="499" t="s">
        <v>771</v>
      </c>
      <c r="C119" s="484"/>
      <c r="D119" s="484"/>
      <c r="E119" s="484"/>
      <c r="F119" s="484"/>
      <c r="G119" s="10" t="s">
        <v>636</v>
      </c>
      <c r="H119" s="499" t="s">
        <v>293</v>
      </c>
      <c r="I119" s="484"/>
      <c r="J119" s="484"/>
      <c r="K119" s="484"/>
      <c r="L119" s="200" t="s">
        <v>396</v>
      </c>
      <c r="M119" s="499" t="s">
        <v>653</v>
      </c>
      <c r="N119" s="484"/>
      <c r="O119" s="484"/>
      <c r="P119" s="499" t="str">
        <f>IFERROR(__xludf.DUMMYFUNCTION("""COMPUTED_VALUE"""),"lawrence.caplan@multco.us")</f>
        <v>lawrence.caplan@multco.us</v>
      </c>
      <c r="Q119" s="484"/>
      <c r="R119" s="484"/>
      <c r="S119" s="484"/>
      <c r="T119" s="484"/>
      <c r="U119" s="484"/>
      <c r="V119" s="484"/>
      <c r="W119" s="484"/>
      <c r="X119" s="484"/>
      <c r="Y119" s="484"/>
    </row>
    <row r="120">
      <c r="A120" s="10" t="s">
        <v>541</v>
      </c>
      <c r="B120" s="499" t="s">
        <v>775</v>
      </c>
      <c r="C120" s="484"/>
      <c r="D120" s="484"/>
      <c r="E120" s="484"/>
      <c r="F120" s="484"/>
      <c r="G120" s="10" t="s">
        <v>148</v>
      </c>
      <c r="H120" s="499" t="s">
        <v>954</v>
      </c>
      <c r="I120" s="484"/>
      <c r="J120" s="484"/>
      <c r="K120" s="484"/>
      <c r="L120" s="414" t="s">
        <v>368</v>
      </c>
      <c r="M120" s="499" t="s">
        <v>666</v>
      </c>
      <c r="N120" s="484"/>
      <c r="O120" s="484"/>
      <c r="P120" s="499" t="str">
        <f>IFERROR(__xludf.DUMMYFUNCTION("""COMPUTED_VALUE"""),"sarah.kaucic@multco.us")</f>
        <v>sarah.kaucic@multco.us</v>
      </c>
      <c r="Q120" s="484"/>
      <c r="R120" s="484"/>
      <c r="S120" s="484"/>
      <c r="T120" s="484"/>
      <c r="U120" s="484"/>
      <c r="V120" s="484"/>
      <c r="W120" s="484"/>
      <c r="X120" s="484"/>
      <c r="Y120" s="484"/>
    </row>
    <row r="121">
      <c r="A121" s="10" t="s">
        <v>545</v>
      </c>
      <c r="B121" s="499" t="s">
        <v>785</v>
      </c>
      <c r="C121" s="484"/>
      <c r="D121" s="484"/>
      <c r="E121" s="484"/>
      <c r="F121" s="484"/>
      <c r="G121" s="10" t="s">
        <v>407</v>
      </c>
      <c r="H121" s="499" t="s">
        <v>959</v>
      </c>
      <c r="I121" s="484"/>
      <c r="J121" s="484"/>
      <c r="K121" s="484"/>
      <c r="L121" s="200" t="s">
        <v>188</v>
      </c>
      <c r="M121" s="499" t="s">
        <v>673</v>
      </c>
      <c r="N121" s="484"/>
      <c r="O121" s="484"/>
      <c r="P121" s="499" t="str">
        <f>IFERROR(__xludf.DUMMYFUNCTION("""COMPUTED_VALUE"""),"dzenana.durajlic.elezovic@multco.us")</f>
        <v>dzenana.durajlic.elezovic@multco.us</v>
      </c>
      <c r="Q121" s="484"/>
      <c r="R121" s="484"/>
      <c r="S121" s="484"/>
      <c r="T121" s="484"/>
      <c r="U121" s="484"/>
      <c r="V121" s="484"/>
      <c r="W121" s="484"/>
      <c r="X121" s="484"/>
      <c r="Y121" s="484"/>
    </row>
    <row r="122">
      <c r="A122" s="10" t="s">
        <v>314</v>
      </c>
      <c r="B122" s="499" t="s">
        <v>789</v>
      </c>
      <c r="C122" s="484"/>
      <c r="D122" s="484"/>
      <c r="E122" s="484"/>
      <c r="F122" s="484"/>
      <c r="G122" s="10" t="s">
        <v>650</v>
      </c>
      <c r="H122" s="499" t="s">
        <v>969</v>
      </c>
      <c r="I122" s="484"/>
      <c r="J122" s="484"/>
      <c r="K122" s="484"/>
      <c r="L122" s="200" t="s">
        <v>333</v>
      </c>
      <c r="M122" s="499" t="s">
        <v>675</v>
      </c>
      <c r="N122" s="484"/>
      <c r="O122" s="484"/>
      <c r="P122" s="499" t="str">
        <f>IFERROR(__xludf.DUMMYFUNCTION("""COMPUTED_VALUE"""),"maren.zieba@multco.us")</f>
        <v>maren.zieba@multco.us</v>
      </c>
      <c r="Q122" s="484"/>
      <c r="R122" s="484"/>
      <c r="S122" s="484"/>
      <c r="T122" s="484"/>
      <c r="U122" s="484"/>
      <c r="V122" s="484"/>
      <c r="W122" s="484"/>
      <c r="X122" s="484"/>
      <c r="Y122" s="484"/>
    </row>
    <row r="123">
      <c r="A123" s="10" t="s">
        <v>314</v>
      </c>
      <c r="B123" s="499" t="s">
        <v>794</v>
      </c>
      <c r="C123" s="484"/>
      <c r="D123" s="484"/>
      <c r="E123" s="484"/>
      <c r="F123" s="484"/>
      <c r="G123" s="10" t="s">
        <v>653</v>
      </c>
      <c r="H123" s="499" t="s">
        <v>972</v>
      </c>
      <c r="I123" s="484"/>
      <c r="J123" s="484"/>
      <c r="K123" s="484"/>
      <c r="L123" s="200" t="s">
        <v>37</v>
      </c>
      <c r="M123" s="499" t="s">
        <v>685</v>
      </c>
      <c r="N123" s="484"/>
      <c r="O123" s="484"/>
      <c r="P123" s="499" t="str">
        <f>IFERROR(__xludf.DUMMYFUNCTION("""COMPUTED_VALUE"""),"aimee.griffin@multco.us")</f>
        <v>aimee.griffin@multco.us</v>
      </c>
      <c r="Q123" s="484"/>
      <c r="R123" s="484"/>
      <c r="S123" s="484"/>
      <c r="T123" s="484"/>
      <c r="U123" s="484"/>
      <c r="V123" s="484"/>
      <c r="W123" s="484"/>
      <c r="X123" s="484"/>
      <c r="Y123" s="484"/>
    </row>
    <row r="124">
      <c r="A124" s="10" t="s">
        <v>314</v>
      </c>
      <c r="B124" s="499" t="s">
        <v>193</v>
      </c>
      <c r="C124" s="484"/>
      <c r="D124" s="484"/>
      <c r="E124" s="484"/>
      <c r="F124" s="484"/>
      <c r="G124" s="10" t="s">
        <v>247</v>
      </c>
      <c r="H124" s="499" t="s">
        <v>980</v>
      </c>
      <c r="I124" s="484"/>
      <c r="J124" s="484"/>
      <c r="K124" s="484"/>
      <c r="L124" s="200" t="s">
        <v>407</v>
      </c>
      <c r="M124" s="499" t="s">
        <v>694</v>
      </c>
      <c r="N124" s="484"/>
      <c r="O124" s="484"/>
      <c r="P124" s="499" t="str">
        <f>IFERROR(__xludf.DUMMYFUNCTION("""COMPUTED_VALUE"""),"lynn.sussman@multco.us")</f>
        <v>lynn.sussman@multco.us</v>
      </c>
      <c r="Q124" s="484"/>
      <c r="R124" s="484"/>
      <c r="S124" s="484"/>
      <c r="T124" s="484"/>
      <c r="U124" s="484"/>
      <c r="V124" s="484"/>
      <c r="W124" s="484"/>
      <c r="X124" s="484"/>
      <c r="Y124" s="484"/>
    </row>
    <row r="125">
      <c r="A125" s="10" t="s">
        <v>314</v>
      </c>
      <c r="B125" s="499" t="s">
        <v>826</v>
      </c>
      <c r="C125" s="484"/>
      <c r="D125" s="484"/>
      <c r="E125" s="484"/>
      <c r="F125" s="484"/>
      <c r="G125" s="10" t="s">
        <v>240</v>
      </c>
      <c r="H125" s="499" t="s">
        <v>986</v>
      </c>
      <c r="I125" s="484"/>
      <c r="J125" s="484"/>
      <c r="K125" s="484"/>
      <c r="L125" s="414" t="s">
        <v>411</v>
      </c>
      <c r="M125" s="499" t="s">
        <v>697</v>
      </c>
      <c r="N125" s="484"/>
      <c r="O125" s="484"/>
      <c r="P125" s="499" t="str">
        <f>IFERROR(__xludf.DUMMYFUNCTION("""COMPUTED_VALUE"""),"kimberly.frazier@multco.us")</f>
        <v>kimberly.frazier@multco.us</v>
      </c>
      <c r="Q125" s="484"/>
      <c r="R125" s="484"/>
      <c r="S125" s="484"/>
      <c r="T125" s="484"/>
      <c r="U125" s="484"/>
      <c r="V125" s="484"/>
      <c r="W125" s="484"/>
      <c r="X125" s="484"/>
      <c r="Y125" s="484"/>
    </row>
    <row r="126">
      <c r="A126" s="10" t="s">
        <v>188</v>
      </c>
      <c r="B126" s="499" t="s">
        <v>836</v>
      </c>
      <c r="C126" s="484"/>
      <c r="D126" s="484"/>
      <c r="E126" s="484"/>
      <c r="F126" s="484"/>
      <c r="G126" s="10" t="s">
        <v>577</v>
      </c>
      <c r="H126" s="499" t="s">
        <v>323</v>
      </c>
      <c r="I126" s="484"/>
      <c r="J126" s="484"/>
      <c r="K126" s="484"/>
      <c r="L126" s="200" t="s">
        <v>414</v>
      </c>
      <c r="M126" s="499" t="s">
        <v>699</v>
      </c>
      <c r="N126" s="484"/>
      <c r="O126" s="484"/>
      <c r="P126" s="499" t="str">
        <f>IFERROR(__xludf.DUMMYFUNCTION("""COMPUTED_VALUE"""),"kate.hammond@multco.us")</f>
        <v>kate.hammond@multco.us</v>
      </c>
      <c r="Q126" s="484"/>
      <c r="R126" s="484"/>
      <c r="S126" s="484"/>
      <c r="T126" s="484"/>
      <c r="U126" s="484"/>
      <c r="V126" s="484"/>
      <c r="W126" s="484"/>
      <c r="X126" s="484"/>
      <c r="Y126" s="484"/>
    </row>
    <row r="127">
      <c r="A127" s="10" t="s">
        <v>479</v>
      </c>
      <c r="B127" s="499" t="s">
        <v>780</v>
      </c>
      <c r="C127" s="484"/>
      <c r="D127" s="484"/>
      <c r="E127" s="484"/>
      <c r="F127" s="484"/>
      <c r="G127" s="10" t="s">
        <v>148</v>
      </c>
      <c r="H127" s="499" t="s">
        <v>1025</v>
      </c>
      <c r="I127" s="484"/>
      <c r="J127" s="484"/>
      <c r="K127" s="484"/>
      <c r="L127" s="200" t="s">
        <v>416</v>
      </c>
      <c r="M127" s="499" t="s">
        <v>703</v>
      </c>
      <c r="N127" s="484"/>
      <c r="O127" s="484"/>
      <c r="P127" s="499" t="str">
        <f>IFERROR(__xludf.DUMMYFUNCTION("""COMPUTED_VALUE"""),"celia.throop@multco.us")</f>
        <v>celia.throop@multco.us</v>
      </c>
      <c r="Q127" s="484"/>
      <c r="R127" s="484"/>
      <c r="S127" s="484"/>
      <c r="T127" s="484"/>
      <c r="U127" s="484"/>
      <c r="V127" s="484"/>
      <c r="W127" s="484"/>
      <c r="X127" s="484"/>
      <c r="Y127" s="484"/>
    </row>
    <row r="128">
      <c r="A128" s="10" t="s">
        <v>558</v>
      </c>
      <c r="B128" s="499" t="s">
        <v>852</v>
      </c>
      <c r="C128" s="484"/>
      <c r="D128" s="484"/>
      <c r="E128" s="484"/>
      <c r="F128" s="484"/>
      <c r="G128" s="10" t="s">
        <v>666</v>
      </c>
      <c r="H128" s="499" t="s">
        <v>1032</v>
      </c>
      <c r="I128" s="484"/>
      <c r="J128" s="484"/>
      <c r="K128" s="484"/>
      <c r="L128" s="200" t="s">
        <v>148</v>
      </c>
      <c r="M128" s="499" t="s">
        <v>706</v>
      </c>
      <c r="N128" s="484"/>
      <c r="O128" s="484"/>
      <c r="P128" s="499" t="str">
        <f>IFERROR(__xludf.DUMMYFUNCTION("""COMPUTED_VALUE"""),"mark.w.summit@multco.us")</f>
        <v>mark.w.summit@multco.us</v>
      </c>
      <c r="Q128" s="484"/>
      <c r="R128" s="484"/>
      <c r="S128" s="484"/>
      <c r="T128" s="484"/>
      <c r="U128" s="484"/>
      <c r="V128" s="484"/>
      <c r="W128" s="484"/>
      <c r="X128" s="484"/>
      <c r="Y128" s="484"/>
    </row>
    <row r="129">
      <c r="A129" s="10" t="s">
        <v>561</v>
      </c>
      <c r="B129" s="499" t="s">
        <v>347</v>
      </c>
      <c r="C129" s="484"/>
      <c r="D129" s="484"/>
      <c r="E129" s="484"/>
      <c r="F129" s="484"/>
      <c r="G129" s="10" t="s">
        <v>586</v>
      </c>
      <c r="H129" s="499" t="s">
        <v>1041</v>
      </c>
      <c r="I129" s="484"/>
      <c r="J129" s="484"/>
      <c r="K129" s="484"/>
      <c r="L129" s="200" t="s">
        <v>416</v>
      </c>
      <c r="M129" s="499" t="s">
        <v>707</v>
      </c>
      <c r="N129" s="484"/>
      <c r="O129" s="484"/>
      <c r="P129" s="499" t="str">
        <f>IFERROR(__xludf.DUMMYFUNCTION("""COMPUTED_VALUE"""),"emma.cantlin@multco.us")</f>
        <v>emma.cantlin@multco.us</v>
      </c>
      <c r="Q129" s="484"/>
      <c r="R129" s="484"/>
      <c r="S129" s="484"/>
      <c r="T129" s="484"/>
      <c r="U129" s="484"/>
      <c r="V129" s="484"/>
      <c r="W129" s="484"/>
      <c r="X129" s="484"/>
      <c r="Y129" s="484"/>
    </row>
    <row r="130">
      <c r="A130" s="10" t="s">
        <v>251</v>
      </c>
      <c r="B130" s="499" t="s">
        <v>868</v>
      </c>
      <c r="C130" s="484"/>
      <c r="D130" s="484"/>
      <c r="E130" s="484"/>
      <c r="F130" s="484"/>
      <c r="G130" s="10" t="s">
        <v>183</v>
      </c>
      <c r="H130" s="499" t="s">
        <v>1045</v>
      </c>
      <c r="I130" s="484"/>
      <c r="J130" s="484"/>
      <c r="K130" s="484"/>
      <c r="L130" s="415" t="s">
        <v>123</v>
      </c>
      <c r="M130" s="499" t="s">
        <v>710</v>
      </c>
      <c r="N130" s="484"/>
      <c r="O130" s="484"/>
      <c r="P130" s="499" t="str">
        <f>IFERROR(__xludf.DUMMYFUNCTION("""COMPUTED_VALUE"""),"heather.mirasol@multco.us")</f>
        <v>heather.mirasol@multco.us</v>
      </c>
      <c r="Q130" s="484"/>
      <c r="R130" s="484"/>
      <c r="S130" s="484"/>
      <c r="T130" s="484"/>
      <c r="U130" s="484"/>
      <c r="V130" s="484"/>
      <c r="W130" s="484"/>
      <c r="X130" s="484"/>
      <c r="Y130" s="484"/>
    </row>
    <row r="131">
      <c r="A131" s="10" t="s">
        <v>284</v>
      </c>
      <c r="B131" s="499" t="s">
        <v>872</v>
      </c>
      <c r="C131" s="484"/>
      <c r="D131" s="484"/>
      <c r="E131" s="484"/>
      <c r="F131" s="484"/>
      <c r="G131" s="10" t="s">
        <v>673</v>
      </c>
      <c r="H131" s="499" t="s">
        <v>1072</v>
      </c>
      <c r="I131" s="484"/>
      <c r="J131" s="484"/>
      <c r="K131" s="484"/>
      <c r="L131" s="200" t="s">
        <v>424</v>
      </c>
      <c r="M131" s="499" t="s">
        <v>715</v>
      </c>
      <c r="N131" s="484"/>
      <c r="O131" s="484"/>
      <c r="P131" s="499" t="str">
        <f>IFERROR(__xludf.DUMMYFUNCTION("""COMPUTED_VALUE"""),"hitomi.izawa@multco.us")</f>
        <v>hitomi.izawa@multco.us</v>
      </c>
      <c r="Q131" s="484"/>
      <c r="R131" s="484"/>
      <c r="S131" s="484"/>
      <c r="T131" s="484"/>
      <c r="U131" s="484"/>
      <c r="V131" s="484"/>
      <c r="W131" s="484"/>
      <c r="X131" s="484"/>
      <c r="Y131" s="484"/>
    </row>
    <row r="132">
      <c r="A132" s="10" t="s">
        <v>111</v>
      </c>
      <c r="B132" s="499" t="s">
        <v>876</v>
      </c>
      <c r="C132" s="484"/>
      <c r="D132" s="484"/>
      <c r="E132" s="484"/>
      <c r="F132" s="484"/>
      <c r="G132" s="10" t="s">
        <v>675</v>
      </c>
      <c r="H132" s="499" t="s">
        <v>1106</v>
      </c>
      <c r="I132" s="484"/>
      <c r="J132" s="484"/>
      <c r="K132" s="484"/>
      <c r="L132" s="200" t="s">
        <v>427</v>
      </c>
      <c r="M132" s="499" t="s">
        <v>720</v>
      </c>
      <c r="N132" s="484"/>
      <c r="O132" s="484"/>
      <c r="P132" s="499" t="str">
        <f>IFERROR(__xludf.DUMMYFUNCTION("""COMPUTED_VALUE"""),"nadia.takla@multco.us")</f>
        <v>nadia.takla@multco.us</v>
      </c>
      <c r="Q132" s="484"/>
      <c r="R132" s="484"/>
      <c r="S132" s="484"/>
      <c r="T132" s="484"/>
      <c r="U132" s="484"/>
      <c r="V132" s="484"/>
      <c r="W132" s="484"/>
      <c r="X132" s="484"/>
      <c r="Y132" s="484"/>
    </row>
    <row r="133">
      <c r="A133" s="10" t="s">
        <v>569</v>
      </c>
      <c r="B133" s="499" t="s">
        <v>883</v>
      </c>
      <c r="C133" s="484"/>
      <c r="D133" s="484"/>
      <c r="E133" s="484"/>
      <c r="F133" s="484"/>
      <c r="G133" s="10" t="s">
        <v>685</v>
      </c>
      <c r="H133" s="499" t="s">
        <v>1116</v>
      </c>
      <c r="I133" s="484"/>
      <c r="J133" s="484"/>
      <c r="K133" s="484"/>
      <c r="L133" s="200" t="s">
        <v>431</v>
      </c>
      <c r="M133" s="499" t="s">
        <v>725</v>
      </c>
      <c r="N133" s="484"/>
      <c r="O133" s="484"/>
      <c r="P133" s="499" t="str">
        <f>IFERROR(__xludf.DUMMYFUNCTION("""COMPUTED_VALUE"""),"crystal.gallaher@multco.us")</f>
        <v>crystal.gallaher@multco.us</v>
      </c>
      <c r="Q133" s="484"/>
      <c r="R133" s="484"/>
      <c r="S133" s="484"/>
      <c r="T133" s="484"/>
      <c r="U133" s="484"/>
      <c r="V133" s="484"/>
      <c r="W133" s="484"/>
      <c r="X133" s="484"/>
      <c r="Y133" s="484"/>
    </row>
    <row r="134">
      <c r="A134" s="10" t="s">
        <v>487</v>
      </c>
      <c r="B134" s="499" t="s">
        <v>887</v>
      </c>
      <c r="C134" s="484"/>
      <c r="D134" s="484"/>
      <c r="E134" s="484"/>
      <c r="F134" s="484"/>
      <c r="G134" s="10" t="s">
        <v>694</v>
      </c>
      <c r="H134" s="499" t="s">
        <v>195</v>
      </c>
      <c r="I134" s="484"/>
      <c r="J134" s="484"/>
      <c r="K134" s="484"/>
      <c r="L134" s="415" t="s">
        <v>94</v>
      </c>
      <c r="M134" s="499" t="s">
        <v>728</v>
      </c>
      <c r="N134" s="484"/>
      <c r="O134" s="484"/>
      <c r="P134" s="499" t="str">
        <f>IFERROR(__xludf.DUMMYFUNCTION("""COMPUTED_VALUE"""),"sahaya.myles@multco.us")</f>
        <v>sahaya.myles@multco.us</v>
      </c>
      <c r="Q134" s="484"/>
      <c r="R134" s="484"/>
      <c r="S134" s="484"/>
      <c r="T134" s="484"/>
      <c r="U134" s="484"/>
      <c r="V134" s="484"/>
      <c r="W134" s="484"/>
      <c r="X134" s="484"/>
      <c r="Y134" s="484"/>
    </row>
    <row r="135">
      <c r="A135" s="10" t="s">
        <v>574</v>
      </c>
      <c r="B135" s="499" t="s">
        <v>895</v>
      </c>
      <c r="C135" s="484"/>
      <c r="D135" s="484"/>
      <c r="E135" s="484"/>
      <c r="F135" s="484"/>
      <c r="G135" s="10" t="s">
        <v>697</v>
      </c>
      <c r="H135" s="499" t="s">
        <v>366</v>
      </c>
      <c r="I135" s="484"/>
      <c r="J135" s="484"/>
      <c r="K135" s="484"/>
      <c r="L135" s="200" t="s">
        <v>436</v>
      </c>
      <c r="M135" s="499" t="s">
        <v>733</v>
      </c>
      <c r="N135" s="484"/>
      <c r="O135" s="484"/>
      <c r="P135" s="499" t="str">
        <f>IFERROR(__xludf.DUMMYFUNCTION("""COMPUTED_VALUE"""),"deloris.griggs@multco.us")</f>
        <v>deloris.griggs@multco.us</v>
      </c>
      <c r="Q135" s="484"/>
      <c r="R135" s="484"/>
      <c r="S135" s="484"/>
      <c r="T135" s="484"/>
      <c r="U135" s="484"/>
      <c r="V135" s="484"/>
      <c r="W135" s="484"/>
      <c r="X135" s="484"/>
      <c r="Y135" s="484"/>
    </row>
    <row r="136">
      <c r="A136" s="10" t="s">
        <v>577</v>
      </c>
      <c r="B136" s="499" t="s">
        <v>897</v>
      </c>
      <c r="C136" s="484"/>
      <c r="D136" s="484"/>
      <c r="E136" s="484"/>
      <c r="F136" s="484"/>
      <c r="G136" s="10" t="s">
        <v>699</v>
      </c>
      <c r="H136" s="499" t="s">
        <v>1060</v>
      </c>
      <c r="I136" s="484"/>
      <c r="J136" s="484"/>
      <c r="K136" s="484"/>
      <c r="L136" s="414" t="s">
        <v>123</v>
      </c>
      <c r="M136" s="499" t="s">
        <v>737</v>
      </c>
      <c r="N136" s="484"/>
      <c r="O136" s="484"/>
      <c r="P136" s="499" t="str">
        <f>IFERROR(__xludf.DUMMYFUNCTION("""COMPUTED_VALUE"""),"dieuson.alix@multco.us")</f>
        <v>dieuson.alix@multco.us</v>
      </c>
      <c r="Q136" s="484"/>
      <c r="R136" s="484"/>
      <c r="S136" s="484"/>
      <c r="T136" s="484"/>
      <c r="U136" s="484"/>
      <c r="V136" s="484"/>
      <c r="W136" s="484"/>
      <c r="X136" s="484"/>
      <c r="Y136" s="484"/>
    </row>
    <row r="137">
      <c r="A137" s="10" t="s">
        <v>137</v>
      </c>
      <c r="B137" s="499" t="s">
        <v>925</v>
      </c>
      <c r="C137" s="484"/>
      <c r="D137" s="484"/>
      <c r="E137" s="484"/>
      <c r="F137" s="484"/>
      <c r="G137" s="10" t="s">
        <v>703</v>
      </c>
      <c r="H137" s="499" t="s">
        <v>1224</v>
      </c>
      <c r="I137" s="484"/>
      <c r="J137" s="484"/>
      <c r="K137" s="484"/>
      <c r="L137" s="200" t="s">
        <v>201</v>
      </c>
      <c r="M137" s="499" t="s">
        <v>741</v>
      </c>
      <c r="N137" s="484"/>
      <c r="O137" s="484"/>
      <c r="P137" s="499" t="str">
        <f>IFERROR(__xludf.DUMMYFUNCTION("""COMPUTED_VALUE"""),"nicole.cleary@multco.us")</f>
        <v>nicole.cleary@multco.us</v>
      </c>
      <c r="Q137" s="484"/>
      <c r="R137" s="484"/>
      <c r="S137" s="484"/>
      <c r="T137" s="484"/>
      <c r="U137" s="484"/>
      <c r="V137" s="484"/>
      <c r="W137" s="484"/>
      <c r="X137" s="484"/>
      <c r="Y137" s="484"/>
    </row>
    <row r="138">
      <c r="A138" s="10" t="s">
        <v>2934</v>
      </c>
      <c r="B138" s="499" t="s">
        <v>938</v>
      </c>
      <c r="C138" s="484"/>
      <c r="D138" s="484"/>
      <c r="E138" s="484"/>
      <c r="F138" s="484"/>
      <c r="G138" s="10" t="s">
        <v>706</v>
      </c>
      <c r="H138" s="499" t="s">
        <v>1242</v>
      </c>
      <c r="I138" s="484"/>
      <c r="J138" s="484"/>
      <c r="K138" s="484"/>
      <c r="L138" s="414" t="s">
        <v>445</v>
      </c>
      <c r="M138" s="499" t="s">
        <v>747</v>
      </c>
      <c r="N138" s="484"/>
      <c r="O138" s="484"/>
      <c r="P138" s="499" t="str">
        <f>IFERROR(__xludf.DUMMYFUNCTION("""COMPUTED_VALUE"""),"robert.conrad@multco.us")</f>
        <v>robert.conrad@multco.us</v>
      </c>
      <c r="Q138" s="484"/>
      <c r="R138" s="484"/>
      <c r="S138" s="484"/>
      <c r="T138" s="484"/>
      <c r="U138" s="484"/>
      <c r="V138" s="484"/>
      <c r="W138" s="484"/>
      <c r="X138" s="484"/>
      <c r="Y138" s="484"/>
    </row>
    <row r="139">
      <c r="A139" s="10" t="s">
        <v>586</v>
      </c>
      <c r="B139" s="499" t="s">
        <v>943</v>
      </c>
      <c r="C139" s="484"/>
      <c r="D139" s="484"/>
      <c r="E139" s="484"/>
      <c r="F139" s="484"/>
      <c r="G139" s="10" t="s">
        <v>707</v>
      </c>
      <c r="H139" s="499" t="s">
        <v>516</v>
      </c>
      <c r="I139" s="484"/>
      <c r="J139" s="484"/>
      <c r="K139" s="484"/>
      <c r="L139" s="200" t="s">
        <v>449</v>
      </c>
      <c r="M139" s="499" t="s">
        <v>752</v>
      </c>
      <c r="N139" s="484"/>
      <c r="O139" s="484"/>
      <c r="P139" s="499" t="str">
        <f>IFERROR(__xludf.DUMMYFUNCTION("""COMPUTED_VALUE"""),"kelly.burgess@multco.us")</f>
        <v>kelly.burgess@multco.us</v>
      </c>
      <c r="Q139" s="484"/>
      <c r="R139" s="484"/>
      <c r="S139" s="484"/>
      <c r="T139" s="484"/>
      <c r="U139" s="484"/>
      <c r="V139" s="484"/>
      <c r="W139" s="484"/>
      <c r="X139" s="484"/>
      <c r="Y139" s="484"/>
    </row>
    <row r="140">
      <c r="A140" s="10" t="s">
        <v>589</v>
      </c>
      <c r="B140" s="499" t="s">
        <v>947</v>
      </c>
      <c r="C140" s="484"/>
      <c r="D140" s="484"/>
      <c r="E140" s="484"/>
      <c r="F140" s="484"/>
      <c r="G140" s="10" t="s">
        <v>710</v>
      </c>
      <c r="H140" s="499" t="s">
        <v>219</v>
      </c>
      <c r="I140" s="484"/>
      <c r="J140" s="484"/>
      <c r="K140" s="484"/>
      <c r="L140" s="200" t="s">
        <v>416</v>
      </c>
      <c r="M140" s="499" t="s">
        <v>757</v>
      </c>
      <c r="N140" s="484"/>
      <c r="O140" s="484"/>
      <c r="P140" s="499" t="str">
        <f>IFERROR(__xludf.DUMMYFUNCTION("""COMPUTED_VALUE"""),"kam.taylor@multco.us")</f>
        <v>kam.taylor@multco.us</v>
      </c>
      <c r="Q140" s="484"/>
      <c r="R140" s="484"/>
      <c r="S140" s="484"/>
      <c r="T140" s="484"/>
      <c r="U140" s="484"/>
      <c r="V140" s="484"/>
      <c r="W140" s="484"/>
      <c r="X140" s="484"/>
      <c r="Y140" s="484"/>
    </row>
    <row r="141">
      <c r="A141" s="10" t="s">
        <v>595</v>
      </c>
      <c r="B141" s="499" t="s">
        <v>293</v>
      </c>
      <c r="C141" s="484"/>
      <c r="D141" s="484"/>
      <c r="E141" s="484"/>
      <c r="F141" s="484"/>
      <c r="G141" s="10" t="s">
        <v>183</v>
      </c>
      <c r="H141" s="499" t="s">
        <v>201</v>
      </c>
      <c r="I141" s="484"/>
      <c r="J141" s="484"/>
      <c r="K141" s="484"/>
      <c r="L141" s="200" t="s">
        <v>459</v>
      </c>
      <c r="M141" s="499" t="s">
        <v>760</v>
      </c>
      <c r="N141" s="484"/>
      <c r="O141" s="484"/>
      <c r="P141" s="499" t="str">
        <f>IFERROR(__xludf.DUMMYFUNCTION("""COMPUTED_VALUE"""),"trina.connolly-fairchild@multco.us")</f>
        <v>trina.connolly-fairchild@multco.us</v>
      </c>
      <c r="Q141" s="484"/>
      <c r="R141" s="484"/>
      <c r="S141" s="484"/>
      <c r="T141" s="484"/>
      <c r="U141" s="484"/>
      <c r="V141" s="484"/>
      <c r="W141" s="484"/>
      <c r="X141" s="484"/>
      <c r="Y141" s="484"/>
    </row>
    <row r="142">
      <c r="A142" s="10" t="s">
        <v>600</v>
      </c>
      <c r="B142" s="499" t="s">
        <v>954</v>
      </c>
      <c r="C142" s="484"/>
      <c r="D142" s="484"/>
      <c r="E142" s="484"/>
      <c r="F142" s="484"/>
      <c r="G142" s="10" t="s">
        <v>725</v>
      </c>
      <c r="H142" s="499" t="s">
        <v>276</v>
      </c>
      <c r="I142" s="484"/>
      <c r="J142" s="484"/>
      <c r="K142" s="484"/>
      <c r="L142" s="200" t="s">
        <v>461</v>
      </c>
      <c r="M142" s="499" t="s">
        <v>771</v>
      </c>
      <c r="N142" s="484"/>
      <c r="O142" s="484"/>
      <c r="P142" s="499" t="str">
        <f>IFERROR(__xludf.DUMMYFUNCTION("""COMPUTED_VALUE"""),"ellene.smith@multco.us")</f>
        <v>ellene.smith@multco.us</v>
      </c>
      <c r="Q142" s="484"/>
      <c r="R142" s="484"/>
      <c r="S142" s="484"/>
      <c r="T142" s="484"/>
      <c r="U142" s="484"/>
      <c r="V142" s="484"/>
      <c r="W142" s="484"/>
      <c r="X142" s="484"/>
      <c r="Y142" s="484"/>
    </row>
    <row r="143">
      <c r="A143" s="10" t="s">
        <v>604</v>
      </c>
      <c r="B143" s="499" t="s">
        <v>959</v>
      </c>
      <c r="C143" s="484"/>
      <c r="D143" s="484"/>
      <c r="E143" s="484"/>
      <c r="F143" s="484"/>
      <c r="G143" s="10" t="s">
        <v>728</v>
      </c>
      <c r="H143" s="499" t="s">
        <v>1280</v>
      </c>
      <c r="I143" s="484"/>
      <c r="J143" s="484"/>
      <c r="K143" s="484"/>
      <c r="L143" s="200" t="s">
        <v>416</v>
      </c>
      <c r="M143" s="499" t="s">
        <v>775</v>
      </c>
      <c r="N143" s="484"/>
      <c r="O143" s="484"/>
      <c r="P143" s="499" t="str">
        <f>IFERROR(__xludf.DUMMYFUNCTION("""COMPUTED_VALUE"""),"mossie.ogilvie@multco.us")</f>
        <v>mossie.ogilvie@multco.us</v>
      </c>
      <c r="Q143" s="484"/>
      <c r="R143" s="484"/>
      <c r="S143" s="484"/>
      <c r="T143" s="484"/>
      <c r="U143" s="484"/>
      <c r="V143" s="484"/>
      <c r="W143" s="484"/>
      <c r="X143" s="484"/>
      <c r="Y143" s="484"/>
    </row>
    <row r="144">
      <c r="A144" s="10" t="s">
        <v>616</v>
      </c>
      <c r="B144" s="499" t="s">
        <v>134</v>
      </c>
      <c r="C144" s="484"/>
      <c r="D144" s="484"/>
      <c r="E144" s="484"/>
      <c r="F144" s="484"/>
      <c r="G144" s="138" t="s">
        <v>183</v>
      </c>
      <c r="H144" s="499" t="s">
        <v>1284</v>
      </c>
      <c r="I144" s="484"/>
      <c r="J144" s="484"/>
      <c r="K144" s="484"/>
      <c r="L144" s="200" t="s">
        <v>37</v>
      </c>
      <c r="M144" s="499" t="s">
        <v>785</v>
      </c>
      <c r="N144" s="484"/>
      <c r="O144" s="484"/>
      <c r="P144" s="499" t="str">
        <f>IFERROR(__xludf.DUMMYFUNCTION("""COMPUTED_VALUE"""),"damon.mosley@multco.us")</f>
        <v>damon.mosley@multco.us</v>
      </c>
      <c r="Q144" s="484"/>
      <c r="R144" s="484"/>
      <c r="S144" s="484"/>
      <c r="T144" s="484"/>
      <c r="U144" s="484"/>
      <c r="V144" s="484"/>
      <c r="W144" s="484"/>
      <c r="X144" s="484"/>
      <c r="Y144" s="484"/>
    </row>
    <row r="145">
      <c r="A145" s="10" t="s">
        <v>620</v>
      </c>
      <c r="B145" s="499" t="s">
        <v>969</v>
      </c>
      <c r="C145" s="484"/>
      <c r="D145" s="484"/>
      <c r="E145" s="484"/>
      <c r="F145" s="484"/>
      <c r="G145" s="10" t="s">
        <v>733</v>
      </c>
      <c r="H145" s="499" t="s">
        <v>1306</v>
      </c>
      <c r="I145" s="484"/>
      <c r="J145" s="484"/>
      <c r="K145" s="484"/>
      <c r="L145" s="200" t="s">
        <v>37</v>
      </c>
      <c r="M145" s="499" t="s">
        <v>789</v>
      </c>
      <c r="N145" s="484"/>
      <c r="O145" s="484"/>
      <c r="P145" s="499" t="str">
        <f>IFERROR(__xludf.DUMMYFUNCTION("""COMPUTED_VALUE"""),"rosa.t.nguyen@multco.us")</f>
        <v>rosa.t.nguyen@multco.us</v>
      </c>
      <c r="Q145" s="484"/>
      <c r="R145" s="484"/>
      <c r="S145" s="484"/>
      <c r="T145" s="484"/>
      <c r="U145" s="484"/>
      <c r="V145" s="484"/>
      <c r="W145" s="484"/>
      <c r="X145" s="484"/>
      <c r="Y145" s="484"/>
    </row>
    <row r="146">
      <c r="A146" s="10" t="s">
        <v>272</v>
      </c>
      <c r="B146" s="499" t="s">
        <v>972</v>
      </c>
      <c r="C146" s="484"/>
      <c r="D146" s="484"/>
      <c r="E146" s="484"/>
      <c r="F146" s="484"/>
      <c r="G146" s="10" t="s">
        <v>737</v>
      </c>
      <c r="H146" s="499" t="s">
        <v>1318</v>
      </c>
      <c r="I146" s="484"/>
      <c r="J146" s="484"/>
      <c r="K146" s="484"/>
      <c r="L146" s="200" t="s">
        <v>37</v>
      </c>
      <c r="M146" s="499" t="s">
        <v>794</v>
      </c>
      <c r="N146" s="484"/>
      <c r="O146" s="484"/>
      <c r="P146" s="499" t="str">
        <f>IFERROR(__xludf.DUMMYFUNCTION("""COMPUTED_VALUE"""),"carla.m.navarrete@multco.us")</f>
        <v>carla.m.navarrete@multco.us</v>
      </c>
      <c r="Q146" s="484"/>
      <c r="R146" s="484"/>
      <c r="S146" s="484"/>
      <c r="T146" s="484"/>
      <c r="U146" s="484"/>
      <c r="V146" s="484"/>
      <c r="W146" s="484"/>
      <c r="X146" s="484"/>
      <c r="Y146" s="484"/>
    </row>
    <row r="147">
      <c r="A147" s="10" t="s">
        <v>624</v>
      </c>
      <c r="B147" s="499" t="s">
        <v>980</v>
      </c>
      <c r="C147" s="484"/>
      <c r="D147" s="484"/>
      <c r="E147" s="484"/>
      <c r="F147" s="484"/>
      <c r="G147" s="10" t="s">
        <v>747</v>
      </c>
      <c r="H147" s="499" t="s">
        <v>1322</v>
      </c>
      <c r="I147" s="484"/>
      <c r="J147" s="484"/>
      <c r="K147" s="484"/>
      <c r="L147" s="200" t="s">
        <v>382</v>
      </c>
      <c r="M147" s="499" t="s">
        <v>826</v>
      </c>
      <c r="N147" s="484"/>
      <c r="O147" s="484"/>
      <c r="P147" s="499" t="str">
        <f>IFERROR(__xludf.DUMMYFUNCTION("""COMPUTED_VALUE"""),"lydia.giles@multco.us")</f>
        <v>lydia.giles@multco.us</v>
      </c>
      <c r="Q147" s="484"/>
      <c r="R147" s="484"/>
      <c r="S147" s="484"/>
      <c r="T147" s="484"/>
      <c r="U147" s="484"/>
      <c r="V147" s="484"/>
      <c r="W147" s="484"/>
      <c r="X147" s="484"/>
      <c r="Y147" s="484"/>
    </row>
    <row r="148">
      <c r="A148" s="10" t="s">
        <v>247</v>
      </c>
      <c r="B148" s="499" t="s">
        <v>986</v>
      </c>
      <c r="C148" s="484"/>
      <c r="D148" s="484"/>
      <c r="E148" s="484"/>
      <c r="F148" s="484"/>
      <c r="G148" s="10" t="s">
        <v>747</v>
      </c>
      <c r="H148" s="499" t="s">
        <v>1345</v>
      </c>
      <c r="I148" s="484"/>
      <c r="J148" s="484"/>
      <c r="K148" s="484"/>
      <c r="L148" s="200" t="s">
        <v>85</v>
      </c>
      <c r="M148" s="499" t="s">
        <v>836</v>
      </c>
      <c r="N148" s="484"/>
      <c r="O148" s="484"/>
      <c r="P148" s="499" t="str">
        <f>IFERROR(__xludf.DUMMYFUNCTION("""COMPUTED_VALUE"""),"bobbie.simmons@multco.us")</f>
        <v>bobbie.simmons@multco.us</v>
      </c>
      <c r="Q148" s="484"/>
      <c r="R148" s="484"/>
      <c r="S148" s="484"/>
      <c r="T148" s="484"/>
      <c r="U148" s="484"/>
      <c r="V148" s="484"/>
      <c r="W148" s="484"/>
      <c r="X148" s="484"/>
      <c r="Y148" s="484"/>
    </row>
    <row r="149">
      <c r="A149" s="10" t="s">
        <v>111</v>
      </c>
      <c r="B149" s="499" t="s">
        <v>1000</v>
      </c>
      <c r="C149" s="484"/>
      <c r="D149" s="484"/>
      <c r="E149" s="484"/>
      <c r="F149" s="484"/>
      <c r="G149" s="10" t="s">
        <v>747</v>
      </c>
      <c r="H149" s="499" t="s">
        <v>1425</v>
      </c>
      <c r="I149" s="484"/>
      <c r="J149" s="484"/>
      <c r="K149" s="484"/>
      <c r="L149" s="200" t="s">
        <v>85</v>
      </c>
      <c r="M149" s="499" t="s">
        <v>780</v>
      </c>
      <c r="N149" s="484"/>
      <c r="O149" s="484"/>
      <c r="P149" s="499" t="str">
        <f>IFERROR(__xludf.DUMMYFUNCTION("""COMPUTED_VALUE"""),"lizzy.culbertson@multco.us")</f>
        <v>lizzy.culbertson@multco.us</v>
      </c>
      <c r="Q149" s="484"/>
      <c r="R149" s="484"/>
      <c r="S149" s="484"/>
      <c r="T149" s="484"/>
      <c r="U149" s="484"/>
      <c r="V149" s="484"/>
      <c r="W149" s="484"/>
      <c r="X149" s="484"/>
      <c r="Y149" s="484"/>
    </row>
    <row r="150">
      <c r="A150" s="10" t="s">
        <v>586</v>
      </c>
      <c r="B150" s="499" t="s">
        <v>323</v>
      </c>
      <c r="C150" s="484"/>
      <c r="D150" s="484"/>
      <c r="E150" s="484"/>
      <c r="F150" s="484"/>
      <c r="G150" s="10" t="s">
        <v>752</v>
      </c>
      <c r="H150" s="499" t="s">
        <v>1461</v>
      </c>
      <c r="I150" s="484"/>
      <c r="J150" s="484"/>
      <c r="K150" s="484"/>
      <c r="L150" s="200" t="s">
        <v>85</v>
      </c>
      <c r="M150" s="499" t="s">
        <v>852</v>
      </c>
      <c r="N150" s="484"/>
      <c r="O150" s="484"/>
      <c r="P150" s="499" t="str">
        <f>IFERROR(__xludf.DUMMYFUNCTION("""COMPUTED_VALUE"""),"jonathan.ramirez@multco.us")</f>
        <v>jonathan.ramirez@multco.us</v>
      </c>
      <c r="Q150" s="484"/>
      <c r="R150" s="484"/>
      <c r="S150" s="484"/>
      <c r="T150" s="484"/>
      <c r="U150" s="484"/>
      <c r="V150" s="484"/>
      <c r="W150" s="484"/>
      <c r="X150" s="484"/>
      <c r="Y150" s="484"/>
    </row>
    <row r="151">
      <c r="A151" s="10" t="s">
        <v>636</v>
      </c>
      <c r="B151" s="499" t="s">
        <v>1025</v>
      </c>
      <c r="C151" s="484"/>
      <c r="D151" s="484"/>
      <c r="E151" s="484"/>
      <c r="F151" s="484"/>
      <c r="G151" s="10" t="s">
        <v>757</v>
      </c>
      <c r="H151" s="499" t="s">
        <v>1503</v>
      </c>
      <c r="I151" s="484"/>
      <c r="J151" s="484"/>
      <c r="K151" s="484"/>
      <c r="L151" s="200" t="s">
        <v>479</v>
      </c>
      <c r="M151" s="499" t="s">
        <v>868</v>
      </c>
      <c r="N151" s="484"/>
      <c r="O151" s="484"/>
      <c r="P151" s="499" t="str">
        <f>IFERROR(__xludf.DUMMYFUNCTION("""COMPUTED_VALUE"""),"natalie.amar@multco.us")</f>
        <v>natalie.amar@multco.us</v>
      </c>
      <c r="Q151" s="484"/>
      <c r="R151" s="484"/>
      <c r="S151" s="484"/>
      <c r="T151" s="484"/>
      <c r="U151" s="484"/>
      <c r="V151" s="484"/>
      <c r="W151" s="484"/>
      <c r="X151" s="484"/>
      <c r="Y151" s="484"/>
    </row>
    <row r="152">
      <c r="A152" s="10" t="s">
        <v>639</v>
      </c>
      <c r="B152" s="499" t="s">
        <v>1032</v>
      </c>
      <c r="C152" s="484"/>
      <c r="D152" s="484"/>
      <c r="E152" s="484"/>
      <c r="F152" s="484"/>
      <c r="G152" s="10" t="s">
        <v>760</v>
      </c>
      <c r="H152" s="499" t="s">
        <v>1532</v>
      </c>
      <c r="I152" s="484"/>
      <c r="J152" s="484"/>
      <c r="K152" s="484"/>
      <c r="L152" s="200" t="s">
        <v>482</v>
      </c>
      <c r="M152" s="499" t="s">
        <v>872</v>
      </c>
      <c r="N152" s="484"/>
      <c r="O152" s="484"/>
      <c r="P152" s="499" t="str">
        <f>IFERROR(__xludf.DUMMYFUNCTION("""COMPUTED_VALUE"""),"tosha.shelepova@multco.us")</f>
        <v>tosha.shelepova@multco.us</v>
      </c>
      <c r="Q152" s="484"/>
      <c r="R152" s="484"/>
      <c r="S152" s="484"/>
      <c r="T152" s="484"/>
      <c r="U152" s="484"/>
      <c r="V152" s="484"/>
      <c r="W152" s="484"/>
      <c r="X152" s="484"/>
      <c r="Y152" s="484"/>
    </row>
    <row r="153">
      <c r="A153" s="10" t="s">
        <v>148</v>
      </c>
      <c r="B153" s="499" t="s">
        <v>1041</v>
      </c>
      <c r="C153" s="484"/>
      <c r="D153" s="484"/>
      <c r="E153" s="484"/>
      <c r="F153" s="484"/>
      <c r="G153" s="10" t="s">
        <v>771</v>
      </c>
      <c r="H153" s="499" t="s">
        <v>1539</v>
      </c>
      <c r="I153" s="484"/>
      <c r="J153" s="484"/>
      <c r="K153" s="484"/>
      <c r="L153" s="200" t="s">
        <v>487</v>
      </c>
      <c r="M153" s="499" t="s">
        <v>876</v>
      </c>
      <c r="N153" s="484"/>
      <c r="O153" s="484"/>
      <c r="P153" s="499" t="str">
        <f>IFERROR(__xludf.DUMMYFUNCTION("""COMPUTED_VALUE"""),"leigh.hedrick@multco.us")</f>
        <v>leigh.hedrick@multco.us</v>
      </c>
      <c r="Q153" s="484"/>
      <c r="R153" s="484"/>
      <c r="S153" s="484"/>
      <c r="T153" s="484"/>
      <c r="U153" s="484"/>
      <c r="V153" s="484"/>
      <c r="W153" s="484"/>
      <c r="X153" s="484"/>
      <c r="Y153" s="484"/>
    </row>
    <row r="154">
      <c r="A154" s="10" t="s">
        <v>595</v>
      </c>
      <c r="B154" s="499" t="s">
        <v>1045</v>
      </c>
      <c r="C154" s="484"/>
      <c r="D154" s="484"/>
      <c r="E154" s="484"/>
      <c r="F154" s="484"/>
      <c r="G154" s="10" t="s">
        <v>775</v>
      </c>
      <c r="H154" s="499" t="s">
        <v>1547</v>
      </c>
      <c r="I154" s="484"/>
      <c r="J154" s="484"/>
      <c r="K154" s="484"/>
      <c r="L154" s="200" t="s">
        <v>490</v>
      </c>
      <c r="M154" s="499" t="s">
        <v>883</v>
      </c>
      <c r="N154" s="484"/>
      <c r="O154" s="484"/>
      <c r="P154" s="499" t="str">
        <f>IFERROR(__xludf.DUMMYFUNCTION("""COMPUTED_VALUE"""),"rose-yvenie.alexandre@multco.us")</f>
        <v>rose-yvenie.alexandre@multco.us</v>
      </c>
      <c r="Q154" s="484"/>
      <c r="R154" s="484"/>
      <c r="S154" s="484"/>
      <c r="T154" s="484"/>
      <c r="U154" s="484"/>
      <c r="V154" s="484"/>
      <c r="W154" s="484"/>
      <c r="X154" s="484"/>
      <c r="Y154" s="484"/>
    </row>
    <row r="155">
      <c r="A155" s="10" t="s">
        <v>407</v>
      </c>
      <c r="B155" s="499" t="s">
        <v>1072</v>
      </c>
      <c r="C155" s="484"/>
      <c r="D155" s="484"/>
      <c r="E155" s="484"/>
      <c r="F155" s="484"/>
      <c r="G155" s="10" t="s">
        <v>785</v>
      </c>
      <c r="H155" s="484" t="s">
        <v>101</v>
      </c>
      <c r="I155" s="484"/>
      <c r="J155" s="484"/>
      <c r="K155" s="484"/>
      <c r="L155" s="200" t="s">
        <v>494</v>
      </c>
      <c r="M155" s="499" t="s">
        <v>887</v>
      </c>
      <c r="N155" s="484"/>
      <c r="O155" s="484"/>
      <c r="P155" s="499" t="str">
        <f>IFERROR(__xludf.DUMMYFUNCTION("""COMPUTED_VALUE"""),"jordyn.pasiak@multco.us")</f>
        <v>jordyn.pasiak@multco.us</v>
      </c>
      <c r="Q155" s="484"/>
      <c r="R155" s="484"/>
      <c r="S155" s="484"/>
      <c r="T155" s="484"/>
      <c r="U155" s="484"/>
      <c r="V155" s="484"/>
      <c r="W155" s="484"/>
      <c r="X155" s="484"/>
      <c r="Y155" s="484"/>
    </row>
    <row r="156">
      <c r="A156" s="10" t="s">
        <v>650</v>
      </c>
      <c r="B156" s="499" t="s">
        <v>1103</v>
      </c>
      <c r="C156" s="484"/>
      <c r="D156" s="484"/>
      <c r="E156" s="484"/>
      <c r="F156" s="484"/>
      <c r="G156" s="10" t="s">
        <v>794</v>
      </c>
      <c r="H156" s="484" t="s">
        <v>1586</v>
      </c>
      <c r="I156" s="484"/>
      <c r="J156" s="484"/>
      <c r="K156" s="484"/>
      <c r="L156" s="200" t="s">
        <v>85</v>
      </c>
      <c r="M156" s="499" t="s">
        <v>895</v>
      </c>
      <c r="N156" s="484"/>
      <c r="O156" s="484"/>
      <c r="P156" s="499" t="str">
        <f>IFERROR(__xludf.DUMMYFUNCTION("""COMPUTED_VALUE"""),"rachael.jackson@multco.us")</f>
        <v>rachael.jackson@multco.us</v>
      </c>
      <c r="Q156" s="484"/>
      <c r="R156" s="484"/>
      <c r="S156" s="484"/>
      <c r="T156" s="484"/>
      <c r="U156" s="484"/>
      <c r="V156" s="484"/>
      <c r="W156" s="484"/>
      <c r="X156" s="484"/>
      <c r="Y156" s="484"/>
    </row>
    <row r="157">
      <c r="A157" s="10" t="s">
        <v>653</v>
      </c>
      <c r="B157" s="499" t="s">
        <v>1106</v>
      </c>
      <c r="C157" s="484"/>
      <c r="D157" s="484"/>
      <c r="E157" s="484"/>
      <c r="F157" s="484"/>
      <c r="G157" s="10" t="s">
        <v>760</v>
      </c>
      <c r="H157" s="484" t="s">
        <v>1267</v>
      </c>
      <c r="I157" s="484"/>
      <c r="J157" s="484"/>
      <c r="K157" s="484"/>
      <c r="L157" s="200" t="s">
        <v>500</v>
      </c>
      <c r="M157" s="499" t="s">
        <v>897</v>
      </c>
      <c r="N157" s="484"/>
      <c r="O157" s="484"/>
      <c r="P157" s="499" t="str">
        <f>IFERROR(__xludf.DUMMYFUNCTION("""COMPUTED_VALUE"""),"jenny.tsai@multco.us")</f>
        <v>jenny.tsai@multco.us</v>
      </c>
      <c r="Q157" s="484"/>
      <c r="R157" s="484"/>
      <c r="S157" s="484"/>
      <c r="T157" s="484"/>
      <c r="U157" s="484"/>
      <c r="V157" s="484"/>
      <c r="W157" s="484"/>
      <c r="X157" s="484"/>
      <c r="Y157" s="484"/>
    </row>
    <row r="158">
      <c r="A158" s="10" t="s">
        <v>541</v>
      </c>
      <c r="B158" s="499" t="s">
        <v>1116</v>
      </c>
      <c r="C158" s="484"/>
      <c r="D158" s="484"/>
      <c r="E158" s="484"/>
      <c r="F158" s="484"/>
      <c r="G158" s="10" t="s">
        <v>636</v>
      </c>
      <c r="H158" s="484" t="s">
        <v>1706</v>
      </c>
      <c r="I158" s="484"/>
      <c r="J158" s="484"/>
      <c r="K158" s="484"/>
      <c r="L158" s="200" t="s">
        <v>500</v>
      </c>
      <c r="M158" s="499" t="s">
        <v>912</v>
      </c>
      <c r="N158" s="484"/>
      <c r="O158" s="484"/>
      <c r="P158" s="499" t="str">
        <f>IFERROR(__xludf.DUMMYFUNCTION("""COMPUTED_VALUE"""),"areatae.mcghee@multco.us")</f>
        <v>areatae.mcghee@multco.us</v>
      </c>
      <c r="Q158" s="484"/>
      <c r="R158" s="484"/>
      <c r="S158" s="484"/>
      <c r="T158" s="484"/>
      <c r="U158" s="484"/>
      <c r="V158" s="484"/>
      <c r="W158" s="484"/>
      <c r="X158" s="484"/>
      <c r="Y158" s="484"/>
    </row>
    <row r="159">
      <c r="A159" s="10" t="s">
        <v>247</v>
      </c>
      <c r="B159" s="499" t="s">
        <v>195</v>
      </c>
      <c r="C159" s="484"/>
      <c r="D159" s="484"/>
      <c r="E159" s="484"/>
      <c r="F159" s="484"/>
      <c r="G159" s="10" t="s">
        <v>794</v>
      </c>
      <c r="H159" s="484" t="s">
        <v>1712</v>
      </c>
      <c r="I159" s="484"/>
      <c r="J159" s="484"/>
      <c r="K159" s="484"/>
      <c r="L159" s="200" t="s">
        <v>500</v>
      </c>
      <c r="M159" s="499" t="s">
        <v>925</v>
      </c>
      <c r="N159" s="484"/>
      <c r="O159" s="484"/>
      <c r="P159" s="499" t="str">
        <f>IFERROR(__xludf.DUMMYFUNCTION("""COMPUTED_VALUE"""),"ed.glasheen@multco.us")</f>
        <v>ed.glasheen@multco.us</v>
      </c>
      <c r="Q159" s="484"/>
      <c r="R159" s="484"/>
      <c r="S159" s="484"/>
      <c r="T159" s="484"/>
      <c r="U159" s="484"/>
      <c r="V159" s="484"/>
      <c r="W159" s="484"/>
      <c r="X159" s="484"/>
      <c r="Y159" s="484"/>
    </row>
    <row r="160">
      <c r="A160" s="10" t="s">
        <v>240</v>
      </c>
      <c r="B160" s="499" t="s">
        <v>1185</v>
      </c>
      <c r="C160" s="484"/>
      <c r="D160" s="484"/>
      <c r="E160" s="484"/>
      <c r="F160" s="484"/>
      <c r="G160" s="10" t="s">
        <v>305</v>
      </c>
      <c r="H160" s="484" t="s">
        <v>1746</v>
      </c>
      <c r="I160" s="484"/>
      <c r="J160" s="484"/>
      <c r="K160" s="484"/>
      <c r="L160" s="200" t="s">
        <v>482</v>
      </c>
      <c r="M160" s="499" t="s">
        <v>938</v>
      </c>
      <c r="N160" s="484"/>
      <c r="O160" s="484"/>
      <c r="P160" s="499" t="str">
        <f>IFERROR(__xludf.DUMMYFUNCTION("""COMPUTED_VALUE"""),"cee.bondurant@multco.us")</f>
        <v>cee.bondurant@multco.us</v>
      </c>
      <c r="Q160" s="484"/>
      <c r="R160" s="484"/>
      <c r="S160" s="484"/>
      <c r="T160" s="484"/>
      <c r="U160" s="484"/>
      <c r="V160" s="484"/>
      <c r="W160" s="484"/>
      <c r="X160" s="484"/>
      <c r="Y160" s="484"/>
    </row>
    <row r="161">
      <c r="A161" s="10" t="s">
        <v>577</v>
      </c>
      <c r="B161" s="499" t="s">
        <v>366</v>
      </c>
      <c r="C161" s="484"/>
      <c r="D161" s="484"/>
      <c r="E161" s="484"/>
      <c r="F161" s="484"/>
      <c r="G161" s="10" t="s">
        <v>94</v>
      </c>
      <c r="H161" s="484" t="s">
        <v>720</v>
      </c>
      <c r="I161" s="484"/>
      <c r="J161" s="484"/>
      <c r="K161" s="484"/>
      <c r="L161" s="200" t="s">
        <v>512</v>
      </c>
      <c r="M161" s="499" t="s">
        <v>943</v>
      </c>
      <c r="N161" s="484"/>
      <c r="O161" s="484"/>
      <c r="P161" s="499" t="str">
        <f>IFERROR(__xludf.DUMMYFUNCTION("""COMPUTED_VALUE"""),"nicole.thompson@multco.us")</f>
        <v>nicole.thompson@multco.us</v>
      </c>
      <c r="Q161" s="484"/>
      <c r="R161" s="484"/>
      <c r="S161" s="484"/>
      <c r="T161" s="484"/>
      <c r="U161" s="484"/>
      <c r="V161" s="484"/>
      <c r="W161" s="484"/>
      <c r="X161" s="484"/>
      <c r="Y161" s="484"/>
    </row>
    <row r="162">
      <c r="A162" s="10" t="s">
        <v>148</v>
      </c>
      <c r="B162" s="499" t="s">
        <v>1060</v>
      </c>
      <c r="C162" s="484"/>
      <c r="D162" s="484"/>
      <c r="E162" s="484"/>
      <c r="F162" s="484"/>
      <c r="G162" s="10" t="s">
        <v>675</v>
      </c>
      <c r="H162" s="484" t="s">
        <v>104</v>
      </c>
      <c r="I162" s="484"/>
      <c r="J162" s="484"/>
      <c r="K162" s="484"/>
      <c r="L162" s="200" t="s">
        <v>516</v>
      </c>
      <c r="M162" s="499" t="s">
        <v>947</v>
      </c>
      <c r="N162" s="484"/>
      <c r="O162" s="484"/>
      <c r="P162" s="499" t="str">
        <f>IFERROR(__xludf.DUMMYFUNCTION("""COMPUTED_VALUE"""),"julia.brown@multco.us")</f>
        <v>julia.brown@multco.us</v>
      </c>
      <c r="Q162" s="484"/>
      <c r="R162" s="484"/>
      <c r="S162" s="484"/>
      <c r="T162" s="484"/>
      <c r="U162" s="484"/>
      <c r="V162" s="484"/>
      <c r="W162" s="484"/>
      <c r="X162" s="484"/>
      <c r="Y162" s="484"/>
    </row>
    <row r="163">
      <c r="A163" s="10" t="s">
        <v>666</v>
      </c>
      <c r="B163" s="499" t="s">
        <v>1224</v>
      </c>
      <c r="C163" s="484"/>
      <c r="D163" s="484"/>
      <c r="E163" s="484"/>
      <c r="F163" s="484"/>
      <c r="G163" s="10" t="s">
        <v>697</v>
      </c>
      <c r="H163" s="484" t="s">
        <v>1902</v>
      </c>
      <c r="I163" s="484"/>
      <c r="J163" s="484"/>
      <c r="K163" s="484"/>
      <c r="L163" s="200" t="s">
        <v>516</v>
      </c>
      <c r="M163" s="499" t="s">
        <v>954</v>
      </c>
      <c r="N163" s="484"/>
      <c r="O163" s="484"/>
      <c r="P163" s="499" t="str">
        <f>IFERROR(__xludf.DUMMYFUNCTION("""COMPUTED_VALUE"""),"barry.taylor@multco.us")</f>
        <v>barry.taylor@multco.us</v>
      </c>
      <c r="Q163" s="484"/>
      <c r="R163" s="484"/>
      <c r="S163" s="484"/>
      <c r="T163" s="484"/>
      <c r="U163" s="484"/>
      <c r="V163" s="484"/>
      <c r="W163" s="484"/>
      <c r="X163" s="484"/>
      <c r="Y163" s="484"/>
    </row>
    <row r="164">
      <c r="A164" s="10" t="s">
        <v>586</v>
      </c>
      <c r="B164" s="499" t="s">
        <v>1242</v>
      </c>
      <c r="C164" s="484"/>
      <c r="D164" s="484"/>
      <c r="E164" s="484"/>
      <c r="F164" s="484"/>
      <c r="G164" s="10" t="s">
        <v>150</v>
      </c>
      <c r="H164" s="484" t="s">
        <v>1931</v>
      </c>
      <c r="I164" s="484"/>
      <c r="J164" s="484"/>
      <c r="K164" s="484"/>
      <c r="L164" s="200" t="s">
        <v>272</v>
      </c>
      <c r="M164" s="499" t="s">
        <v>959</v>
      </c>
      <c r="N164" s="484"/>
      <c r="O164" s="484"/>
      <c r="P164" s="499" t="str">
        <f>IFERROR(__xludf.DUMMYFUNCTION("""COMPUTED_VALUE"""),"carla.canseco-maca@multco.us")</f>
        <v>carla.canseco-maca@multco.us</v>
      </c>
      <c r="Q164" s="484"/>
      <c r="R164" s="484"/>
      <c r="S164" s="484"/>
      <c r="T164" s="484"/>
      <c r="U164" s="484"/>
      <c r="V164" s="484"/>
      <c r="W164" s="484"/>
      <c r="X164" s="484"/>
      <c r="Y164" s="484"/>
    </row>
    <row r="165">
      <c r="A165" s="10" t="s">
        <v>183</v>
      </c>
      <c r="B165" s="499" t="s">
        <v>516</v>
      </c>
      <c r="C165" s="484"/>
      <c r="D165" s="484"/>
      <c r="E165" s="484"/>
      <c r="F165" s="484"/>
      <c r="G165" s="10" t="s">
        <v>284</v>
      </c>
      <c r="H165" s="484" t="s">
        <v>436</v>
      </c>
      <c r="I165" s="484"/>
      <c r="J165" s="484"/>
      <c r="K165" s="484"/>
      <c r="L165" s="200" t="s">
        <v>522</v>
      </c>
      <c r="M165" s="499" t="s">
        <v>969</v>
      </c>
      <c r="N165" s="484"/>
      <c r="O165" s="484"/>
      <c r="P165" s="499" t="str">
        <f>IFERROR(__xludf.DUMMYFUNCTION("""COMPUTED_VALUE"""),"jay.auslander@multco.us")</f>
        <v>jay.auslander@multco.us</v>
      </c>
      <c r="Q165" s="484"/>
      <c r="R165" s="484"/>
      <c r="S165" s="484"/>
      <c r="T165" s="484"/>
      <c r="U165" s="484"/>
      <c r="V165" s="484"/>
      <c r="W165" s="484"/>
      <c r="X165" s="484"/>
      <c r="Y165" s="484"/>
    </row>
    <row r="166">
      <c r="A166" s="10" t="s">
        <v>673</v>
      </c>
      <c r="B166" s="499" t="s">
        <v>1253</v>
      </c>
      <c r="C166" s="484"/>
      <c r="D166" s="484"/>
      <c r="E166" s="484"/>
      <c r="F166" s="484"/>
      <c r="G166" s="10" t="s">
        <v>780</v>
      </c>
      <c r="H166" s="484" t="s">
        <v>1990</v>
      </c>
      <c r="I166" s="484"/>
      <c r="J166" s="484"/>
      <c r="K166" s="484"/>
      <c r="L166" s="200" t="s">
        <v>108</v>
      </c>
      <c r="M166" s="499" t="s">
        <v>972</v>
      </c>
      <c r="N166" s="484"/>
      <c r="O166" s="484"/>
      <c r="P166" s="499" t="str">
        <f>IFERROR(__xludf.DUMMYFUNCTION("""COMPUTED_VALUE"""),"melissa.brabham@multco.us")</f>
        <v>melissa.brabham@multco.us</v>
      </c>
      <c r="Q166" s="484"/>
      <c r="R166" s="484"/>
      <c r="S166" s="484"/>
      <c r="T166" s="484"/>
      <c r="U166" s="484"/>
      <c r="V166" s="484"/>
      <c r="W166" s="484"/>
      <c r="X166" s="484"/>
      <c r="Y166" s="484"/>
    </row>
    <row r="167">
      <c r="A167" s="10" t="s">
        <v>675</v>
      </c>
      <c r="B167" s="499" t="s">
        <v>201</v>
      </c>
      <c r="C167" s="484"/>
      <c r="D167" s="484"/>
      <c r="E167" s="484"/>
      <c r="F167" s="484"/>
      <c r="G167" s="10" t="s">
        <v>852</v>
      </c>
      <c r="H167" s="484" t="s">
        <v>1994</v>
      </c>
      <c r="I167" s="484"/>
      <c r="J167" s="484"/>
      <c r="K167" s="484"/>
      <c r="L167" s="420" t="s">
        <v>88</v>
      </c>
      <c r="M167" s="499" t="s">
        <v>980</v>
      </c>
      <c r="N167" s="484"/>
      <c r="O167" s="484"/>
      <c r="P167" s="499" t="str">
        <f>IFERROR(__xludf.DUMMYFUNCTION("""COMPUTED_VALUE"""),"lauren.riddle@multco.us")</f>
        <v>lauren.riddle@multco.us</v>
      </c>
      <c r="Q167" s="484"/>
      <c r="R167" s="484"/>
      <c r="S167" s="484"/>
      <c r="T167" s="484"/>
      <c r="U167" s="484"/>
      <c r="V167" s="484"/>
      <c r="W167" s="484"/>
      <c r="X167" s="484"/>
      <c r="Y167" s="484"/>
    </row>
    <row r="168">
      <c r="A168" s="10" t="s">
        <v>685</v>
      </c>
      <c r="B168" s="499" t="s">
        <v>276</v>
      </c>
      <c r="C168" s="484"/>
      <c r="D168" s="484"/>
      <c r="E168" s="484"/>
      <c r="F168" s="484"/>
      <c r="G168" s="10" t="s">
        <v>251</v>
      </c>
      <c r="H168" s="484" t="s">
        <v>715</v>
      </c>
      <c r="I168" s="484"/>
      <c r="J168" s="484"/>
      <c r="K168" s="484"/>
      <c r="L168" s="200" t="s">
        <v>530</v>
      </c>
      <c r="M168" s="499" t="s">
        <v>986</v>
      </c>
      <c r="N168" s="484"/>
      <c r="O168" s="484"/>
      <c r="P168" s="499" t="str">
        <f>IFERROR(__xludf.DUMMYFUNCTION("""COMPUTED_VALUE"""),"jennifer.maney@multco.us")</f>
        <v>jennifer.maney@multco.us</v>
      </c>
      <c r="Q168" s="484"/>
      <c r="R168" s="484"/>
      <c r="S168" s="484"/>
      <c r="T168" s="484"/>
      <c r="U168" s="484"/>
      <c r="V168" s="484"/>
      <c r="W168" s="484"/>
      <c r="X168" s="484"/>
      <c r="Y168" s="484"/>
    </row>
    <row r="169">
      <c r="A169" s="10" t="s">
        <v>123</v>
      </c>
      <c r="B169" s="499" t="s">
        <v>1280</v>
      </c>
      <c r="C169" s="484"/>
      <c r="D169" s="484"/>
      <c r="E169" s="484"/>
      <c r="F169" s="484"/>
      <c r="G169" s="10" t="s">
        <v>868</v>
      </c>
      <c r="H169" s="484" t="s">
        <v>2045</v>
      </c>
      <c r="I169" s="484"/>
      <c r="J169" s="484"/>
      <c r="K169" s="484"/>
      <c r="L169" s="200" t="s">
        <v>123</v>
      </c>
      <c r="M169" s="499" t="s">
        <v>1000</v>
      </c>
      <c r="N169" s="484"/>
      <c r="O169" s="484"/>
      <c r="P169" s="499" t="str">
        <f>IFERROR(__xludf.DUMMYFUNCTION("""COMPUTED_VALUE"""),"andrew.vargas.delman@multco.us")</f>
        <v>andrew.vargas.delman@multco.us</v>
      </c>
      <c r="Q169" s="484"/>
      <c r="R169" s="484"/>
      <c r="S169" s="484"/>
      <c r="T169" s="484"/>
      <c r="U169" s="484"/>
      <c r="V169" s="484"/>
      <c r="W169" s="484"/>
      <c r="X169" s="484"/>
      <c r="Y169" s="484"/>
    </row>
    <row r="170">
      <c r="A170" s="10" t="s">
        <v>694</v>
      </c>
      <c r="B170" s="499" t="s">
        <v>1284</v>
      </c>
      <c r="C170" s="484"/>
      <c r="D170" s="484"/>
      <c r="E170" s="484"/>
      <c r="F170" s="484"/>
      <c r="G170" s="10" t="s">
        <v>872</v>
      </c>
      <c r="H170" s="484" t="s">
        <v>1213</v>
      </c>
      <c r="I170" s="484"/>
      <c r="J170" s="484"/>
      <c r="K170" s="484"/>
      <c r="L170" s="200" t="s">
        <v>368</v>
      </c>
      <c r="M170" s="499" t="s">
        <v>1025</v>
      </c>
      <c r="N170" s="484"/>
      <c r="O170" s="484"/>
      <c r="P170" s="499" t="str">
        <f>IFERROR(__xludf.DUMMYFUNCTION("""COMPUTED_VALUE"""),"jesus.navarro.meza@multco.us")</f>
        <v>jesus.navarro.meza@multco.us</v>
      </c>
      <c r="Q170" s="484"/>
      <c r="R170" s="484"/>
      <c r="S170" s="484"/>
      <c r="T170" s="484"/>
      <c r="U170" s="484"/>
      <c r="V170" s="484"/>
      <c r="W170" s="484"/>
      <c r="X170" s="484"/>
      <c r="Y170" s="484"/>
    </row>
    <row r="171">
      <c r="A171" s="10" t="s">
        <v>697</v>
      </c>
      <c r="B171" s="499" t="s">
        <v>1306</v>
      </c>
      <c r="C171" s="484"/>
      <c r="D171" s="484"/>
      <c r="E171" s="484"/>
      <c r="F171" s="484"/>
      <c r="G171" s="10" t="s">
        <v>876</v>
      </c>
      <c r="H171" s="484" t="s">
        <v>2100</v>
      </c>
      <c r="I171" s="484"/>
      <c r="J171" s="484"/>
      <c r="K171" s="484"/>
      <c r="L171" s="200" t="s">
        <v>541</v>
      </c>
      <c r="M171" s="499" t="s">
        <v>1032</v>
      </c>
      <c r="N171" s="484"/>
      <c r="O171" s="484"/>
      <c r="P171" s="499" t="str">
        <f>IFERROR(__xludf.DUMMYFUNCTION("""COMPUTED_VALUE"""),"alicia.r.thompson@multco.us")</f>
        <v>alicia.r.thompson@multco.us</v>
      </c>
      <c r="Q171" s="484"/>
      <c r="R171" s="484"/>
      <c r="S171" s="484"/>
      <c r="T171" s="484"/>
      <c r="U171" s="484"/>
      <c r="V171" s="484"/>
      <c r="W171" s="484"/>
      <c r="X171" s="484"/>
      <c r="Y171" s="484"/>
    </row>
    <row r="172">
      <c r="A172" s="10" t="s">
        <v>699</v>
      </c>
      <c r="B172" s="499" t="s">
        <v>1318</v>
      </c>
      <c r="C172" s="484"/>
      <c r="D172" s="484"/>
      <c r="E172" s="484"/>
      <c r="F172" s="484"/>
      <c r="G172" s="10" t="s">
        <v>887</v>
      </c>
      <c r="H172" s="484" t="s">
        <v>2163</v>
      </c>
      <c r="I172" s="484"/>
      <c r="J172" s="484"/>
      <c r="K172" s="484"/>
      <c r="L172" s="200" t="s">
        <v>545</v>
      </c>
      <c r="M172" s="499" t="s">
        <v>1041</v>
      </c>
      <c r="N172" s="484"/>
      <c r="O172" s="484"/>
      <c r="P172" s="499" t="str">
        <f>IFERROR(__xludf.DUMMYFUNCTION("""COMPUTED_VALUE"""),"joan.e.stein@multco.us")</f>
        <v>joan.e.stein@multco.us</v>
      </c>
      <c r="Q172" s="484"/>
      <c r="R172" s="484"/>
      <c r="S172" s="484"/>
      <c r="T172" s="484"/>
      <c r="U172" s="484"/>
      <c r="V172" s="484"/>
      <c r="W172" s="484"/>
      <c r="X172" s="484"/>
      <c r="Y172" s="484"/>
    </row>
    <row r="173">
      <c r="A173" s="10" t="s">
        <v>703</v>
      </c>
      <c r="B173" s="499" t="s">
        <v>1322</v>
      </c>
      <c r="C173" s="484"/>
      <c r="D173" s="484"/>
      <c r="E173" s="484"/>
      <c r="F173" s="484"/>
      <c r="G173" s="10" t="s">
        <v>171</v>
      </c>
      <c r="H173" s="484" t="s">
        <v>2179</v>
      </c>
      <c r="I173" s="484"/>
      <c r="J173" s="484"/>
      <c r="K173" s="484"/>
      <c r="L173" s="200" t="s">
        <v>314</v>
      </c>
      <c r="M173" s="499" t="s">
        <v>1045</v>
      </c>
      <c r="N173" s="484"/>
      <c r="O173" s="484"/>
      <c r="P173" s="499" t="str">
        <f>IFERROR(__xludf.DUMMYFUNCTION("""COMPUTED_VALUE"""),"mandy.clark@multco.us")</f>
        <v>mandy.clark@multco.us</v>
      </c>
      <c r="Q173" s="484"/>
      <c r="R173" s="484"/>
      <c r="S173" s="484"/>
      <c r="T173" s="484"/>
      <c r="U173" s="484"/>
      <c r="V173" s="484"/>
      <c r="W173" s="484"/>
      <c r="X173" s="484"/>
      <c r="Y173" s="484"/>
    </row>
    <row r="174">
      <c r="A174" s="10" t="s">
        <v>706</v>
      </c>
      <c r="B174" s="499" t="s">
        <v>1345</v>
      </c>
      <c r="C174" s="484"/>
      <c r="D174" s="484"/>
      <c r="E174" s="484"/>
      <c r="F174" s="484"/>
      <c r="G174" s="10" t="s">
        <v>895</v>
      </c>
      <c r="H174" s="484" t="s">
        <v>741</v>
      </c>
      <c r="I174" s="484"/>
      <c r="J174" s="484"/>
      <c r="K174" s="484"/>
      <c r="L174" s="200" t="s">
        <v>314</v>
      </c>
      <c r="M174" s="499" t="s">
        <v>1072</v>
      </c>
      <c r="N174" s="484"/>
      <c r="O174" s="484"/>
      <c r="P174" s="499" t="str">
        <f>IFERROR(__xludf.DUMMYFUNCTION("""COMPUTED_VALUE"""),"hannah.jaimes-perez@multco.us")</f>
        <v>hannah.jaimes-perez@multco.us</v>
      </c>
      <c r="Q174" s="484"/>
      <c r="R174" s="484"/>
      <c r="S174" s="484"/>
      <c r="T174" s="484"/>
      <c r="U174" s="484"/>
      <c r="V174" s="484"/>
      <c r="W174" s="484"/>
      <c r="X174" s="484"/>
      <c r="Y174" s="484"/>
    </row>
    <row r="175">
      <c r="A175" s="10" t="s">
        <v>707</v>
      </c>
      <c r="B175" s="499" t="s">
        <v>1406</v>
      </c>
      <c r="C175" s="484"/>
      <c r="D175" s="484"/>
      <c r="E175" s="484"/>
      <c r="F175" s="484"/>
      <c r="G175" s="10" t="s">
        <v>897</v>
      </c>
      <c r="H175" s="484" t="s">
        <v>2227</v>
      </c>
      <c r="I175" s="484"/>
      <c r="J175" s="484"/>
      <c r="K175" s="484"/>
      <c r="L175" s="200" t="s">
        <v>314</v>
      </c>
      <c r="M175" s="499" t="s">
        <v>1060</v>
      </c>
      <c r="N175" s="484"/>
      <c r="O175" s="484"/>
      <c r="P175" s="499" t="str">
        <f>IFERROR(__xludf.DUMMYFUNCTION("""COMPUTED_VALUE"""),"sonya.davis@multco.us")</f>
        <v>sonya.davis@multco.us</v>
      </c>
      <c r="Q175" s="484"/>
      <c r="R175" s="484"/>
      <c r="S175" s="484"/>
      <c r="T175" s="484"/>
      <c r="U175" s="484"/>
      <c r="V175" s="484"/>
      <c r="W175" s="484"/>
      <c r="X175" s="484"/>
      <c r="Y175" s="484"/>
    </row>
    <row r="176">
      <c r="A176" s="10" t="s">
        <v>710</v>
      </c>
      <c r="B176" s="499" t="s">
        <v>1425</v>
      </c>
      <c r="C176" s="484"/>
      <c r="D176" s="484"/>
      <c r="E176" s="484"/>
      <c r="F176" s="484"/>
      <c r="G176" s="10" t="s">
        <v>382</v>
      </c>
      <c r="H176" s="484" t="s">
        <v>2266</v>
      </c>
      <c r="I176" s="484"/>
      <c r="J176" s="484"/>
      <c r="K176" s="484"/>
      <c r="L176" s="200" t="s">
        <v>314</v>
      </c>
      <c r="M176" s="499" t="s">
        <v>1103</v>
      </c>
      <c r="N176" s="484"/>
      <c r="O176" s="484"/>
      <c r="P176" s="499" t="str">
        <f>IFERROR(__xludf.DUMMYFUNCTION("""COMPUTED_VALUE"""),"keyonia.williams@multco.us")</f>
        <v>keyonia.williams@multco.us</v>
      </c>
      <c r="Q176" s="484"/>
      <c r="R176" s="484"/>
      <c r="S176" s="484"/>
      <c r="T176" s="484"/>
      <c r="U176" s="484"/>
      <c r="V176" s="484"/>
      <c r="W176" s="484"/>
      <c r="X176" s="484"/>
      <c r="Y176" s="484"/>
    </row>
    <row r="177">
      <c r="A177" s="10" t="s">
        <v>272</v>
      </c>
      <c r="B177" s="499" t="s">
        <v>1461</v>
      </c>
      <c r="C177" s="484"/>
      <c r="D177" s="484"/>
      <c r="E177" s="484"/>
      <c r="F177" s="484"/>
      <c r="G177" s="10" t="s">
        <v>94</v>
      </c>
      <c r="H177" s="484" t="s">
        <v>357</v>
      </c>
      <c r="I177" s="484"/>
      <c r="J177" s="484"/>
      <c r="K177" s="484"/>
      <c r="L177" s="200" t="s">
        <v>188</v>
      </c>
      <c r="M177" s="499" t="s">
        <v>1106</v>
      </c>
      <c r="N177" s="484"/>
      <c r="O177" s="484"/>
      <c r="P177" s="499" t="str">
        <f>IFERROR(__xludf.DUMMYFUNCTION("""COMPUTED_VALUE"""),"jaremy.calderon@multco.us")</f>
        <v>jaremy.calderon@multco.us</v>
      </c>
      <c r="Q177" s="484"/>
      <c r="R177" s="484"/>
      <c r="S177" s="484"/>
      <c r="T177" s="484"/>
      <c r="U177" s="484"/>
      <c r="V177" s="484"/>
      <c r="W177" s="484"/>
      <c r="X177" s="484"/>
      <c r="Y177" s="484"/>
    </row>
    <row r="178">
      <c r="A178" s="10" t="s">
        <v>183</v>
      </c>
      <c r="B178" s="499" t="s">
        <v>1503</v>
      </c>
      <c r="C178" s="484"/>
      <c r="D178" s="484"/>
      <c r="E178" s="484"/>
      <c r="F178" s="484"/>
      <c r="G178" s="10" t="s">
        <v>148</v>
      </c>
      <c r="H178" s="484" t="s">
        <v>2351</v>
      </c>
      <c r="I178" s="484"/>
      <c r="J178" s="484"/>
      <c r="K178" s="484"/>
      <c r="L178" s="200" t="s">
        <v>479</v>
      </c>
      <c r="M178" s="499" t="s">
        <v>1116</v>
      </c>
      <c r="N178" s="484"/>
      <c r="O178" s="484"/>
      <c r="P178" s="499" t="str">
        <f>IFERROR(__xludf.DUMMYFUNCTION("""COMPUTED_VALUE"""),"emily.heideman@multco.us")</f>
        <v>emily.heideman@multco.us</v>
      </c>
      <c r="Q178" s="484"/>
      <c r="R178" s="484"/>
      <c r="S178" s="484"/>
      <c r="T178" s="484"/>
      <c r="U178" s="484"/>
      <c r="V178" s="484"/>
      <c r="W178" s="484"/>
      <c r="X178" s="484"/>
      <c r="Y178" s="484"/>
    </row>
    <row r="179">
      <c r="A179" s="10" t="s">
        <v>725</v>
      </c>
      <c r="B179" s="499" t="s">
        <v>1532</v>
      </c>
      <c r="C179" s="484"/>
      <c r="D179" s="484"/>
      <c r="E179" s="484"/>
      <c r="F179" s="484"/>
      <c r="G179" s="10" t="s">
        <v>123</v>
      </c>
      <c r="H179" s="484" t="s">
        <v>2368</v>
      </c>
      <c r="I179" s="484"/>
      <c r="J179" s="484"/>
      <c r="K179" s="484"/>
      <c r="L179" s="200" t="s">
        <v>558</v>
      </c>
      <c r="M179" s="499" t="s">
        <v>195</v>
      </c>
      <c r="N179" s="484"/>
      <c r="O179" s="484"/>
      <c r="P179" s="499" t="str">
        <f>IFERROR(__xludf.DUMMYFUNCTION("""COMPUTED_VALUE"""),"wendy.r.foster@multco.us")</f>
        <v>wendy.r.foster@multco.us</v>
      </c>
      <c r="Q179" s="484"/>
      <c r="R179" s="484"/>
      <c r="S179" s="484"/>
      <c r="T179" s="484"/>
      <c r="U179" s="484"/>
      <c r="V179" s="484"/>
      <c r="W179" s="484"/>
      <c r="X179" s="484"/>
      <c r="Y179" s="484"/>
    </row>
    <row r="180">
      <c r="A180" s="10" t="s">
        <v>728</v>
      </c>
      <c r="B180" s="499" t="s">
        <v>1539</v>
      </c>
      <c r="C180" s="484"/>
      <c r="D180" s="484"/>
      <c r="E180" s="484"/>
      <c r="F180" s="484"/>
      <c r="G180" s="10" t="s">
        <v>305</v>
      </c>
      <c r="H180" s="484" t="s">
        <v>2388</v>
      </c>
      <c r="I180" s="484"/>
      <c r="J180" s="484"/>
      <c r="K180" s="484"/>
      <c r="L180" s="200" t="s">
        <v>561</v>
      </c>
      <c r="M180" s="499" t="s">
        <v>1185</v>
      </c>
      <c r="N180" s="484"/>
      <c r="O180" s="484"/>
      <c r="P180" s="499" t="str">
        <f>IFERROR(__xludf.DUMMYFUNCTION("""COMPUTED_VALUE"""),"mandy.arends@multco.us")</f>
        <v>mandy.arends@multco.us</v>
      </c>
      <c r="Q180" s="484"/>
      <c r="R180" s="484"/>
      <c r="S180" s="484"/>
      <c r="T180" s="484"/>
      <c r="U180" s="484"/>
      <c r="V180" s="484"/>
      <c r="W180" s="484"/>
      <c r="X180" s="484"/>
      <c r="Y180" s="484"/>
    </row>
    <row r="181">
      <c r="A181" s="138" t="s">
        <v>183</v>
      </c>
      <c r="B181" s="499" t="s">
        <v>1547</v>
      </c>
      <c r="C181" s="484"/>
      <c r="D181" s="484"/>
      <c r="E181" s="484"/>
      <c r="F181" s="484"/>
      <c r="G181" s="10" t="s">
        <v>925</v>
      </c>
      <c r="H181" s="484" t="s">
        <v>2428</v>
      </c>
      <c r="I181" s="484"/>
      <c r="J181" s="484"/>
      <c r="K181" s="484"/>
      <c r="L181" s="200" t="s">
        <v>541</v>
      </c>
      <c r="M181" s="499" t="s">
        <v>1213</v>
      </c>
      <c r="N181" s="484"/>
      <c r="O181" s="484"/>
      <c r="P181" s="499" t="str">
        <f>IFERROR(__xludf.DUMMYFUNCTION("""COMPUTED_VALUE"""),"maureen.schrenk@multco.us")</f>
        <v>maureen.schrenk@multco.us</v>
      </c>
      <c r="Q181" s="484"/>
      <c r="R181" s="484"/>
      <c r="S181" s="484"/>
      <c r="T181" s="484"/>
      <c r="U181" s="484"/>
      <c r="V181" s="484"/>
      <c r="W181" s="484"/>
      <c r="X181" s="484"/>
      <c r="Y181" s="484"/>
    </row>
    <row r="182">
      <c r="A182" s="10" t="s">
        <v>733</v>
      </c>
      <c r="B182" s="484" t="s">
        <v>101</v>
      </c>
      <c r="C182" s="484"/>
      <c r="D182" s="484"/>
      <c r="E182" s="484"/>
      <c r="F182" s="484"/>
      <c r="G182" s="10" t="s">
        <v>699</v>
      </c>
      <c r="H182" s="484" t="s">
        <v>2205</v>
      </c>
      <c r="I182" s="484"/>
      <c r="J182" s="484"/>
      <c r="K182" s="484"/>
      <c r="L182" s="200" t="s">
        <v>251</v>
      </c>
      <c r="M182" s="499" t="s">
        <v>1224</v>
      </c>
      <c r="N182" s="484"/>
      <c r="O182" s="484"/>
      <c r="P182" s="499" t="str">
        <f>IFERROR(__xludf.DUMMYFUNCTION("""COMPUTED_VALUE"""),"chantel.silverio@multco.us")</f>
        <v>chantel.silverio@multco.us</v>
      </c>
      <c r="Q182" s="484"/>
      <c r="R182" s="484"/>
      <c r="S182" s="484"/>
      <c r="T182" s="484"/>
      <c r="U182" s="484"/>
      <c r="V182" s="484"/>
      <c r="W182" s="484"/>
      <c r="X182" s="484"/>
      <c r="Y182" s="484"/>
    </row>
    <row r="183">
      <c r="A183" s="10" t="s">
        <v>737</v>
      </c>
      <c r="B183" s="484" t="s">
        <v>1586</v>
      </c>
      <c r="C183" s="484"/>
      <c r="D183" s="484"/>
      <c r="E183" s="484"/>
      <c r="F183" s="484"/>
      <c r="G183" s="10" t="s">
        <v>305</v>
      </c>
      <c r="H183" s="484" t="s">
        <v>2492</v>
      </c>
      <c r="I183" s="484"/>
      <c r="J183" s="484"/>
      <c r="K183" s="484"/>
      <c r="L183" s="200" t="s">
        <v>284</v>
      </c>
      <c r="M183" s="499" t="s">
        <v>1242</v>
      </c>
      <c r="N183" s="484"/>
      <c r="O183" s="484"/>
      <c r="P183" s="499" t="str">
        <f>IFERROR(__xludf.DUMMYFUNCTION("""COMPUTED_VALUE"""),"joan.d.johnson@multco.us")</f>
        <v>joan.d.johnson@multco.us</v>
      </c>
      <c r="Q183" s="484"/>
      <c r="R183" s="484"/>
      <c r="S183" s="484"/>
      <c r="T183" s="484"/>
      <c r="U183" s="484"/>
      <c r="V183" s="484"/>
      <c r="W183" s="484"/>
      <c r="X183" s="484"/>
      <c r="Y183" s="484"/>
    </row>
    <row r="184">
      <c r="A184" s="10" t="s">
        <v>123</v>
      </c>
      <c r="B184" s="484" t="s">
        <v>1267</v>
      </c>
      <c r="C184" s="484"/>
      <c r="D184" s="484"/>
      <c r="E184" s="484"/>
      <c r="F184" s="484"/>
      <c r="G184" s="10" t="s">
        <v>943</v>
      </c>
      <c r="H184" s="484" t="s">
        <v>162</v>
      </c>
      <c r="I184" s="484"/>
      <c r="J184" s="484"/>
      <c r="K184" s="484"/>
      <c r="L184" s="200" t="s">
        <v>111</v>
      </c>
      <c r="M184" s="499" t="s">
        <v>1253</v>
      </c>
      <c r="N184" s="484"/>
      <c r="O184" s="484"/>
      <c r="P184" s="484" t="str">
        <f>IFERROR(__xludf.DUMMYFUNCTION("""COMPUTED_VALUE"""),"soad.abdi@multco.us")</f>
        <v>soad.abdi@multco.us</v>
      </c>
      <c r="Q184" s="484"/>
      <c r="R184" s="484"/>
      <c r="S184" s="484"/>
      <c r="T184" s="484"/>
      <c r="U184" s="484"/>
      <c r="V184" s="484"/>
      <c r="W184" s="484"/>
      <c r="X184" s="484"/>
      <c r="Y184" s="484"/>
    </row>
    <row r="185">
      <c r="A185" s="10" t="s">
        <v>747</v>
      </c>
      <c r="B185" s="484" t="s">
        <v>1706</v>
      </c>
      <c r="C185" s="484"/>
      <c r="D185" s="484"/>
      <c r="E185" s="484"/>
      <c r="F185" s="484"/>
      <c r="G185" s="10" t="s">
        <v>947</v>
      </c>
      <c r="H185" s="484" t="s">
        <v>2524</v>
      </c>
      <c r="I185" s="484"/>
      <c r="J185" s="484"/>
      <c r="K185" s="484"/>
      <c r="L185" s="200" t="s">
        <v>569</v>
      </c>
      <c r="M185" s="499" t="s">
        <v>1267</v>
      </c>
      <c r="N185" s="484"/>
      <c r="O185" s="484"/>
      <c r="P185" s="484" t="str">
        <f>IFERROR(__xludf.DUMMYFUNCTION("""COMPUTED_VALUE"""),"laura.finley@multco.us")</f>
        <v>laura.finley@multco.us</v>
      </c>
      <c r="Q185" s="484"/>
      <c r="R185" s="484"/>
      <c r="S185" s="484"/>
      <c r="T185" s="484"/>
      <c r="U185" s="484"/>
      <c r="V185" s="484"/>
      <c r="W185" s="484"/>
      <c r="X185" s="484"/>
      <c r="Y185" s="484"/>
    </row>
    <row r="186">
      <c r="A186" s="10" t="s">
        <v>747</v>
      </c>
      <c r="B186" s="484" t="s">
        <v>1712</v>
      </c>
      <c r="C186" s="484"/>
      <c r="D186" s="484"/>
      <c r="E186" s="484"/>
      <c r="F186" s="484"/>
      <c r="G186" s="10" t="s">
        <v>293</v>
      </c>
      <c r="H186" s="484" t="s">
        <v>2359</v>
      </c>
      <c r="I186" s="484"/>
      <c r="J186" s="484"/>
      <c r="K186" s="484"/>
      <c r="L186" s="200" t="s">
        <v>487</v>
      </c>
      <c r="M186" s="499" t="s">
        <v>1280</v>
      </c>
      <c r="N186" s="484"/>
      <c r="O186" s="484"/>
      <c r="P186" s="484" t="str">
        <f>IFERROR(__xludf.DUMMYFUNCTION("""COMPUTED_VALUE"""),"noura.kader@multco.us")</f>
        <v>noura.kader@multco.us</v>
      </c>
      <c r="Q186" s="484"/>
      <c r="R186" s="484"/>
      <c r="S186" s="484"/>
      <c r="T186" s="484"/>
      <c r="U186" s="484"/>
      <c r="V186" s="484"/>
      <c r="W186" s="484"/>
      <c r="X186" s="484"/>
      <c r="Y186" s="484"/>
    </row>
    <row r="187">
      <c r="A187" s="10" t="s">
        <v>747</v>
      </c>
      <c r="B187" s="484" t="s">
        <v>1725</v>
      </c>
      <c r="C187" s="484"/>
      <c r="D187" s="484"/>
      <c r="E187" s="484"/>
      <c r="F187" s="484"/>
      <c r="G187" s="10" t="s">
        <v>954</v>
      </c>
      <c r="H187" s="484" t="s">
        <v>1406</v>
      </c>
      <c r="I187" s="484"/>
      <c r="J187" s="484"/>
      <c r="K187" s="484"/>
      <c r="L187" s="200" t="s">
        <v>574</v>
      </c>
      <c r="M187" s="499" t="s">
        <v>1284</v>
      </c>
      <c r="N187" s="484"/>
      <c r="O187" s="484"/>
      <c r="P187" s="484" t="str">
        <f>IFERROR(__xludf.DUMMYFUNCTION("""COMPUTED_VALUE"""),"hillary.l.demary@multco.us")</f>
        <v>hillary.l.demary@multco.us</v>
      </c>
      <c r="Q187" s="484"/>
      <c r="R187" s="484"/>
      <c r="S187" s="484"/>
      <c r="T187" s="484"/>
      <c r="U187" s="484"/>
      <c r="V187" s="484"/>
      <c r="W187" s="484"/>
      <c r="X187" s="484"/>
      <c r="Y187" s="484"/>
    </row>
    <row r="188">
      <c r="A188" s="10" t="s">
        <v>752</v>
      </c>
      <c r="B188" s="484" t="s">
        <v>1746</v>
      </c>
      <c r="C188" s="484"/>
      <c r="D188" s="484"/>
      <c r="E188" s="484"/>
      <c r="F188" s="484"/>
      <c r="G188" s="10" t="s">
        <v>959</v>
      </c>
      <c r="H188" s="484"/>
      <c r="I188" s="484"/>
      <c r="J188" s="484"/>
      <c r="K188" s="484"/>
      <c r="L188" s="200" t="s">
        <v>577</v>
      </c>
      <c r="M188" s="499" t="s">
        <v>1304</v>
      </c>
      <c r="N188" s="484"/>
      <c r="O188" s="484"/>
      <c r="P188" s="484" t="str">
        <f>IFERROR(__xludf.DUMMYFUNCTION("""COMPUTED_VALUE"""),"ryan.altstadt@multco.us")</f>
        <v>ryan.altstadt@multco.us</v>
      </c>
      <c r="Q188" s="484"/>
      <c r="R188" s="484"/>
      <c r="S188" s="484"/>
      <c r="T188" s="484"/>
      <c r="U188" s="484"/>
      <c r="V188" s="484"/>
      <c r="W188" s="484"/>
      <c r="X188" s="484"/>
      <c r="Y188" s="484"/>
    </row>
    <row r="189">
      <c r="A189" s="10" t="s">
        <v>757</v>
      </c>
      <c r="B189" s="484" t="s">
        <v>1751</v>
      </c>
      <c r="C189" s="484"/>
      <c r="D189" s="484"/>
      <c r="E189" s="484"/>
      <c r="F189" s="484"/>
      <c r="G189" s="10" t="s">
        <v>710</v>
      </c>
      <c r="H189" s="484"/>
      <c r="I189" s="484"/>
      <c r="J189" s="484"/>
      <c r="K189" s="484"/>
      <c r="L189" s="200" t="s">
        <v>137</v>
      </c>
      <c r="M189" s="499" t="s">
        <v>1306</v>
      </c>
      <c r="N189" s="484"/>
      <c r="O189" s="484"/>
      <c r="P189" s="484" t="str">
        <f>IFERROR(__xludf.DUMMYFUNCTION("""COMPUTED_VALUE"""),"amy.haecker@multco.us")</f>
        <v>amy.haecker@multco.us</v>
      </c>
      <c r="Q189" s="484"/>
      <c r="R189" s="484"/>
      <c r="S189" s="484"/>
      <c r="T189" s="484"/>
      <c r="U189" s="484"/>
      <c r="V189" s="484"/>
      <c r="W189" s="484"/>
      <c r="X189" s="484"/>
      <c r="Y189" s="484"/>
    </row>
    <row r="190">
      <c r="A190" s="10" t="s">
        <v>760</v>
      </c>
      <c r="B190" s="484" t="s">
        <v>720</v>
      </c>
      <c r="C190" s="484"/>
      <c r="D190" s="484"/>
      <c r="E190" s="484"/>
      <c r="F190" s="484"/>
      <c r="G190" s="10" t="s">
        <v>969</v>
      </c>
      <c r="H190" s="484"/>
      <c r="I190" s="484"/>
      <c r="J190" s="484"/>
      <c r="K190" s="484"/>
      <c r="L190" s="200" t="s">
        <v>2934</v>
      </c>
      <c r="M190" s="499" t="s">
        <v>1318</v>
      </c>
      <c r="N190" s="484"/>
      <c r="O190" s="484"/>
      <c r="P190" s="484" t="str">
        <f>IFERROR(__xludf.DUMMYFUNCTION("""COMPUTED_VALUE"""),"valery.sarceno@multco.us")</f>
        <v>valery.sarceno@multco.us</v>
      </c>
      <c r="Q190" s="484"/>
      <c r="R190" s="484"/>
      <c r="S190" s="484"/>
      <c r="T190" s="484"/>
      <c r="U190" s="484"/>
      <c r="V190" s="484"/>
      <c r="W190" s="484"/>
      <c r="X190" s="484"/>
      <c r="Y190" s="484"/>
    </row>
    <row r="191">
      <c r="A191" s="10" t="s">
        <v>771</v>
      </c>
      <c r="B191" s="484" t="s">
        <v>104</v>
      </c>
      <c r="C191" s="484"/>
      <c r="D191" s="484"/>
      <c r="E191" s="484"/>
      <c r="F191" s="484"/>
      <c r="G191" s="10" t="s">
        <v>972</v>
      </c>
      <c r="H191" s="484"/>
      <c r="I191" s="484"/>
      <c r="J191" s="484"/>
      <c r="K191" s="484"/>
      <c r="L191" s="200" t="s">
        <v>586</v>
      </c>
      <c r="M191" s="499" t="s">
        <v>1322</v>
      </c>
      <c r="N191" s="484"/>
      <c r="O191" s="484"/>
      <c r="P191" s="484" t="str">
        <f>IFERROR(__xludf.DUMMYFUNCTION("""COMPUTED_VALUE"""),"rachel.naylor@multco.us")</f>
        <v>rachel.naylor@multco.us</v>
      </c>
      <c r="Q191" s="484"/>
      <c r="R191" s="484"/>
      <c r="S191" s="484"/>
      <c r="T191" s="484"/>
      <c r="U191" s="484"/>
      <c r="V191" s="484"/>
      <c r="W191" s="484"/>
      <c r="X191" s="484"/>
      <c r="Y191" s="484"/>
    </row>
    <row r="192">
      <c r="A192" s="10" t="s">
        <v>775</v>
      </c>
      <c r="B192" s="484" t="s">
        <v>1902</v>
      </c>
      <c r="C192" s="484"/>
      <c r="D192" s="484"/>
      <c r="E192" s="484"/>
      <c r="F192" s="484"/>
      <c r="G192" s="10" t="s">
        <v>574</v>
      </c>
      <c r="H192" s="484"/>
      <c r="I192" s="484"/>
      <c r="J192" s="484"/>
      <c r="K192" s="484"/>
      <c r="L192" s="200" t="s">
        <v>589</v>
      </c>
      <c r="M192" s="499" t="s">
        <v>1345</v>
      </c>
      <c r="N192" s="484"/>
      <c r="O192" s="484"/>
      <c r="P192" s="484" t="str">
        <f>IFERROR(__xludf.DUMMYFUNCTION("""COMPUTED_VALUE"""),"jessica.scroggs@multco.us")</f>
        <v>jessica.scroggs@multco.us</v>
      </c>
      <c r="Q192" s="484"/>
      <c r="R192" s="484"/>
      <c r="S192" s="484"/>
      <c r="T192" s="484"/>
      <c r="U192" s="484"/>
      <c r="V192" s="484"/>
      <c r="W192" s="484"/>
      <c r="X192" s="484"/>
      <c r="Y192" s="484"/>
    </row>
    <row r="193">
      <c r="A193" s="10" t="s">
        <v>785</v>
      </c>
      <c r="B193" s="484" t="s">
        <v>1931</v>
      </c>
      <c r="C193" s="484"/>
      <c r="D193" s="484"/>
      <c r="E193" s="484"/>
      <c r="F193" s="484"/>
      <c r="G193" s="10" t="s">
        <v>980</v>
      </c>
      <c r="H193" s="484"/>
      <c r="I193" s="484"/>
      <c r="J193" s="484"/>
      <c r="K193" s="484"/>
      <c r="L193" s="200" t="s">
        <v>595</v>
      </c>
      <c r="M193" s="499" t="s">
        <v>1366</v>
      </c>
      <c r="N193" s="484"/>
      <c r="O193" s="484"/>
      <c r="P193" s="484" t="str">
        <f>IFERROR(__xludf.DUMMYFUNCTION("""COMPUTED_VALUE"""),"jill.m.jessee@multco.us")</f>
        <v>jill.m.jessee@multco.us</v>
      </c>
      <c r="Q193" s="484"/>
      <c r="R193" s="484"/>
      <c r="S193" s="484"/>
      <c r="T193" s="484"/>
      <c r="U193" s="484"/>
      <c r="V193" s="484"/>
      <c r="W193" s="484"/>
      <c r="X193" s="484"/>
      <c r="Y193" s="484"/>
    </row>
    <row r="194">
      <c r="A194" s="10" t="s">
        <v>789</v>
      </c>
      <c r="B194" s="484" t="s">
        <v>436</v>
      </c>
      <c r="C194" s="484"/>
      <c r="D194" s="484"/>
      <c r="E194" s="484"/>
      <c r="F194" s="484"/>
      <c r="G194" s="10" t="s">
        <v>986</v>
      </c>
      <c r="H194" s="484"/>
      <c r="I194" s="484"/>
      <c r="J194" s="484"/>
      <c r="K194" s="484"/>
      <c r="L194" s="200" t="s">
        <v>600</v>
      </c>
      <c r="M194" s="499" t="s">
        <v>1406</v>
      </c>
      <c r="N194" s="484"/>
      <c r="O194" s="484"/>
      <c r="P194" s="484" t="str">
        <f>IFERROR(__xludf.DUMMYFUNCTION("""COMPUTED_VALUE"""),"michael.johnson5@multco.us")</f>
        <v>michael.johnson5@multco.us</v>
      </c>
      <c r="Q194" s="484"/>
      <c r="R194" s="484"/>
      <c r="S194" s="484"/>
      <c r="T194" s="484"/>
      <c r="U194" s="484"/>
      <c r="V194" s="484"/>
      <c r="W194" s="484"/>
      <c r="X194" s="484"/>
      <c r="Y194" s="484"/>
    </row>
    <row r="195">
      <c r="A195" s="10" t="s">
        <v>794</v>
      </c>
      <c r="B195" s="484" t="s">
        <v>1990</v>
      </c>
      <c r="C195" s="484"/>
      <c r="D195" s="484"/>
      <c r="E195" s="484"/>
      <c r="F195" s="484"/>
      <c r="G195" s="10" t="s">
        <v>752</v>
      </c>
      <c r="H195" s="484"/>
      <c r="I195" s="484"/>
      <c r="J195" s="484"/>
      <c r="K195" s="484"/>
      <c r="L195" s="200" t="s">
        <v>604</v>
      </c>
      <c r="M195" s="499" t="s">
        <v>1425</v>
      </c>
      <c r="N195" s="484"/>
      <c r="O195" s="484"/>
      <c r="P195" s="484" t="str">
        <f>IFERROR(__xludf.DUMMYFUNCTION("""COMPUTED_VALUE"""),"henry.sprague@multco.us")</f>
        <v>henry.sprague@multco.us</v>
      </c>
      <c r="Q195" s="484"/>
      <c r="R195" s="484"/>
      <c r="S195" s="484"/>
      <c r="T195" s="484"/>
      <c r="U195" s="484"/>
      <c r="V195" s="484"/>
      <c r="W195" s="484"/>
      <c r="X195" s="484"/>
      <c r="Y195" s="484"/>
    </row>
    <row r="196">
      <c r="A196" s="10" t="s">
        <v>760</v>
      </c>
      <c r="B196" s="484" t="s">
        <v>1994</v>
      </c>
      <c r="C196" s="484"/>
      <c r="D196" s="484"/>
      <c r="E196" s="484"/>
      <c r="F196" s="484"/>
      <c r="G196" s="10" t="s">
        <v>760</v>
      </c>
      <c r="H196" s="484"/>
      <c r="I196" s="484"/>
      <c r="J196" s="484"/>
      <c r="K196" s="484"/>
      <c r="L196" s="200" t="s">
        <v>606</v>
      </c>
      <c r="M196" s="499" t="s">
        <v>1461</v>
      </c>
      <c r="N196" s="484"/>
      <c r="O196" s="484"/>
      <c r="P196" s="484" t="str">
        <f>IFERROR(__xludf.DUMMYFUNCTION("""COMPUTED_VALUE"""),"joanna.r.eaton@multco.us")</f>
        <v>joanna.r.eaton@multco.us</v>
      </c>
      <c r="Q196" s="484"/>
      <c r="R196" s="484"/>
      <c r="S196" s="484"/>
      <c r="T196" s="484"/>
      <c r="U196" s="484"/>
      <c r="V196" s="484"/>
      <c r="W196" s="484"/>
      <c r="X196" s="484"/>
      <c r="Y196" s="484"/>
    </row>
    <row r="197">
      <c r="A197" s="10" t="s">
        <v>123</v>
      </c>
      <c r="B197" s="484" t="s">
        <v>715</v>
      </c>
      <c r="C197" s="484"/>
      <c r="D197" s="484"/>
      <c r="E197" s="484"/>
      <c r="F197" s="484"/>
      <c r="G197" s="10" t="s">
        <v>323</v>
      </c>
      <c r="H197" s="484"/>
      <c r="I197" s="484"/>
      <c r="J197" s="484"/>
      <c r="K197" s="484"/>
      <c r="L197" s="200" t="s">
        <v>366</v>
      </c>
      <c r="M197" s="499" t="s">
        <v>1489</v>
      </c>
      <c r="N197" s="484"/>
      <c r="O197" s="484"/>
      <c r="P197" s="484" t="str">
        <f>IFERROR(__xludf.DUMMYFUNCTION("""COMPUTED_VALUE"""),"cessa.karson-whitethorn@multco.us")</f>
        <v>cessa.karson-whitethorn@multco.us</v>
      </c>
      <c r="Q197" s="484"/>
      <c r="R197" s="484"/>
      <c r="S197" s="484"/>
      <c r="T197" s="484"/>
      <c r="U197" s="484"/>
      <c r="V197" s="484"/>
      <c r="W197" s="484"/>
      <c r="X197" s="484"/>
      <c r="Y197" s="484"/>
    </row>
    <row r="198">
      <c r="A198" s="10" t="s">
        <v>636</v>
      </c>
      <c r="B198" s="484" t="s">
        <v>2045</v>
      </c>
      <c r="C198" s="484"/>
      <c r="D198" s="484"/>
      <c r="E198" s="484"/>
      <c r="F198" s="484"/>
      <c r="G198" s="10" t="s">
        <v>780</v>
      </c>
      <c r="H198" s="484"/>
      <c r="I198" s="484"/>
      <c r="J198" s="484"/>
      <c r="K198" s="484"/>
      <c r="L198" s="200" t="s">
        <v>37</v>
      </c>
      <c r="M198" s="499" t="s">
        <v>1503</v>
      </c>
      <c r="N198" s="484"/>
      <c r="O198" s="484"/>
      <c r="P198" s="484" t="str">
        <f>IFERROR(__xludf.DUMMYFUNCTION("""COMPUTED_VALUE"""),"mark.aitken@multco.us")</f>
        <v>mark.aitken@multco.us</v>
      </c>
      <c r="Q198" s="484"/>
      <c r="R198" s="484"/>
      <c r="S198" s="484"/>
      <c r="T198" s="484"/>
      <c r="U198" s="484"/>
      <c r="V198" s="484"/>
      <c r="W198" s="484"/>
      <c r="X198" s="484"/>
      <c r="Y198" s="484"/>
    </row>
    <row r="199">
      <c r="A199" s="10" t="s">
        <v>193</v>
      </c>
      <c r="B199" s="484" t="s">
        <v>1213</v>
      </c>
      <c r="C199" s="484"/>
      <c r="D199" s="484"/>
      <c r="E199" s="484"/>
      <c r="F199" s="484"/>
      <c r="G199" s="10" t="s">
        <v>947</v>
      </c>
      <c r="H199" s="484"/>
      <c r="I199" s="484"/>
      <c r="J199" s="484"/>
      <c r="K199" s="484"/>
      <c r="L199" s="200" t="s">
        <v>219</v>
      </c>
      <c r="M199" s="499" t="s">
        <v>1527</v>
      </c>
      <c r="N199" s="484"/>
      <c r="O199" s="484"/>
      <c r="P199" s="484" t="str">
        <f>IFERROR(__xludf.DUMMYFUNCTION("""COMPUTED_VALUE"""),"alex.perez-perez@multco.us")</f>
        <v>alex.perez-perez@multco.us</v>
      </c>
      <c r="Q199" s="484"/>
      <c r="R199" s="484"/>
      <c r="S199" s="484"/>
      <c r="T199" s="484"/>
      <c r="U199" s="484"/>
      <c r="V199" s="484"/>
      <c r="W199" s="484"/>
      <c r="X199" s="484"/>
      <c r="Y199" s="484"/>
    </row>
    <row r="200">
      <c r="A200" s="10" t="s">
        <v>794</v>
      </c>
      <c r="B200" s="484" t="s">
        <v>2100</v>
      </c>
      <c r="C200" s="484"/>
      <c r="D200" s="484"/>
      <c r="E200" s="484"/>
      <c r="F200" s="484"/>
      <c r="G200" s="10" t="s">
        <v>1025</v>
      </c>
      <c r="H200" s="484"/>
      <c r="I200" s="484"/>
      <c r="J200" s="484"/>
      <c r="K200" s="484"/>
      <c r="L200" s="200" t="s">
        <v>616</v>
      </c>
      <c r="M200" s="499" t="s">
        <v>1532</v>
      </c>
      <c r="N200" s="484"/>
      <c r="O200" s="484"/>
      <c r="P200" s="484" t="str">
        <f>IFERROR(__xludf.DUMMYFUNCTION("""COMPUTED_VALUE"""),"rasheed.shabazz@multco.us")</f>
        <v>rasheed.shabazz@multco.us</v>
      </c>
      <c r="Q200" s="484"/>
      <c r="R200" s="484"/>
      <c r="S200" s="484"/>
      <c r="T200" s="484"/>
      <c r="U200" s="484"/>
      <c r="V200" s="484"/>
      <c r="W200" s="484"/>
      <c r="X200" s="484"/>
      <c r="Y200" s="484"/>
    </row>
    <row r="201">
      <c r="A201" s="10" t="s">
        <v>305</v>
      </c>
      <c r="B201" s="484" t="s">
        <v>2163</v>
      </c>
      <c r="C201" s="484"/>
      <c r="D201" s="484"/>
      <c r="E201" s="484"/>
      <c r="F201" s="484"/>
      <c r="G201" s="10" t="s">
        <v>1032</v>
      </c>
      <c r="H201" s="484"/>
      <c r="I201" s="484"/>
      <c r="J201" s="484"/>
      <c r="K201" s="484"/>
      <c r="L201" s="200" t="s">
        <v>620</v>
      </c>
      <c r="M201" s="499" t="s">
        <v>1539</v>
      </c>
      <c r="N201" s="484"/>
      <c r="O201" s="484"/>
      <c r="P201" s="484" t="str">
        <f>IFERROR(__xludf.DUMMYFUNCTION("""COMPUTED_VALUE"""),"matthew.burns@multco.us")</f>
        <v>matthew.burns@multco.us</v>
      </c>
      <c r="Q201" s="484"/>
      <c r="R201" s="484"/>
      <c r="S201" s="484"/>
      <c r="T201" s="484"/>
      <c r="U201" s="484"/>
      <c r="V201" s="484"/>
      <c r="W201" s="484"/>
      <c r="X201" s="484"/>
      <c r="Y201" s="484"/>
    </row>
    <row r="202">
      <c r="A202" s="10" t="s">
        <v>94</v>
      </c>
      <c r="B202" s="484" t="s">
        <v>2179</v>
      </c>
      <c r="C202" s="484"/>
      <c r="D202" s="484"/>
      <c r="E202" s="484"/>
      <c r="F202" s="484"/>
      <c r="G202" s="10" t="s">
        <v>1041</v>
      </c>
      <c r="H202" s="484"/>
      <c r="I202" s="484"/>
      <c r="J202" s="484"/>
      <c r="K202" s="484"/>
      <c r="L202" s="200" t="s">
        <v>272</v>
      </c>
      <c r="M202" s="499" t="s">
        <v>1547</v>
      </c>
      <c r="N202" s="484"/>
      <c r="O202" s="484"/>
      <c r="P202" s="484" t="str">
        <f>IFERROR(__xludf.DUMMYFUNCTION("""COMPUTED_VALUE"""),"jennifer.robbins@multco.us")</f>
        <v>jennifer.robbins@multco.us</v>
      </c>
      <c r="Q202" s="484"/>
      <c r="R202" s="484"/>
      <c r="S202" s="484"/>
      <c r="T202" s="484"/>
      <c r="U202" s="484"/>
      <c r="V202" s="484"/>
      <c r="W202" s="484"/>
      <c r="X202" s="484"/>
      <c r="Y202" s="484"/>
    </row>
    <row r="203">
      <c r="A203" s="10" t="s">
        <v>675</v>
      </c>
      <c r="B203" s="484" t="s">
        <v>741</v>
      </c>
      <c r="C203" s="484"/>
      <c r="D203" s="484"/>
      <c r="E203" s="484"/>
      <c r="F203" s="484"/>
      <c r="G203" s="10" t="s">
        <v>1045</v>
      </c>
      <c r="H203" s="484"/>
      <c r="I203" s="484"/>
      <c r="J203" s="484"/>
      <c r="K203" s="484"/>
      <c r="L203" s="200" t="s">
        <v>624</v>
      </c>
      <c r="M203" s="484" t="s">
        <v>1586</v>
      </c>
      <c r="N203" s="484"/>
      <c r="O203" s="484"/>
      <c r="P203" s="484" t="str">
        <f>IFERROR(__xludf.DUMMYFUNCTION("""COMPUTED_VALUE"""),"kimber.sieffert@multco.us")</f>
        <v>kimber.sieffert@multco.us</v>
      </c>
      <c r="Q203" s="484"/>
      <c r="R203" s="484"/>
      <c r="S203" s="484"/>
      <c r="T203" s="484"/>
      <c r="U203" s="484"/>
      <c r="V203" s="484"/>
      <c r="W203" s="484"/>
      <c r="X203" s="484"/>
      <c r="Y203" s="484"/>
    </row>
    <row r="204">
      <c r="A204" s="10" t="s">
        <v>826</v>
      </c>
      <c r="B204" s="484" t="s">
        <v>2227</v>
      </c>
      <c r="C204" s="484"/>
      <c r="D204" s="484"/>
      <c r="E204" s="484"/>
      <c r="F204" s="484"/>
      <c r="G204" s="10" t="s">
        <v>385</v>
      </c>
      <c r="H204" s="484"/>
      <c r="I204" s="484"/>
      <c r="J204" s="484"/>
      <c r="K204" s="484"/>
      <c r="L204" s="200" t="s">
        <v>247</v>
      </c>
      <c r="M204" s="484" t="s">
        <v>1645</v>
      </c>
      <c r="N204" s="484"/>
      <c r="O204" s="484"/>
      <c r="P204" s="484" t="str">
        <f>IFERROR(__xludf.DUMMYFUNCTION("""COMPUTED_VALUE"""),"amber.lewis@multco.us")</f>
        <v>amber.lewis@multco.us</v>
      </c>
      <c r="Q204" s="484"/>
      <c r="R204" s="484"/>
      <c r="S204" s="484"/>
      <c r="T204" s="484"/>
      <c r="U204" s="484"/>
      <c r="V204" s="484"/>
      <c r="W204" s="484"/>
      <c r="X204" s="484"/>
      <c r="Y204" s="484"/>
    </row>
    <row r="205">
      <c r="A205" s="10" t="s">
        <v>697</v>
      </c>
      <c r="B205" s="484" t="s">
        <v>2239</v>
      </c>
      <c r="C205" s="484"/>
      <c r="D205" s="484"/>
      <c r="E205" s="484"/>
      <c r="F205" s="484"/>
      <c r="G205" s="10" t="s">
        <v>697</v>
      </c>
      <c r="H205" s="484"/>
      <c r="I205" s="484"/>
      <c r="J205" s="484"/>
      <c r="K205" s="484"/>
      <c r="L205" s="200" t="s">
        <v>111</v>
      </c>
      <c r="M205" s="484" t="s">
        <v>1661</v>
      </c>
      <c r="N205" s="484"/>
      <c r="O205" s="484"/>
      <c r="P205" s="484" t="str">
        <f>IFERROR(__xludf.DUMMYFUNCTION("""COMPUTED_VALUE"""),"erica.edwards@multco.us")</f>
        <v>erica.edwards@multco.us</v>
      </c>
      <c r="Q205" s="484"/>
      <c r="R205" s="484"/>
      <c r="S205" s="484"/>
      <c r="T205" s="484"/>
      <c r="U205" s="484"/>
      <c r="V205" s="484"/>
      <c r="W205" s="484"/>
      <c r="X205" s="484"/>
      <c r="Y205" s="484"/>
    </row>
    <row r="206">
      <c r="A206" s="10" t="s">
        <v>836</v>
      </c>
      <c r="B206" s="484" t="s">
        <v>2266</v>
      </c>
      <c r="C206" s="484"/>
      <c r="D206" s="484"/>
      <c r="E206" s="484"/>
      <c r="F206" s="484"/>
      <c r="G206" s="10" t="s">
        <v>1072</v>
      </c>
      <c r="H206" s="484"/>
      <c r="I206" s="484"/>
      <c r="J206" s="484"/>
      <c r="K206" s="484"/>
      <c r="L206" s="200" t="s">
        <v>155</v>
      </c>
      <c r="M206" s="484" t="s">
        <v>1667</v>
      </c>
      <c r="N206" s="484"/>
      <c r="O206" s="484"/>
      <c r="P206" s="484" t="str">
        <f>IFERROR(__xludf.DUMMYFUNCTION("""COMPUTED_VALUE"""),"nural.willis@multco.us")</f>
        <v>nural.willis@multco.us</v>
      </c>
      <c r="Q206" s="484"/>
      <c r="R206" s="484"/>
      <c r="S206" s="484"/>
      <c r="T206" s="484"/>
      <c r="U206" s="484"/>
      <c r="V206" s="484"/>
      <c r="W206" s="484"/>
      <c r="X206" s="484"/>
      <c r="Y206" s="484"/>
    </row>
    <row r="207">
      <c r="A207" s="10" t="s">
        <v>150</v>
      </c>
      <c r="B207" s="484" t="s">
        <v>2351</v>
      </c>
      <c r="C207" s="484"/>
      <c r="D207" s="484"/>
      <c r="E207" s="484"/>
      <c r="F207" s="484"/>
      <c r="G207" s="10" t="s">
        <v>586</v>
      </c>
      <c r="H207" s="484"/>
      <c r="I207" s="484"/>
      <c r="J207" s="484"/>
      <c r="K207" s="484"/>
      <c r="L207" s="200" t="s">
        <v>586</v>
      </c>
      <c r="M207" s="484" t="s">
        <v>1706</v>
      </c>
      <c r="N207" s="484"/>
      <c r="O207" s="484"/>
      <c r="P207" s="484" t="str">
        <f>IFERROR(__xludf.DUMMYFUNCTION("""COMPUTED_VALUE"""),"dani.himes@multco.us")</f>
        <v>dani.himes@multco.us</v>
      </c>
      <c r="Q207" s="484"/>
      <c r="R207" s="484"/>
      <c r="S207" s="484"/>
      <c r="T207" s="484"/>
      <c r="U207" s="484"/>
      <c r="V207" s="484"/>
      <c r="W207" s="484"/>
      <c r="X207" s="484"/>
      <c r="Y207" s="484"/>
    </row>
    <row r="208">
      <c r="A208" s="10" t="s">
        <v>284</v>
      </c>
      <c r="B208" s="484" t="s">
        <v>2368</v>
      </c>
      <c r="C208" s="484"/>
      <c r="D208" s="484"/>
      <c r="E208" s="484"/>
      <c r="F208" s="484"/>
      <c r="G208" s="10" t="s">
        <v>479</v>
      </c>
      <c r="H208" s="484"/>
      <c r="I208" s="484"/>
      <c r="J208" s="484"/>
      <c r="K208" s="484"/>
      <c r="L208" s="200" t="s">
        <v>636</v>
      </c>
      <c r="M208" s="484" t="s">
        <v>1712</v>
      </c>
      <c r="N208" s="484"/>
      <c r="O208" s="484"/>
      <c r="P208" s="484" t="str">
        <f>IFERROR(__xludf.DUMMYFUNCTION("""COMPUTED_VALUE"""),"teresa.enigma@multco.us")</f>
        <v>teresa.enigma@multco.us</v>
      </c>
      <c r="Q208" s="484"/>
      <c r="R208" s="484"/>
      <c r="S208" s="484"/>
      <c r="T208" s="484"/>
      <c r="U208" s="484"/>
      <c r="V208" s="484"/>
      <c r="W208" s="484"/>
      <c r="X208" s="484"/>
      <c r="Y208" s="484"/>
    </row>
    <row r="209">
      <c r="A209" s="10" t="s">
        <v>780</v>
      </c>
      <c r="B209" s="484" t="s">
        <v>2388</v>
      </c>
      <c r="C209" s="484"/>
      <c r="D209" s="484"/>
      <c r="E209" s="484"/>
      <c r="F209" s="484"/>
      <c r="G209" s="10" t="s">
        <v>586</v>
      </c>
      <c r="H209" s="484"/>
      <c r="I209" s="484"/>
      <c r="J209" s="484"/>
      <c r="K209" s="484"/>
      <c r="L209" s="200" t="s">
        <v>639</v>
      </c>
      <c r="M209" s="484" t="s">
        <v>1725</v>
      </c>
      <c r="N209" s="484"/>
      <c r="O209" s="484"/>
      <c r="P209" s="484" t="str">
        <f>IFERROR(__xludf.DUMMYFUNCTION("""COMPUTED_VALUE"""),"maryse.baroum@multco.us")</f>
        <v>maryse.baroum@multco.us</v>
      </c>
      <c r="Q209" s="484"/>
      <c r="R209" s="484"/>
      <c r="S209" s="484"/>
      <c r="T209" s="484"/>
      <c r="U209" s="484"/>
      <c r="V209" s="484"/>
      <c r="W209" s="484"/>
      <c r="X209" s="484"/>
      <c r="Y209" s="484"/>
    </row>
    <row r="210">
      <c r="A210" s="10" t="s">
        <v>624</v>
      </c>
      <c r="B210" s="484" t="s">
        <v>2428</v>
      </c>
      <c r="C210" s="484"/>
      <c r="D210" s="484"/>
      <c r="E210" s="484"/>
      <c r="F210" s="484"/>
      <c r="G210" s="10" t="s">
        <v>1106</v>
      </c>
      <c r="H210" s="484"/>
      <c r="I210" s="484"/>
      <c r="J210" s="484"/>
      <c r="K210" s="484"/>
      <c r="L210" s="200" t="s">
        <v>148</v>
      </c>
      <c r="M210" s="484" t="s">
        <v>1746</v>
      </c>
      <c r="N210" s="484"/>
      <c r="O210" s="484"/>
      <c r="P210" s="484" t="str">
        <f>IFERROR(__xludf.DUMMYFUNCTION("""COMPUTED_VALUE"""),"aasha.benton@multco.us")</f>
        <v>aasha.benton@multco.us</v>
      </c>
      <c r="Q210" s="484"/>
      <c r="R210" s="484"/>
      <c r="S210" s="484"/>
      <c r="T210" s="484"/>
      <c r="U210" s="484"/>
      <c r="V210" s="484"/>
      <c r="W210" s="484"/>
      <c r="X210" s="484"/>
      <c r="Y210" s="484"/>
    </row>
    <row r="211">
      <c r="A211" s="10" t="s">
        <v>852</v>
      </c>
      <c r="B211" s="484" t="s">
        <v>2205</v>
      </c>
      <c r="C211" s="484"/>
      <c r="D211" s="484"/>
      <c r="E211" s="484"/>
      <c r="F211" s="484"/>
      <c r="G211" s="126" t="s">
        <v>123</v>
      </c>
      <c r="H211" s="484"/>
      <c r="I211" s="484"/>
      <c r="J211" s="484"/>
      <c r="K211" s="484"/>
      <c r="L211" s="200" t="s">
        <v>516</v>
      </c>
      <c r="M211" s="484" t="s">
        <v>1751</v>
      </c>
      <c r="N211" s="484"/>
      <c r="O211" s="484"/>
      <c r="P211" s="484" t="str">
        <f>IFERROR(__xludf.DUMMYFUNCTION("""COMPUTED_VALUE"""),"nexus.richardson@multco.us")</f>
        <v>nexus.richardson@multco.us</v>
      </c>
      <c r="Q211" s="484"/>
      <c r="R211" s="484"/>
      <c r="S211" s="484"/>
      <c r="T211" s="484"/>
      <c r="U211" s="484"/>
      <c r="V211" s="484"/>
      <c r="W211" s="484"/>
      <c r="X211" s="484"/>
      <c r="Y211" s="484"/>
    </row>
    <row r="212">
      <c r="A212" s="10" t="s">
        <v>251</v>
      </c>
      <c r="B212" s="484" t="s">
        <v>2492</v>
      </c>
      <c r="C212" s="484"/>
      <c r="D212" s="484"/>
      <c r="E212" s="484"/>
      <c r="F212" s="484"/>
      <c r="G212" s="10" t="s">
        <v>245</v>
      </c>
      <c r="H212" s="484"/>
      <c r="I212" s="484"/>
      <c r="J212" s="484"/>
      <c r="K212" s="484"/>
      <c r="L212" s="200" t="s">
        <v>595</v>
      </c>
      <c r="M212" s="484" t="s">
        <v>1757</v>
      </c>
      <c r="N212" s="484"/>
      <c r="O212" s="484"/>
      <c r="P212" s="484" t="str">
        <f>IFERROR(__xludf.DUMMYFUNCTION("""COMPUTED_VALUE"""),"jamie.christianson@multco.us")</f>
        <v>jamie.christianson@multco.us</v>
      </c>
      <c r="Q212" s="484"/>
      <c r="R212" s="484"/>
      <c r="S212" s="484"/>
      <c r="T212" s="484"/>
      <c r="U212" s="484"/>
      <c r="V212" s="484"/>
      <c r="W212" s="484"/>
      <c r="X212" s="484"/>
      <c r="Y212" s="484"/>
    </row>
    <row r="213">
      <c r="A213" s="10" t="s">
        <v>347</v>
      </c>
      <c r="B213" s="484" t="s">
        <v>162</v>
      </c>
      <c r="C213" s="484"/>
      <c r="D213" s="484"/>
      <c r="E213" s="484"/>
      <c r="F213" s="484"/>
      <c r="G213" s="10" t="s">
        <v>1116</v>
      </c>
      <c r="H213" s="484"/>
      <c r="I213" s="484"/>
      <c r="J213" s="484"/>
      <c r="K213" s="484"/>
      <c r="L213" s="200" t="s">
        <v>407</v>
      </c>
      <c r="M213" s="484" t="s">
        <v>1772</v>
      </c>
      <c r="N213" s="484"/>
      <c r="O213" s="484"/>
      <c r="P213" s="484" t="str">
        <f>IFERROR(__xludf.DUMMYFUNCTION("""COMPUTED_VALUE"""),"reginald.stroughter@multco.us")</f>
        <v>reginald.stroughter@multco.us</v>
      </c>
      <c r="Q213" s="484"/>
      <c r="R213" s="484"/>
      <c r="S213" s="484"/>
      <c r="T213" s="484"/>
      <c r="U213" s="484"/>
      <c r="V213" s="484"/>
      <c r="W213" s="484"/>
      <c r="X213" s="484"/>
      <c r="Y213" s="484"/>
    </row>
    <row r="214">
      <c r="A214" s="10" t="s">
        <v>37</v>
      </c>
      <c r="B214" s="484" t="s">
        <v>2524</v>
      </c>
      <c r="C214" s="484"/>
      <c r="D214" s="484"/>
      <c r="E214" s="484"/>
      <c r="F214" s="484"/>
      <c r="G214" s="10" t="s">
        <v>272</v>
      </c>
      <c r="H214" s="484"/>
      <c r="I214" s="484"/>
      <c r="J214" s="484"/>
      <c r="K214" s="484"/>
      <c r="L214" s="200" t="s">
        <v>650</v>
      </c>
      <c r="M214" s="484" t="s">
        <v>1869</v>
      </c>
      <c r="N214" s="484"/>
      <c r="O214" s="484"/>
      <c r="P214" s="484"/>
      <c r="Q214" s="484"/>
      <c r="R214" s="484"/>
      <c r="S214" s="484"/>
      <c r="T214" s="484"/>
      <c r="U214" s="484"/>
      <c r="V214" s="484"/>
      <c r="W214" s="484"/>
      <c r="X214" s="484"/>
      <c r="Y214" s="484"/>
    </row>
    <row r="215">
      <c r="A215" s="10" t="s">
        <v>868</v>
      </c>
      <c r="B215" s="484" t="s">
        <v>2359</v>
      </c>
      <c r="C215" s="484"/>
      <c r="D215" s="484"/>
      <c r="E215" s="484"/>
      <c r="F215" s="484"/>
      <c r="G215" s="10" t="s">
        <v>872</v>
      </c>
      <c r="H215" s="484"/>
      <c r="I215" s="484"/>
      <c r="J215" s="484"/>
      <c r="K215" s="484"/>
      <c r="L215" s="200" t="s">
        <v>653</v>
      </c>
      <c r="M215" s="484" t="s">
        <v>1902</v>
      </c>
      <c r="N215" s="484"/>
      <c r="O215" s="484"/>
      <c r="P215" s="484"/>
      <c r="Q215" s="484"/>
      <c r="R215" s="484"/>
      <c r="S215" s="484"/>
      <c r="T215" s="484"/>
      <c r="U215" s="484"/>
      <c r="V215" s="484"/>
      <c r="W215" s="484"/>
      <c r="X215" s="484"/>
      <c r="Y215" s="484"/>
    </row>
    <row r="216">
      <c r="A216" s="10" t="s">
        <v>872</v>
      </c>
      <c r="B216" s="484"/>
      <c r="C216" s="484"/>
      <c r="D216" s="484"/>
      <c r="E216" s="484"/>
      <c r="F216" s="484"/>
      <c r="G216" s="10" t="s">
        <v>195</v>
      </c>
      <c r="H216" s="484"/>
      <c r="I216" s="484"/>
      <c r="J216" s="484"/>
      <c r="K216" s="484"/>
      <c r="L216" s="200" t="s">
        <v>541</v>
      </c>
      <c r="M216" s="484" t="s">
        <v>1931</v>
      </c>
      <c r="N216" s="484"/>
      <c r="O216" s="484"/>
      <c r="P216" s="484"/>
      <c r="Q216" s="484"/>
      <c r="R216" s="484"/>
      <c r="S216" s="484"/>
      <c r="T216" s="484"/>
      <c r="U216" s="484"/>
      <c r="V216" s="484"/>
      <c r="W216" s="484"/>
      <c r="X216" s="484"/>
      <c r="Y216" s="484"/>
    </row>
    <row r="217">
      <c r="A217" s="10" t="s">
        <v>876</v>
      </c>
      <c r="B217" s="484"/>
      <c r="C217" s="484"/>
      <c r="D217" s="484"/>
      <c r="E217" s="484"/>
      <c r="F217" s="484"/>
      <c r="G217" s="10" t="s">
        <v>195</v>
      </c>
      <c r="H217" s="484"/>
      <c r="I217" s="484"/>
      <c r="J217" s="484"/>
      <c r="K217" s="484"/>
      <c r="L217" s="200" t="s">
        <v>141</v>
      </c>
      <c r="M217" s="484" t="s">
        <v>1990</v>
      </c>
      <c r="N217" s="484"/>
      <c r="O217" s="484"/>
      <c r="P217" s="484"/>
      <c r="Q217" s="484"/>
      <c r="R217" s="484"/>
      <c r="S217" s="484"/>
      <c r="T217" s="484"/>
      <c r="U217" s="484"/>
      <c r="V217" s="484"/>
      <c r="W217" s="484"/>
      <c r="X217" s="484"/>
      <c r="Y217" s="484"/>
    </row>
    <row r="218">
      <c r="A218" s="10" t="s">
        <v>424</v>
      </c>
      <c r="B218" s="484"/>
      <c r="C218" s="484"/>
      <c r="D218" s="484"/>
      <c r="E218" s="484"/>
      <c r="F218" s="484"/>
      <c r="G218" s="10" t="s">
        <v>195</v>
      </c>
      <c r="H218" s="484"/>
      <c r="I218" s="484"/>
      <c r="J218" s="484"/>
      <c r="K218" s="484"/>
      <c r="L218" s="200" t="s">
        <v>247</v>
      </c>
      <c r="M218" s="484" t="s">
        <v>1994</v>
      </c>
      <c r="N218" s="484"/>
      <c r="O218" s="484"/>
      <c r="P218" s="484"/>
      <c r="Q218" s="484"/>
      <c r="R218" s="484"/>
      <c r="S218" s="484"/>
      <c r="T218" s="484"/>
      <c r="U218" s="484"/>
      <c r="V218" s="484"/>
      <c r="W218" s="484"/>
      <c r="X218" s="484"/>
      <c r="Y218" s="484"/>
    </row>
    <row r="219">
      <c r="A219" s="10" t="s">
        <v>883</v>
      </c>
      <c r="B219" s="484"/>
      <c r="C219" s="484"/>
      <c r="D219" s="484"/>
      <c r="E219" s="484"/>
      <c r="F219" s="484"/>
      <c r="G219" s="10" t="s">
        <v>195</v>
      </c>
      <c r="H219" s="484"/>
      <c r="I219" s="484"/>
      <c r="J219" s="484"/>
      <c r="K219" s="484"/>
      <c r="L219" s="200" t="s">
        <v>240</v>
      </c>
      <c r="M219" s="484" t="s">
        <v>2045</v>
      </c>
      <c r="N219" s="484"/>
      <c r="O219" s="484"/>
      <c r="P219" s="484"/>
      <c r="Q219" s="484"/>
      <c r="R219" s="484"/>
      <c r="S219" s="484"/>
      <c r="T219" s="484"/>
      <c r="U219" s="484"/>
      <c r="V219" s="484"/>
      <c r="W219" s="484"/>
      <c r="X219" s="484"/>
      <c r="Y219" s="484"/>
    </row>
    <row r="220">
      <c r="A220" s="10" t="s">
        <v>887</v>
      </c>
      <c r="B220" s="484"/>
      <c r="C220" s="484"/>
      <c r="D220" s="484"/>
      <c r="E220" s="484"/>
      <c r="F220" s="484"/>
      <c r="G220" s="10" t="s">
        <v>374</v>
      </c>
      <c r="H220" s="484"/>
      <c r="I220" s="484"/>
      <c r="J220" s="484"/>
      <c r="K220" s="484"/>
      <c r="L220" s="200" t="s">
        <v>577</v>
      </c>
      <c r="M220" s="484" t="s">
        <v>2100</v>
      </c>
      <c r="N220" s="484"/>
      <c r="O220" s="484"/>
      <c r="P220" s="484"/>
      <c r="Q220" s="484"/>
      <c r="R220" s="484"/>
      <c r="S220" s="484"/>
      <c r="T220" s="484"/>
      <c r="U220" s="484"/>
      <c r="V220" s="484"/>
      <c r="W220" s="484"/>
      <c r="X220" s="484"/>
      <c r="Y220" s="484"/>
    </row>
    <row r="221">
      <c r="A221" s="10" t="s">
        <v>171</v>
      </c>
      <c r="B221" s="484"/>
      <c r="C221" s="484"/>
      <c r="D221" s="484"/>
      <c r="E221" s="484"/>
      <c r="F221" s="484"/>
      <c r="G221" s="10" t="s">
        <v>240</v>
      </c>
      <c r="H221" s="484"/>
      <c r="I221" s="484"/>
      <c r="J221" s="484"/>
      <c r="K221" s="484"/>
      <c r="L221" s="200" t="s">
        <v>148</v>
      </c>
      <c r="M221" s="484" t="s">
        <v>2179</v>
      </c>
      <c r="N221" s="484"/>
      <c r="O221" s="484"/>
      <c r="P221" s="484"/>
      <c r="Q221" s="484"/>
      <c r="R221" s="484"/>
      <c r="S221" s="484"/>
      <c r="T221" s="484"/>
      <c r="U221" s="484"/>
      <c r="V221" s="484"/>
      <c r="W221" s="484"/>
      <c r="X221" s="484"/>
      <c r="Y221" s="484"/>
    </row>
    <row r="222">
      <c r="A222" s="10" t="s">
        <v>895</v>
      </c>
      <c r="B222" s="484"/>
      <c r="C222" s="484"/>
      <c r="D222" s="484"/>
      <c r="E222" s="484"/>
      <c r="F222" s="484"/>
      <c r="G222" s="10" t="s">
        <v>333</v>
      </c>
      <c r="H222" s="484"/>
      <c r="I222" s="484"/>
      <c r="J222" s="484"/>
      <c r="K222" s="484"/>
      <c r="L222" s="200" t="s">
        <v>666</v>
      </c>
      <c r="M222" s="484" t="s">
        <v>2205</v>
      </c>
      <c r="N222" s="484"/>
      <c r="O222" s="484"/>
      <c r="P222" s="484"/>
      <c r="Q222" s="484"/>
      <c r="R222" s="484"/>
      <c r="S222" s="484"/>
      <c r="T222" s="484"/>
      <c r="U222" s="484"/>
      <c r="V222" s="484"/>
      <c r="W222" s="484"/>
      <c r="X222" s="484"/>
      <c r="Y222" s="484"/>
    </row>
    <row r="223">
      <c r="A223" s="10" t="s">
        <v>897</v>
      </c>
      <c r="B223" s="484"/>
      <c r="C223" s="484"/>
      <c r="D223" s="484"/>
      <c r="E223" s="484"/>
      <c r="F223" s="484"/>
      <c r="G223" s="10" t="s">
        <v>148</v>
      </c>
      <c r="H223" s="484"/>
      <c r="I223" s="484"/>
      <c r="J223" s="484"/>
      <c r="K223" s="484"/>
      <c r="L223" s="200" t="s">
        <v>586</v>
      </c>
      <c r="M223" s="484" t="s">
        <v>2227</v>
      </c>
      <c r="N223" s="484"/>
      <c r="O223" s="484"/>
      <c r="P223" s="484"/>
      <c r="Q223" s="484"/>
      <c r="R223" s="484"/>
      <c r="S223" s="484"/>
      <c r="T223" s="484"/>
      <c r="U223" s="484"/>
      <c r="V223" s="484"/>
      <c r="W223" s="484"/>
      <c r="X223" s="484"/>
      <c r="Y223" s="484"/>
    </row>
    <row r="224">
      <c r="A224" s="10" t="s">
        <v>382</v>
      </c>
      <c r="B224" s="484"/>
      <c r="C224" s="484"/>
      <c r="D224" s="484"/>
      <c r="E224" s="484"/>
      <c r="F224" s="484"/>
      <c r="G224" s="10" t="s">
        <v>108</v>
      </c>
      <c r="H224" s="484"/>
      <c r="I224" s="484"/>
      <c r="J224" s="484"/>
      <c r="K224" s="484"/>
      <c r="L224" s="200" t="s">
        <v>183</v>
      </c>
      <c r="M224" s="484" t="s">
        <v>2239</v>
      </c>
      <c r="N224" s="484"/>
      <c r="O224" s="484"/>
      <c r="P224" s="484"/>
      <c r="Q224" s="484"/>
      <c r="R224" s="484"/>
      <c r="S224" s="484"/>
      <c r="T224" s="484"/>
      <c r="U224" s="484"/>
      <c r="V224" s="484"/>
      <c r="W224" s="484"/>
      <c r="X224" s="484"/>
      <c r="Y224" s="484"/>
    </row>
    <row r="225">
      <c r="A225" s="10" t="s">
        <v>94</v>
      </c>
      <c r="B225" s="484"/>
      <c r="C225" s="484"/>
      <c r="D225" s="484"/>
      <c r="E225" s="484"/>
      <c r="F225" s="484"/>
      <c r="G225" s="10" t="s">
        <v>94</v>
      </c>
      <c r="H225" s="484"/>
      <c r="I225" s="484"/>
      <c r="J225" s="484"/>
      <c r="K225" s="484"/>
      <c r="L225" s="200" t="s">
        <v>673</v>
      </c>
      <c r="M225" s="484" t="s">
        <v>2251</v>
      </c>
      <c r="N225" s="484"/>
      <c r="O225" s="484"/>
      <c r="P225" s="484"/>
      <c r="Q225" s="484"/>
      <c r="R225" s="484"/>
      <c r="S225" s="484"/>
      <c r="T225" s="484"/>
      <c r="U225" s="484"/>
      <c r="V225" s="484"/>
      <c r="W225" s="484"/>
      <c r="X225" s="484"/>
      <c r="Y225" s="484"/>
    </row>
    <row r="226">
      <c r="A226" s="10" t="s">
        <v>148</v>
      </c>
      <c r="B226" s="484"/>
      <c r="C226" s="484"/>
      <c r="D226" s="484"/>
      <c r="E226" s="484"/>
      <c r="F226" s="484"/>
      <c r="G226" s="10" t="s">
        <v>479</v>
      </c>
      <c r="H226" s="484"/>
      <c r="I226" s="484"/>
      <c r="J226" s="484"/>
      <c r="K226" s="484"/>
      <c r="L226" s="200" t="s">
        <v>675</v>
      </c>
      <c r="M226" s="484" t="s">
        <v>2260</v>
      </c>
      <c r="N226" s="484"/>
      <c r="O226" s="484"/>
      <c r="P226" s="484"/>
      <c r="Q226" s="484"/>
      <c r="R226" s="484"/>
      <c r="S226" s="484"/>
      <c r="T226" s="484"/>
      <c r="U226" s="484"/>
      <c r="V226" s="484"/>
      <c r="W226" s="484"/>
      <c r="X226" s="484"/>
      <c r="Y226" s="484"/>
    </row>
    <row r="227">
      <c r="A227" s="10" t="s">
        <v>123</v>
      </c>
      <c r="B227" s="484"/>
      <c r="C227" s="484"/>
      <c r="D227" s="484"/>
      <c r="E227" s="484"/>
      <c r="F227" s="484"/>
      <c r="G227" s="10" t="s">
        <v>479</v>
      </c>
      <c r="H227" s="484"/>
      <c r="I227" s="484"/>
      <c r="J227" s="484"/>
      <c r="K227" s="484"/>
      <c r="L227" s="200" t="s">
        <v>685</v>
      </c>
      <c r="M227" s="484" t="s">
        <v>2266</v>
      </c>
      <c r="N227" s="484"/>
      <c r="O227" s="484"/>
      <c r="P227" s="484"/>
      <c r="Q227" s="484"/>
      <c r="R227" s="484"/>
      <c r="S227" s="484"/>
      <c r="T227" s="484"/>
      <c r="U227" s="484"/>
      <c r="V227" s="484"/>
      <c r="W227" s="484"/>
      <c r="X227" s="484"/>
      <c r="Y227" s="484"/>
    </row>
    <row r="228">
      <c r="A228" s="10" t="s">
        <v>305</v>
      </c>
      <c r="B228" s="484"/>
      <c r="C228" s="484"/>
      <c r="D228" s="484"/>
      <c r="E228" s="484"/>
      <c r="F228" s="484"/>
      <c r="G228" s="10" t="s">
        <v>148</v>
      </c>
      <c r="H228" s="484"/>
      <c r="I228" s="484"/>
      <c r="J228" s="484"/>
      <c r="K228" s="484"/>
      <c r="L228" s="200" t="s">
        <v>624</v>
      </c>
      <c r="M228" s="484" t="s">
        <v>2316</v>
      </c>
      <c r="N228" s="484"/>
      <c r="O228" s="484"/>
      <c r="P228" s="484"/>
      <c r="Q228" s="484"/>
      <c r="R228" s="484"/>
      <c r="S228" s="484"/>
      <c r="T228" s="484"/>
      <c r="U228" s="484"/>
      <c r="V228" s="484"/>
      <c r="W228" s="484"/>
      <c r="X228" s="484"/>
      <c r="Y228" s="484"/>
    </row>
    <row r="229">
      <c r="A229" s="10" t="s">
        <v>925</v>
      </c>
      <c r="B229" s="484"/>
      <c r="C229" s="484"/>
      <c r="D229" s="484"/>
      <c r="E229" s="484"/>
      <c r="F229" s="484"/>
      <c r="G229" s="10" t="s">
        <v>780</v>
      </c>
      <c r="H229" s="484"/>
      <c r="I229" s="484"/>
      <c r="J229" s="484"/>
      <c r="K229" s="484"/>
      <c r="L229" s="200" t="s">
        <v>123</v>
      </c>
      <c r="M229" s="484" t="s">
        <v>2351</v>
      </c>
      <c r="N229" s="484"/>
      <c r="O229" s="484"/>
      <c r="P229" s="484"/>
      <c r="Q229" s="484"/>
      <c r="R229" s="484"/>
      <c r="S229" s="484"/>
      <c r="T229" s="484"/>
      <c r="U229" s="484"/>
      <c r="V229" s="484"/>
      <c r="W229" s="484"/>
      <c r="X229" s="484"/>
      <c r="Y229" s="484"/>
    </row>
    <row r="230">
      <c r="A230" s="10" t="s">
        <v>699</v>
      </c>
      <c r="B230" s="484"/>
      <c r="C230" s="484"/>
      <c r="D230" s="484"/>
      <c r="E230" s="484"/>
      <c r="F230" s="484"/>
      <c r="G230" s="10" t="s">
        <v>123</v>
      </c>
      <c r="H230" s="484"/>
      <c r="I230" s="484"/>
      <c r="J230" s="484"/>
      <c r="K230" s="484"/>
      <c r="L230" s="200" t="s">
        <v>694</v>
      </c>
      <c r="M230" s="484" t="s">
        <v>2359</v>
      </c>
      <c r="N230" s="484"/>
      <c r="O230" s="484"/>
      <c r="P230" s="484"/>
      <c r="Q230" s="484"/>
      <c r="R230" s="484"/>
      <c r="S230" s="484"/>
      <c r="T230" s="484"/>
      <c r="U230" s="484"/>
      <c r="V230" s="484"/>
      <c r="W230" s="484"/>
      <c r="X230" s="484"/>
      <c r="Y230" s="484"/>
    </row>
    <row r="231">
      <c r="A231" s="10" t="s">
        <v>37</v>
      </c>
      <c r="B231" s="484"/>
      <c r="C231" s="484"/>
      <c r="D231" s="484"/>
      <c r="E231" s="484"/>
      <c r="F231" s="484"/>
      <c r="G231" s="10" t="s">
        <v>366</v>
      </c>
      <c r="H231" s="484"/>
      <c r="I231" s="484"/>
      <c r="J231" s="484"/>
      <c r="K231" s="484"/>
      <c r="L231" s="200" t="s">
        <v>697</v>
      </c>
      <c r="M231" s="484" t="s">
        <v>2368</v>
      </c>
      <c r="N231" s="484"/>
      <c r="O231" s="484"/>
      <c r="P231" s="484"/>
      <c r="Q231" s="484"/>
      <c r="R231" s="484"/>
      <c r="S231" s="484"/>
      <c r="T231" s="484"/>
      <c r="U231" s="484"/>
      <c r="V231" s="484"/>
      <c r="W231" s="484"/>
      <c r="X231" s="484"/>
      <c r="Y231" s="484"/>
    </row>
    <row r="232">
      <c r="A232" s="10" t="s">
        <v>938</v>
      </c>
      <c r="B232" s="484"/>
      <c r="C232" s="484"/>
      <c r="D232" s="484"/>
      <c r="E232" s="484"/>
      <c r="F232" s="484"/>
      <c r="G232" s="10" t="s">
        <v>374</v>
      </c>
      <c r="H232" s="484"/>
      <c r="I232" s="484"/>
      <c r="J232" s="484"/>
      <c r="K232" s="484"/>
      <c r="L232" s="200" t="s">
        <v>699</v>
      </c>
      <c r="M232" s="484" t="s">
        <v>2388</v>
      </c>
      <c r="N232" s="484"/>
      <c r="O232" s="484"/>
      <c r="P232" s="484"/>
      <c r="Q232" s="484"/>
      <c r="R232" s="484"/>
      <c r="S232" s="484"/>
      <c r="T232" s="484"/>
      <c r="U232" s="484"/>
      <c r="V232" s="484"/>
      <c r="W232" s="484"/>
      <c r="X232" s="484"/>
      <c r="Y232" s="484"/>
    </row>
    <row r="233">
      <c r="A233" s="10" t="s">
        <v>305</v>
      </c>
      <c r="B233" s="484"/>
      <c r="C233" s="484"/>
      <c r="D233" s="484"/>
      <c r="E233" s="484"/>
      <c r="F233" s="484"/>
      <c r="G233" s="10" t="s">
        <v>374</v>
      </c>
      <c r="H233" s="484"/>
      <c r="I233" s="484"/>
      <c r="J233" s="484"/>
      <c r="K233" s="484"/>
      <c r="L233" s="200" t="s">
        <v>703</v>
      </c>
      <c r="M233" s="484"/>
      <c r="N233" s="484"/>
      <c r="O233" s="484"/>
      <c r="P233" s="484"/>
      <c r="Q233" s="484"/>
      <c r="R233" s="484"/>
      <c r="S233" s="484"/>
      <c r="T233" s="484"/>
      <c r="U233" s="484"/>
      <c r="V233" s="484"/>
      <c r="W233" s="484"/>
      <c r="X233" s="484"/>
      <c r="Y233" s="484"/>
    </row>
    <row r="234">
      <c r="A234" s="10" t="s">
        <v>943</v>
      </c>
      <c r="B234" s="484"/>
      <c r="C234" s="484"/>
      <c r="D234" s="484"/>
      <c r="E234" s="484"/>
      <c r="F234" s="484"/>
      <c r="G234" s="10" t="s">
        <v>374</v>
      </c>
      <c r="H234" s="484"/>
      <c r="I234" s="484"/>
      <c r="J234" s="484"/>
      <c r="K234" s="484"/>
      <c r="L234" s="200" t="s">
        <v>706</v>
      </c>
      <c r="M234" s="484"/>
      <c r="N234" s="484"/>
      <c r="O234" s="484"/>
      <c r="P234" s="484"/>
      <c r="Q234" s="484"/>
      <c r="R234" s="484"/>
      <c r="S234" s="484"/>
      <c r="T234" s="484"/>
      <c r="U234" s="484"/>
      <c r="V234" s="484"/>
      <c r="W234" s="484"/>
      <c r="X234" s="484"/>
      <c r="Y234" s="484"/>
    </row>
    <row r="235">
      <c r="A235" s="10" t="s">
        <v>947</v>
      </c>
      <c r="B235" s="484"/>
      <c r="C235" s="484"/>
      <c r="D235" s="484"/>
      <c r="E235" s="484"/>
      <c r="F235" s="484"/>
      <c r="G235" s="10" t="s">
        <v>1060</v>
      </c>
      <c r="H235" s="484"/>
      <c r="I235" s="484"/>
      <c r="J235" s="484"/>
      <c r="K235" s="484"/>
      <c r="L235" s="200" t="s">
        <v>707</v>
      </c>
      <c r="M235" s="484"/>
      <c r="N235" s="484"/>
      <c r="O235" s="484"/>
      <c r="P235" s="484"/>
      <c r="Q235" s="484"/>
      <c r="R235" s="484"/>
      <c r="S235" s="484"/>
      <c r="T235" s="484"/>
      <c r="U235" s="484"/>
      <c r="V235" s="484"/>
      <c r="W235" s="484"/>
      <c r="X235" s="484"/>
      <c r="Y235" s="484"/>
    </row>
    <row r="236">
      <c r="A236" s="10" t="s">
        <v>293</v>
      </c>
      <c r="B236" s="484"/>
      <c r="C236" s="484"/>
      <c r="D236" s="484"/>
      <c r="E236" s="484"/>
      <c r="F236" s="484"/>
      <c r="G236" s="10" t="s">
        <v>943</v>
      </c>
      <c r="H236" s="484"/>
      <c r="I236" s="484"/>
      <c r="J236" s="484"/>
      <c r="K236" s="484"/>
      <c r="L236" s="200" t="s">
        <v>710</v>
      </c>
      <c r="M236" s="484"/>
      <c r="N236" s="484"/>
      <c r="O236" s="484"/>
      <c r="P236" s="484"/>
      <c r="Q236" s="484"/>
      <c r="R236" s="484"/>
      <c r="S236" s="484"/>
      <c r="T236" s="484"/>
      <c r="U236" s="484"/>
      <c r="V236" s="484"/>
      <c r="W236" s="484"/>
      <c r="X236" s="484"/>
      <c r="Y236" s="484"/>
    </row>
    <row r="237">
      <c r="A237" s="10" t="s">
        <v>954</v>
      </c>
      <c r="B237" s="484"/>
      <c r="C237" s="484"/>
      <c r="D237" s="484"/>
      <c r="E237" s="484"/>
      <c r="F237" s="484"/>
      <c r="G237" s="10" t="s">
        <v>1224</v>
      </c>
      <c r="H237" s="484"/>
      <c r="I237" s="484"/>
      <c r="J237" s="484"/>
      <c r="K237" s="484"/>
      <c r="L237" s="200" t="s">
        <v>272</v>
      </c>
      <c r="M237" s="484"/>
      <c r="N237" s="484"/>
      <c r="O237" s="484"/>
      <c r="P237" s="484"/>
      <c r="Q237" s="484"/>
      <c r="R237" s="484"/>
      <c r="S237" s="484"/>
      <c r="T237" s="484"/>
      <c r="U237" s="484"/>
      <c r="V237" s="484"/>
      <c r="W237" s="484"/>
      <c r="X237" s="484"/>
      <c r="Y237" s="484"/>
    </row>
    <row r="238">
      <c r="A238" s="10" t="s">
        <v>213</v>
      </c>
      <c r="B238" s="484"/>
      <c r="C238" s="484"/>
      <c r="D238" s="484"/>
      <c r="E238" s="484"/>
      <c r="F238" s="484"/>
      <c r="G238" s="10" t="s">
        <v>382</v>
      </c>
      <c r="H238" s="484"/>
      <c r="I238" s="484"/>
      <c r="J238" s="484"/>
      <c r="K238" s="484"/>
      <c r="L238" s="200" t="s">
        <v>715</v>
      </c>
      <c r="M238" s="484"/>
      <c r="N238" s="484"/>
      <c r="O238" s="484"/>
      <c r="P238" s="484"/>
      <c r="Q238" s="484"/>
      <c r="R238" s="484"/>
      <c r="S238" s="484"/>
      <c r="T238" s="484"/>
      <c r="U238" s="484"/>
      <c r="V238" s="484"/>
      <c r="W238" s="484"/>
      <c r="X238" s="484"/>
      <c r="Y238" s="484"/>
    </row>
    <row r="239">
      <c r="A239" s="10" t="s">
        <v>959</v>
      </c>
      <c r="B239" s="484"/>
      <c r="C239" s="484"/>
      <c r="D239" s="484"/>
      <c r="E239" s="484"/>
      <c r="F239" s="484"/>
      <c r="G239" s="10" t="s">
        <v>954</v>
      </c>
      <c r="H239" s="484"/>
      <c r="I239" s="484"/>
      <c r="J239" s="484"/>
      <c r="K239" s="484"/>
      <c r="L239" s="200" t="s">
        <v>183</v>
      </c>
      <c r="M239" s="484"/>
      <c r="N239" s="484"/>
      <c r="O239" s="484"/>
      <c r="P239" s="484"/>
      <c r="Q239" s="484"/>
      <c r="R239" s="484"/>
      <c r="S239" s="484"/>
      <c r="T239" s="484"/>
      <c r="U239" s="484"/>
      <c r="V239" s="484"/>
      <c r="W239" s="484"/>
      <c r="X239" s="484"/>
      <c r="Y239" s="484"/>
    </row>
    <row r="240">
      <c r="A240" s="10" t="s">
        <v>710</v>
      </c>
      <c r="B240" s="484"/>
      <c r="C240" s="484"/>
      <c r="D240" s="484"/>
      <c r="E240" s="484"/>
      <c r="F240" s="484"/>
      <c r="G240" s="10" t="s">
        <v>943</v>
      </c>
      <c r="H240" s="484"/>
      <c r="I240" s="484"/>
      <c r="J240" s="484"/>
      <c r="K240" s="484"/>
      <c r="L240" s="200" t="s">
        <v>720</v>
      </c>
      <c r="M240" s="484"/>
      <c r="N240" s="484"/>
      <c r="O240" s="484"/>
      <c r="P240" s="484"/>
      <c r="Q240" s="484"/>
      <c r="R240" s="484"/>
      <c r="S240" s="484"/>
      <c r="T240" s="484"/>
      <c r="U240" s="484"/>
      <c r="V240" s="484"/>
      <c r="W240" s="484"/>
      <c r="X240" s="484"/>
      <c r="Y240" s="484"/>
    </row>
    <row r="241">
      <c r="A241" s="10" t="s">
        <v>134</v>
      </c>
      <c r="B241" s="484"/>
      <c r="C241" s="484"/>
      <c r="D241" s="484"/>
      <c r="E241" s="484"/>
      <c r="F241" s="484"/>
      <c r="G241" s="10" t="s">
        <v>123</v>
      </c>
      <c r="H241" s="484"/>
      <c r="I241" s="484"/>
      <c r="J241" s="484"/>
      <c r="K241" s="484"/>
      <c r="L241" s="200" t="s">
        <v>427</v>
      </c>
      <c r="M241" s="484"/>
      <c r="N241" s="484"/>
      <c r="O241" s="484"/>
      <c r="P241" s="484"/>
      <c r="Q241" s="484"/>
      <c r="R241" s="484"/>
      <c r="S241" s="484"/>
      <c r="T241" s="484"/>
      <c r="U241" s="484"/>
      <c r="V241" s="484"/>
      <c r="W241" s="484"/>
      <c r="X241" s="484"/>
      <c r="Y241" s="484"/>
    </row>
    <row r="242">
      <c r="A242" s="10" t="s">
        <v>969</v>
      </c>
      <c r="B242" s="484"/>
      <c r="C242" s="484"/>
      <c r="D242" s="484"/>
      <c r="E242" s="484"/>
      <c r="F242" s="484"/>
      <c r="G242" s="10" t="s">
        <v>1242</v>
      </c>
      <c r="H242" s="484"/>
      <c r="I242" s="484"/>
      <c r="J242" s="484"/>
      <c r="K242" s="484"/>
      <c r="L242" s="200" t="s">
        <v>725</v>
      </c>
      <c r="M242" s="484"/>
      <c r="N242" s="484"/>
      <c r="O242" s="484"/>
      <c r="P242" s="484"/>
      <c r="Q242" s="484"/>
      <c r="R242" s="484"/>
      <c r="S242" s="484"/>
      <c r="T242" s="484"/>
      <c r="U242" s="484"/>
      <c r="V242" s="484"/>
      <c r="W242" s="484"/>
      <c r="X242" s="484"/>
      <c r="Y242" s="484"/>
    </row>
    <row r="243">
      <c r="A243" s="10" t="s">
        <v>972</v>
      </c>
      <c r="B243" s="484"/>
      <c r="C243" s="484"/>
      <c r="D243" s="484"/>
      <c r="E243" s="484"/>
      <c r="F243" s="484"/>
      <c r="G243" s="10" t="s">
        <v>516</v>
      </c>
      <c r="H243" s="484"/>
      <c r="I243" s="484"/>
      <c r="J243" s="484"/>
      <c r="K243" s="484"/>
      <c r="L243" s="200" t="s">
        <v>728</v>
      </c>
      <c r="M243" s="484"/>
      <c r="N243" s="484"/>
      <c r="O243" s="484"/>
      <c r="P243" s="484"/>
      <c r="Q243" s="484"/>
      <c r="R243" s="484"/>
      <c r="S243" s="484"/>
      <c r="T243" s="484"/>
      <c r="U243" s="484"/>
      <c r="V243" s="484"/>
      <c r="W243" s="484"/>
      <c r="X243" s="484"/>
      <c r="Y243" s="484"/>
    </row>
    <row r="244">
      <c r="A244" s="10" t="s">
        <v>574</v>
      </c>
      <c r="B244" s="484"/>
      <c r="C244" s="484"/>
      <c r="D244" s="484"/>
      <c r="E244" s="484"/>
      <c r="F244" s="484"/>
      <c r="G244" s="10" t="s">
        <v>219</v>
      </c>
      <c r="H244" s="484"/>
      <c r="I244" s="484"/>
      <c r="J244" s="484"/>
      <c r="K244" s="484"/>
      <c r="L244" s="422" t="s">
        <v>183</v>
      </c>
      <c r="M244" s="484"/>
      <c r="N244" s="484"/>
      <c r="O244" s="484"/>
      <c r="P244" s="484"/>
      <c r="Q244" s="484"/>
      <c r="R244" s="484"/>
      <c r="S244" s="484"/>
      <c r="T244" s="484"/>
      <c r="U244" s="484"/>
      <c r="V244" s="484"/>
      <c r="W244" s="484"/>
      <c r="X244" s="484"/>
      <c r="Y244" s="484"/>
    </row>
    <row r="245">
      <c r="A245" s="10" t="s">
        <v>980</v>
      </c>
      <c r="B245" s="484"/>
      <c r="C245" s="484"/>
      <c r="D245" s="484"/>
      <c r="E245" s="484"/>
      <c r="F245" s="484"/>
      <c r="G245" s="10" t="s">
        <v>366</v>
      </c>
      <c r="H245" s="484"/>
      <c r="I245" s="484"/>
      <c r="J245" s="484"/>
      <c r="K245" s="484"/>
      <c r="L245" s="200" t="s">
        <v>733</v>
      </c>
      <c r="M245" s="484"/>
      <c r="N245" s="484"/>
      <c r="O245" s="484"/>
      <c r="P245" s="484"/>
      <c r="Q245" s="484"/>
      <c r="R245" s="484"/>
      <c r="S245" s="484"/>
      <c r="T245" s="484"/>
      <c r="U245" s="484"/>
      <c r="V245" s="484"/>
      <c r="W245" s="484"/>
      <c r="X245" s="484"/>
      <c r="Y245" s="484"/>
    </row>
    <row r="246">
      <c r="A246" s="10" t="s">
        <v>986</v>
      </c>
      <c r="B246" s="484"/>
      <c r="C246" s="484"/>
      <c r="D246" s="484"/>
      <c r="E246" s="484"/>
      <c r="F246" s="484"/>
      <c r="G246" s="10" t="s">
        <v>516</v>
      </c>
      <c r="H246" s="484"/>
      <c r="I246" s="484"/>
      <c r="J246" s="484"/>
      <c r="K246" s="484"/>
      <c r="L246" s="200" t="s">
        <v>737</v>
      </c>
      <c r="M246" s="484"/>
      <c r="N246" s="484"/>
      <c r="O246" s="484"/>
      <c r="P246" s="484"/>
      <c r="Q246" s="484"/>
      <c r="R246" s="484"/>
      <c r="S246" s="484"/>
      <c r="T246" s="484"/>
      <c r="U246" s="484"/>
      <c r="V246" s="484"/>
      <c r="W246" s="484"/>
      <c r="X246" s="484"/>
      <c r="Y246" s="484"/>
    </row>
    <row r="247">
      <c r="A247" s="10" t="s">
        <v>752</v>
      </c>
      <c r="B247" s="484"/>
      <c r="C247" s="484"/>
      <c r="D247" s="484"/>
      <c r="E247" s="484"/>
      <c r="F247" s="484"/>
      <c r="G247" s="10" t="s">
        <v>201</v>
      </c>
      <c r="H247" s="484"/>
      <c r="I247" s="484"/>
      <c r="J247" s="484"/>
      <c r="K247" s="484"/>
      <c r="L247" s="200" t="s">
        <v>741</v>
      </c>
      <c r="M247" s="484"/>
      <c r="N247" s="484"/>
      <c r="O247" s="484"/>
      <c r="P247" s="484"/>
      <c r="Q247" s="484"/>
      <c r="R247" s="484"/>
      <c r="S247" s="484"/>
      <c r="T247" s="484"/>
      <c r="U247" s="484"/>
      <c r="V247" s="484"/>
      <c r="W247" s="484"/>
      <c r="X247" s="484"/>
      <c r="Y247" s="484"/>
    </row>
    <row r="248">
      <c r="A248" s="10" t="s">
        <v>1000</v>
      </c>
      <c r="B248" s="484"/>
      <c r="C248" s="484"/>
      <c r="D248" s="484"/>
      <c r="E248" s="484"/>
      <c r="F248" s="484"/>
      <c r="G248" s="10" t="s">
        <v>168</v>
      </c>
      <c r="H248" s="484"/>
      <c r="I248" s="484"/>
      <c r="J248" s="484"/>
      <c r="K248" s="484"/>
      <c r="L248" s="200" t="s">
        <v>123</v>
      </c>
      <c r="M248" s="484"/>
      <c r="N248" s="484"/>
      <c r="O248" s="484"/>
      <c r="P248" s="484"/>
      <c r="Q248" s="484"/>
      <c r="R248" s="484"/>
      <c r="S248" s="484"/>
      <c r="T248" s="484"/>
      <c r="U248" s="484"/>
      <c r="V248" s="484"/>
      <c r="W248" s="484"/>
      <c r="X248" s="484"/>
      <c r="Y248" s="484"/>
    </row>
    <row r="249">
      <c r="A249" s="10" t="s">
        <v>760</v>
      </c>
      <c r="B249" s="484"/>
      <c r="C249" s="484"/>
      <c r="D249" s="484"/>
      <c r="E249" s="484"/>
      <c r="F249" s="484"/>
      <c r="G249" s="10" t="s">
        <v>487</v>
      </c>
      <c r="H249" s="484"/>
      <c r="I249" s="484"/>
      <c r="J249" s="484"/>
      <c r="K249" s="484"/>
      <c r="L249" s="200" t="s">
        <v>747</v>
      </c>
      <c r="M249" s="484"/>
      <c r="N249" s="484"/>
      <c r="O249" s="484"/>
      <c r="P249" s="484"/>
      <c r="Q249" s="484"/>
      <c r="R249" s="484"/>
      <c r="S249" s="484"/>
      <c r="T249" s="484"/>
      <c r="U249" s="484"/>
      <c r="V249" s="484"/>
      <c r="W249" s="484"/>
      <c r="X249" s="484"/>
      <c r="Y249" s="484"/>
    </row>
    <row r="250">
      <c r="A250" s="10" t="s">
        <v>188</v>
      </c>
      <c r="B250" s="484"/>
      <c r="C250" s="484"/>
      <c r="D250" s="484"/>
      <c r="E250" s="484"/>
      <c r="F250" s="484"/>
      <c r="G250" s="10" t="s">
        <v>487</v>
      </c>
      <c r="H250" s="484"/>
      <c r="I250" s="484"/>
      <c r="J250" s="484"/>
      <c r="K250" s="484"/>
      <c r="L250" s="200" t="s">
        <v>747</v>
      </c>
      <c r="M250" s="484"/>
      <c r="N250" s="484"/>
      <c r="O250" s="484"/>
      <c r="P250" s="484"/>
      <c r="Q250" s="484"/>
      <c r="R250" s="484"/>
      <c r="S250" s="484"/>
      <c r="T250" s="484"/>
      <c r="U250" s="484"/>
      <c r="V250" s="484"/>
      <c r="W250" s="484"/>
      <c r="X250" s="484"/>
      <c r="Y250" s="484"/>
    </row>
    <row r="251">
      <c r="A251" s="10" t="s">
        <v>323</v>
      </c>
      <c r="B251" s="484"/>
      <c r="C251" s="484"/>
      <c r="D251" s="484"/>
      <c r="E251" s="484"/>
      <c r="F251" s="484"/>
      <c r="G251" s="10" t="s">
        <v>276</v>
      </c>
      <c r="H251" s="484"/>
      <c r="I251" s="484"/>
      <c r="J251" s="484"/>
      <c r="K251" s="484"/>
      <c r="L251" s="200" t="s">
        <v>747</v>
      </c>
      <c r="M251" s="484"/>
      <c r="N251" s="484"/>
      <c r="O251" s="484"/>
      <c r="P251" s="484"/>
      <c r="Q251" s="484"/>
      <c r="R251" s="484"/>
      <c r="S251" s="484"/>
      <c r="T251" s="484"/>
      <c r="U251" s="484"/>
      <c r="V251" s="484"/>
      <c r="W251" s="484"/>
      <c r="X251" s="484"/>
      <c r="Y251" s="484"/>
    </row>
    <row r="252">
      <c r="A252" s="10" t="s">
        <v>780</v>
      </c>
      <c r="B252" s="484"/>
      <c r="C252" s="484"/>
      <c r="D252" s="484"/>
      <c r="E252" s="484"/>
      <c r="F252" s="484"/>
      <c r="G252" s="10" t="s">
        <v>1280</v>
      </c>
      <c r="H252" s="484"/>
      <c r="I252" s="484"/>
      <c r="J252" s="484"/>
      <c r="K252" s="484"/>
      <c r="L252" s="200" t="s">
        <v>752</v>
      </c>
      <c r="M252" s="484"/>
      <c r="N252" s="484"/>
      <c r="O252" s="484"/>
      <c r="P252" s="484"/>
      <c r="Q252" s="484"/>
      <c r="R252" s="484"/>
      <c r="S252" s="484"/>
      <c r="T252" s="484"/>
      <c r="U252" s="484"/>
      <c r="V252" s="484"/>
      <c r="W252" s="484"/>
      <c r="X252" s="484"/>
      <c r="Y252" s="484"/>
    </row>
    <row r="253">
      <c r="A253" s="10" t="s">
        <v>947</v>
      </c>
      <c r="B253" s="484"/>
      <c r="C253" s="484"/>
      <c r="D253" s="484"/>
      <c r="E253" s="484"/>
      <c r="F253" s="484"/>
      <c r="G253" s="10" t="s">
        <v>1284</v>
      </c>
      <c r="H253" s="484"/>
      <c r="I253" s="484"/>
      <c r="J253" s="484"/>
      <c r="K253" s="484"/>
      <c r="L253" s="200" t="s">
        <v>757</v>
      </c>
      <c r="M253" s="484"/>
      <c r="N253" s="484"/>
      <c r="O253" s="484"/>
      <c r="P253" s="484"/>
      <c r="Q253" s="484"/>
      <c r="R253" s="484"/>
      <c r="S253" s="484"/>
      <c r="T253" s="484"/>
      <c r="U253" s="484"/>
      <c r="V253" s="484"/>
      <c r="W253" s="484"/>
      <c r="X253" s="484"/>
      <c r="Y253" s="484"/>
    </row>
    <row r="254">
      <c r="A254" s="10" t="s">
        <v>1025</v>
      </c>
      <c r="B254" s="484"/>
      <c r="C254" s="484"/>
      <c r="D254" s="484"/>
      <c r="E254" s="484"/>
      <c r="F254" s="484"/>
      <c r="G254" s="10" t="s">
        <v>333</v>
      </c>
      <c r="H254" s="484"/>
      <c r="I254" s="484"/>
      <c r="J254" s="484"/>
      <c r="K254" s="484"/>
      <c r="L254" s="200" t="s">
        <v>760</v>
      </c>
      <c r="M254" s="484"/>
      <c r="N254" s="484"/>
      <c r="O254" s="484"/>
      <c r="P254" s="484"/>
      <c r="Q254" s="484"/>
      <c r="R254" s="484"/>
      <c r="S254" s="484"/>
      <c r="T254" s="484"/>
      <c r="U254" s="484"/>
      <c r="V254" s="484"/>
      <c r="W254" s="484"/>
      <c r="X254" s="484"/>
      <c r="Y254" s="484"/>
    </row>
    <row r="255">
      <c r="A255" s="10" t="s">
        <v>1032</v>
      </c>
      <c r="B255" s="484"/>
      <c r="C255" s="484"/>
      <c r="D255" s="484"/>
      <c r="E255" s="484"/>
      <c r="F255" s="484"/>
      <c r="G255" s="10" t="s">
        <v>245</v>
      </c>
      <c r="H255" s="484"/>
      <c r="I255" s="484"/>
      <c r="J255" s="484"/>
      <c r="K255" s="484"/>
      <c r="L255" s="200" t="s">
        <v>771</v>
      </c>
      <c r="M255" s="484"/>
      <c r="N255" s="484"/>
      <c r="O255" s="484"/>
      <c r="P255" s="484"/>
      <c r="Q255" s="484"/>
      <c r="R255" s="484"/>
      <c r="S255" s="484"/>
      <c r="T255" s="484"/>
      <c r="U255" s="484"/>
      <c r="V255" s="484"/>
      <c r="W255" s="484"/>
      <c r="X255" s="484"/>
      <c r="Y255" s="484"/>
    </row>
    <row r="256">
      <c r="A256" s="10" t="s">
        <v>1041</v>
      </c>
      <c r="B256" s="484"/>
      <c r="C256" s="484"/>
      <c r="D256" s="484"/>
      <c r="E256" s="484"/>
      <c r="F256" s="484"/>
      <c r="G256" s="10" t="s">
        <v>195</v>
      </c>
      <c r="H256" s="484"/>
      <c r="I256" s="484"/>
      <c r="J256" s="484"/>
      <c r="K256" s="484"/>
      <c r="L256" s="200" t="s">
        <v>775</v>
      </c>
      <c r="M256" s="484"/>
      <c r="N256" s="484"/>
      <c r="O256" s="484"/>
      <c r="P256" s="484"/>
      <c r="Q256" s="484"/>
      <c r="R256" s="484"/>
      <c r="S256" s="484"/>
      <c r="T256" s="484"/>
      <c r="U256" s="484"/>
      <c r="V256" s="484"/>
      <c r="W256" s="484"/>
      <c r="X256" s="484"/>
      <c r="Y256" s="484"/>
    </row>
    <row r="257">
      <c r="A257" s="10" t="s">
        <v>1045</v>
      </c>
      <c r="B257" s="484"/>
      <c r="C257" s="484"/>
      <c r="D257" s="484"/>
      <c r="E257" s="484"/>
      <c r="F257" s="484"/>
      <c r="G257" s="10" t="s">
        <v>1306</v>
      </c>
      <c r="H257" s="484"/>
      <c r="I257" s="484"/>
      <c r="J257" s="484"/>
      <c r="K257" s="484"/>
      <c r="L257" s="200" t="s">
        <v>785</v>
      </c>
      <c r="M257" s="484"/>
      <c r="N257" s="484"/>
      <c r="O257" s="484"/>
      <c r="P257" s="484"/>
      <c r="Q257" s="484"/>
      <c r="R257" s="484"/>
      <c r="S257" s="484"/>
      <c r="T257" s="484"/>
      <c r="U257" s="484"/>
      <c r="V257" s="484"/>
      <c r="W257" s="484"/>
      <c r="X257" s="484"/>
      <c r="Y257" s="484"/>
    </row>
    <row r="258">
      <c r="A258" s="10" t="s">
        <v>385</v>
      </c>
      <c r="B258" s="484"/>
      <c r="C258" s="484"/>
      <c r="D258" s="484"/>
      <c r="E258" s="484"/>
      <c r="F258" s="484"/>
      <c r="G258" s="10" t="s">
        <v>94</v>
      </c>
      <c r="H258" s="484"/>
      <c r="I258" s="484"/>
      <c r="J258" s="484"/>
      <c r="K258" s="484"/>
      <c r="L258" s="200" t="s">
        <v>789</v>
      </c>
      <c r="M258" s="484"/>
      <c r="N258" s="484"/>
      <c r="O258" s="484"/>
      <c r="P258" s="484"/>
      <c r="Q258" s="484"/>
      <c r="R258" s="484"/>
      <c r="S258" s="484"/>
      <c r="T258" s="484"/>
      <c r="U258" s="484"/>
      <c r="V258" s="484"/>
      <c r="W258" s="484"/>
      <c r="X258" s="484"/>
      <c r="Y258" s="484"/>
    </row>
    <row r="259">
      <c r="A259" s="10" t="s">
        <v>697</v>
      </c>
      <c r="B259" s="484"/>
      <c r="C259" s="484"/>
      <c r="D259" s="484"/>
      <c r="E259" s="484"/>
      <c r="F259" s="484"/>
      <c r="G259" s="10" t="s">
        <v>760</v>
      </c>
      <c r="H259" s="484"/>
      <c r="I259" s="484"/>
      <c r="J259" s="484"/>
      <c r="K259" s="484"/>
      <c r="L259" s="200" t="s">
        <v>794</v>
      </c>
      <c r="M259" s="484"/>
      <c r="N259" s="484"/>
      <c r="O259" s="484"/>
      <c r="P259" s="484"/>
      <c r="Q259" s="484"/>
      <c r="R259" s="484"/>
      <c r="S259" s="484"/>
      <c r="T259" s="484"/>
      <c r="U259" s="484"/>
      <c r="V259" s="484"/>
      <c r="W259" s="484"/>
      <c r="X259" s="484"/>
      <c r="Y259" s="484"/>
    </row>
    <row r="260">
      <c r="A260" s="10" t="s">
        <v>1072</v>
      </c>
      <c r="B260" s="484"/>
      <c r="C260" s="484"/>
      <c r="D260" s="484"/>
      <c r="E260" s="484"/>
      <c r="F260" s="484"/>
      <c r="G260" s="10" t="s">
        <v>1318</v>
      </c>
      <c r="H260" s="484"/>
      <c r="I260" s="484"/>
      <c r="J260" s="484"/>
      <c r="K260" s="484"/>
      <c r="L260" s="200" t="s">
        <v>760</v>
      </c>
      <c r="M260" s="484"/>
      <c r="N260" s="484"/>
      <c r="O260" s="484"/>
      <c r="P260" s="484"/>
      <c r="Q260" s="484"/>
      <c r="R260" s="484"/>
      <c r="S260" s="484"/>
      <c r="T260" s="484"/>
      <c r="U260" s="484"/>
      <c r="V260" s="484"/>
      <c r="W260" s="484"/>
      <c r="X260" s="484"/>
      <c r="Y260" s="484"/>
    </row>
    <row r="261">
      <c r="A261" s="10" t="s">
        <v>586</v>
      </c>
      <c r="B261" s="484"/>
      <c r="C261" s="484"/>
      <c r="D261" s="484"/>
      <c r="E261" s="484"/>
      <c r="F261" s="484"/>
      <c r="G261" s="10" t="s">
        <v>1322</v>
      </c>
      <c r="H261" s="484"/>
      <c r="I261" s="484"/>
      <c r="J261" s="484"/>
      <c r="K261" s="484"/>
      <c r="L261" s="200" t="s">
        <v>123</v>
      </c>
      <c r="M261" s="484"/>
      <c r="N261" s="484"/>
      <c r="O261" s="484"/>
      <c r="P261" s="484"/>
      <c r="Q261" s="484"/>
      <c r="R261" s="484"/>
      <c r="S261" s="484"/>
      <c r="T261" s="484"/>
      <c r="U261" s="484"/>
      <c r="V261" s="484"/>
      <c r="W261" s="484"/>
      <c r="X261" s="484"/>
      <c r="Y261" s="484"/>
    </row>
    <row r="262">
      <c r="A262" s="10" t="s">
        <v>479</v>
      </c>
      <c r="B262" s="484"/>
      <c r="C262" s="484"/>
      <c r="D262" s="484"/>
      <c r="E262" s="484"/>
      <c r="F262" s="484"/>
      <c r="G262" s="10" t="s">
        <v>240</v>
      </c>
      <c r="H262" s="484"/>
      <c r="I262" s="484"/>
      <c r="J262" s="484"/>
      <c r="K262" s="484"/>
      <c r="L262" s="200" t="s">
        <v>636</v>
      </c>
      <c r="M262" s="484"/>
      <c r="N262" s="484"/>
      <c r="O262" s="484"/>
      <c r="P262" s="484"/>
      <c r="Q262" s="484"/>
      <c r="R262" s="484"/>
      <c r="S262" s="484"/>
      <c r="T262" s="484"/>
      <c r="U262" s="484"/>
      <c r="V262" s="484"/>
      <c r="W262" s="484"/>
      <c r="X262" s="484"/>
      <c r="Y262" s="484"/>
    </row>
    <row r="263">
      <c r="A263" s="10" t="s">
        <v>586</v>
      </c>
      <c r="B263" s="484"/>
      <c r="C263" s="484"/>
      <c r="D263" s="484"/>
      <c r="E263" s="484"/>
      <c r="F263" s="484"/>
      <c r="G263" s="10" t="s">
        <v>368</v>
      </c>
      <c r="H263" s="484"/>
      <c r="I263" s="484"/>
      <c r="J263" s="484"/>
      <c r="K263" s="484"/>
      <c r="L263" s="200" t="s">
        <v>193</v>
      </c>
      <c r="M263" s="484"/>
      <c r="N263" s="484"/>
      <c r="O263" s="484"/>
      <c r="P263" s="484"/>
      <c r="Q263" s="484"/>
      <c r="R263" s="484"/>
      <c r="S263" s="484"/>
      <c r="T263" s="484"/>
      <c r="U263" s="484"/>
      <c r="V263" s="484"/>
      <c r="W263" s="484"/>
      <c r="X263" s="484"/>
      <c r="Y263" s="484"/>
    </row>
    <row r="264">
      <c r="A264" s="10" t="s">
        <v>1103</v>
      </c>
      <c r="B264" s="484"/>
      <c r="C264" s="484"/>
      <c r="D264" s="484"/>
      <c r="E264" s="484"/>
      <c r="F264" s="484"/>
      <c r="G264" s="10" t="s">
        <v>1060</v>
      </c>
      <c r="H264" s="484"/>
      <c r="I264" s="484"/>
      <c r="J264" s="484"/>
      <c r="K264" s="484"/>
      <c r="L264" s="200" t="s">
        <v>794</v>
      </c>
      <c r="M264" s="484"/>
      <c r="N264" s="484"/>
      <c r="O264" s="484"/>
      <c r="P264" s="484"/>
      <c r="Q264" s="484"/>
      <c r="R264" s="484"/>
      <c r="S264" s="484"/>
      <c r="T264" s="484"/>
      <c r="U264" s="484"/>
      <c r="V264" s="484"/>
      <c r="W264" s="484"/>
      <c r="X264" s="484"/>
      <c r="Y264" s="484"/>
    </row>
    <row r="265">
      <c r="A265" s="10" t="s">
        <v>1106</v>
      </c>
      <c r="B265" s="484"/>
      <c r="C265" s="484"/>
      <c r="D265" s="484"/>
      <c r="E265" s="484"/>
      <c r="F265" s="484"/>
      <c r="G265" s="10" t="s">
        <v>94</v>
      </c>
      <c r="H265" s="484"/>
      <c r="I265" s="484"/>
      <c r="J265" s="484"/>
      <c r="K265" s="484"/>
      <c r="L265" s="200" t="s">
        <v>305</v>
      </c>
      <c r="M265" s="484"/>
      <c r="N265" s="484"/>
      <c r="O265" s="484"/>
      <c r="P265" s="484"/>
      <c r="Q265" s="484"/>
      <c r="R265" s="484"/>
      <c r="S265" s="484"/>
      <c r="T265" s="484"/>
      <c r="U265" s="484"/>
      <c r="V265" s="484"/>
      <c r="W265" s="484"/>
      <c r="X265" s="484"/>
      <c r="Y265" s="484"/>
    </row>
    <row r="266">
      <c r="A266" s="126" t="s">
        <v>123</v>
      </c>
      <c r="B266" s="484"/>
      <c r="C266" s="484"/>
      <c r="D266" s="484"/>
      <c r="E266" s="484"/>
      <c r="F266" s="484"/>
      <c r="G266" s="10" t="s">
        <v>574</v>
      </c>
      <c r="H266" s="484"/>
      <c r="I266" s="484"/>
      <c r="J266" s="484"/>
      <c r="K266" s="484"/>
      <c r="L266" s="200" t="s">
        <v>94</v>
      </c>
      <c r="M266" s="484"/>
      <c r="N266" s="484"/>
      <c r="O266" s="484"/>
      <c r="P266" s="484"/>
      <c r="Q266" s="484"/>
      <c r="R266" s="484"/>
      <c r="S266" s="484"/>
      <c r="T266" s="484"/>
      <c r="U266" s="484"/>
      <c r="V266" s="484"/>
      <c r="W266" s="484"/>
      <c r="X266" s="484"/>
      <c r="Y266" s="484"/>
    </row>
    <row r="267">
      <c r="A267" s="10" t="s">
        <v>245</v>
      </c>
      <c r="B267" s="484"/>
      <c r="C267" s="484"/>
      <c r="D267" s="484"/>
      <c r="E267" s="484"/>
      <c r="F267" s="484"/>
      <c r="G267" s="10" t="s">
        <v>1345</v>
      </c>
      <c r="H267" s="484"/>
      <c r="I267" s="484"/>
      <c r="J267" s="484"/>
      <c r="K267" s="484"/>
      <c r="L267" s="200" t="s">
        <v>675</v>
      </c>
      <c r="M267" s="484"/>
      <c r="N267" s="484"/>
      <c r="O267" s="484"/>
      <c r="P267" s="484"/>
      <c r="Q267" s="484"/>
      <c r="R267" s="484"/>
      <c r="S267" s="484"/>
      <c r="T267" s="484"/>
      <c r="U267" s="484"/>
      <c r="V267" s="484"/>
      <c r="W267" s="484"/>
      <c r="X267" s="484"/>
      <c r="Y267" s="484"/>
    </row>
    <row r="268">
      <c r="A268" s="10" t="s">
        <v>1116</v>
      </c>
      <c r="B268" s="484"/>
      <c r="C268" s="484"/>
      <c r="D268" s="484"/>
      <c r="E268" s="484"/>
      <c r="F268" s="484"/>
      <c r="G268" s="10" t="s">
        <v>780</v>
      </c>
      <c r="H268" s="484"/>
      <c r="I268" s="484"/>
      <c r="J268" s="484"/>
      <c r="K268" s="484"/>
      <c r="L268" s="200" t="s">
        <v>826</v>
      </c>
      <c r="M268" s="484"/>
      <c r="N268" s="484"/>
      <c r="O268" s="484"/>
      <c r="P268" s="484"/>
      <c r="Q268" s="484"/>
      <c r="R268" s="484"/>
      <c r="S268" s="484"/>
      <c r="T268" s="484"/>
      <c r="U268" s="484"/>
      <c r="V268" s="484"/>
      <c r="W268" s="484"/>
      <c r="X268" s="484"/>
      <c r="Y268" s="484"/>
    </row>
    <row r="269">
      <c r="A269" s="10" t="s">
        <v>272</v>
      </c>
      <c r="B269" s="484"/>
      <c r="C269" s="484"/>
      <c r="D269" s="484"/>
      <c r="E269" s="484"/>
      <c r="F269" s="484"/>
      <c r="G269" s="10" t="s">
        <v>427</v>
      </c>
      <c r="H269" s="484"/>
      <c r="I269" s="484"/>
      <c r="J269" s="484"/>
      <c r="K269" s="484"/>
      <c r="L269" s="200" t="s">
        <v>697</v>
      </c>
      <c r="M269" s="484"/>
      <c r="N269" s="484"/>
      <c r="O269" s="484"/>
      <c r="P269" s="484"/>
      <c r="Q269" s="484"/>
      <c r="R269" s="484"/>
      <c r="S269" s="484"/>
      <c r="T269" s="484"/>
      <c r="U269" s="484"/>
      <c r="V269" s="484"/>
      <c r="W269" s="484"/>
      <c r="X269" s="484"/>
      <c r="Y269" s="484"/>
    </row>
    <row r="270">
      <c r="A270" s="10" t="s">
        <v>872</v>
      </c>
      <c r="B270" s="484"/>
      <c r="C270" s="484"/>
      <c r="D270" s="484"/>
      <c r="E270" s="484"/>
      <c r="F270" s="484"/>
      <c r="G270" s="10" t="s">
        <v>636</v>
      </c>
      <c r="H270" s="484"/>
      <c r="I270" s="484"/>
      <c r="J270" s="484"/>
      <c r="K270" s="484"/>
      <c r="L270" s="200" t="s">
        <v>836</v>
      </c>
      <c r="M270" s="484"/>
      <c r="N270" s="484"/>
      <c r="O270" s="484"/>
      <c r="P270" s="484"/>
      <c r="Q270" s="484"/>
      <c r="R270" s="484"/>
      <c r="S270" s="484"/>
      <c r="T270" s="484"/>
      <c r="U270" s="484"/>
      <c r="V270" s="484"/>
      <c r="W270" s="484"/>
      <c r="X270" s="484"/>
      <c r="Y270" s="484"/>
    </row>
    <row r="271">
      <c r="A271" s="10" t="s">
        <v>195</v>
      </c>
      <c r="B271" s="484"/>
      <c r="C271" s="484"/>
      <c r="D271" s="484"/>
      <c r="E271" s="484"/>
      <c r="F271" s="484"/>
      <c r="G271" s="10" t="s">
        <v>636</v>
      </c>
      <c r="H271" s="484"/>
      <c r="I271" s="484"/>
      <c r="J271" s="484"/>
      <c r="K271" s="484"/>
      <c r="L271" s="200" t="s">
        <v>150</v>
      </c>
      <c r="M271" s="484"/>
      <c r="N271" s="484"/>
      <c r="O271" s="484"/>
      <c r="P271" s="484"/>
      <c r="Q271" s="484"/>
      <c r="R271" s="484"/>
      <c r="S271" s="484"/>
      <c r="T271" s="484"/>
      <c r="U271" s="484"/>
      <c r="V271" s="484"/>
      <c r="W271" s="484"/>
      <c r="X271" s="484"/>
      <c r="Y271" s="484"/>
    </row>
    <row r="272">
      <c r="A272" s="10" t="s">
        <v>195</v>
      </c>
      <c r="B272" s="484"/>
      <c r="C272" s="484"/>
      <c r="D272" s="484"/>
      <c r="E272" s="484"/>
      <c r="F272" s="484"/>
      <c r="G272" s="10" t="s">
        <v>272</v>
      </c>
      <c r="H272" s="484"/>
      <c r="I272" s="484"/>
      <c r="J272" s="484"/>
      <c r="K272" s="484"/>
      <c r="L272" s="200" t="s">
        <v>284</v>
      </c>
      <c r="M272" s="484"/>
      <c r="N272" s="484"/>
      <c r="O272" s="484"/>
      <c r="P272" s="484"/>
      <c r="Q272" s="484"/>
      <c r="R272" s="484"/>
      <c r="S272" s="484"/>
      <c r="T272" s="484"/>
      <c r="U272" s="484"/>
      <c r="V272" s="484"/>
      <c r="W272" s="484"/>
      <c r="X272" s="484"/>
      <c r="Y272" s="484"/>
    </row>
    <row r="273">
      <c r="A273" s="10" t="s">
        <v>424</v>
      </c>
      <c r="B273" s="484"/>
      <c r="C273" s="484"/>
      <c r="D273" s="484"/>
      <c r="E273" s="484"/>
      <c r="F273" s="484"/>
      <c r="G273" s="10" t="s">
        <v>272</v>
      </c>
      <c r="H273" s="484"/>
      <c r="I273" s="484"/>
      <c r="J273" s="484"/>
      <c r="K273" s="484"/>
      <c r="L273" s="200" t="s">
        <v>780</v>
      </c>
      <c r="M273" s="484"/>
      <c r="N273" s="484"/>
      <c r="O273" s="484"/>
      <c r="P273" s="484"/>
      <c r="Q273" s="484"/>
      <c r="R273" s="484"/>
      <c r="S273" s="484"/>
      <c r="T273" s="484"/>
      <c r="U273" s="484"/>
      <c r="V273" s="484"/>
      <c r="W273" s="484"/>
      <c r="X273" s="484"/>
      <c r="Y273" s="484"/>
    </row>
    <row r="274">
      <c r="A274" s="10" t="s">
        <v>195</v>
      </c>
      <c r="B274" s="484"/>
      <c r="C274" s="484"/>
      <c r="D274" s="484"/>
      <c r="E274" s="484"/>
      <c r="F274" s="484"/>
      <c r="G274" s="10" t="s">
        <v>78</v>
      </c>
      <c r="H274" s="484"/>
      <c r="I274" s="484"/>
      <c r="J274" s="484"/>
      <c r="K274" s="484"/>
      <c r="L274" s="200" t="s">
        <v>624</v>
      </c>
      <c r="M274" s="484"/>
      <c r="N274" s="484"/>
      <c r="O274" s="484"/>
      <c r="P274" s="484"/>
      <c r="Q274" s="484"/>
      <c r="R274" s="484"/>
      <c r="S274" s="484"/>
      <c r="T274" s="484"/>
      <c r="U274" s="484"/>
      <c r="V274" s="484"/>
      <c r="W274" s="484"/>
      <c r="X274" s="484"/>
      <c r="Y274" s="484"/>
    </row>
    <row r="275">
      <c r="A275" s="10" t="s">
        <v>195</v>
      </c>
      <c r="B275" s="484"/>
      <c r="C275" s="484"/>
      <c r="D275" s="484"/>
      <c r="E275" s="484"/>
      <c r="F275" s="484"/>
      <c r="G275" s="10" t="s">
        <v>111</v>
      </c>
      <c r="H275" s="484"/>
      <c r="I275" s="484"/>
      <c r="J275" s="484"/>
      <c r="K275" s="484"/>
      <c r="L275" s="200" t="s">
        <v>852</v>
      </c>
      <c r="M275" s="484"/>
      <c r="N275" s="484"/>
      <c r="O275" s="484"/>
      <c r="P275" s="484"/>
      <c r="Q275" s="484"/>
      <c r="R275" s="484"/>
      <c r="S275" s="484"/>
      <c r="T275" s="484"/>
      <c r="U275" s="484"/>
      <c r="V275" s="484"/>
      <c r="W275" s="484"/>
      <c r="X275" s="484"/>
      <c r="Y275" s="484"/>
    </row>
    <row r="276">
      <c r="A276" s="10" t="s">
        <v>374</v>
      </c>
      <c r="B276" s="484"/>
      <c r="C276" s="484"/>
      <c r="D276" s="484"/>
      <c r="E276" s="484"/>
      <c r="F276" s="484"/>
      <c r="G276" s="10" t="s">
        <v>586</v>
      </c>
      <c r="H276" s="484"/>
      <c r="I276" s="484"/>
      <c r="J276" s="484"/>
      <c r="K276" s="484"/>
      <c r="L276" s="200" t="s">
        <v>251</v>
      </c>
      <c r="M276" s="484"/>
      <c r="N276" s="484"/>
      <c r="O276" s="484"/>
      <c r="P276" s="484"/>
      <c r="Q276" s="484"/>
      <c r="R276" s="484"/>
      <c r="S276" s="484"/>
      <c r="T276" s="484"/>
      <c r="U276" s="484"/>
      <c r="V276" s="484"/>
      <c r="W276" s="484"/>
      <c r="X276" s="484"/>
      <c r="Y276" s="484"/>
    </row>
    <row r="277">
      <c r="A277" s="10" t="s">
        <v>240</v>
      </c>
      <c r="B277" s="484"/>
      <c r="C277" s="484"/>
      <c r="D277" s="484"/>
      <c r="E277" s="484"/>
      <c r="F277" s="484"/>
      <c r="G277" s="10" t="s">
        <v>771</v>
      </c>
      <c r="H277" s="484"/>
      <c r="I277" s="484"/>
      <c r="J277" s="484"/>
      <c r="K277" s="484"/>
      <c r="L277" s="200" t="s">
        <v>347</v>
      </c>
      <c r="M277" s="484"/>
      <c r="N277" s="484"/>
      <c r="O277" s="484"/>
      <c r="P277" s="484"/>
      <c r="Q277" s="484"/>
      <c r="R277" s="484"/>
      <c r="S277" s="484"/>
      <c r="T277" s="484"/>
      <c r="U277" s="484"/>
      <c r="V277" s="484"/>
      <c r="W277" s="484"/>
      <c r="X277" s="484"/>
      <c r="Y277" s="484"/>
    </row>
    <row r="278">
      <c r="A278" s="10" t="s">
        <v>333</v>
      </c>
      <c r="B278" s="484"/>
      <c r="C278" s="484"/>
      <c r="D278" s="484"/>
      <c r="E278" s="484"/>
      <c r="F278" s="484"/>
      <c r="G278" s="10" t="s">
        <v>237</v>
      </c>
      <c r="H278" s="484"/>
      <c r="I278" s="484"/>
      <c r="J278" s="484"/>
      <c r="K278" s="484"/>
      <c r="L278" s="200" t="s">
        <v>37</v>
      </c>
      <c r="M278" s="484"/>
      <c r="N278" s="484"/>
      <c r="O278" s="484"/>
      <c r="P278" s="484"/>
      <c r="Q278" s="484"/>
      <c r="R278" s="484"/>
      <c r="S278" s="484"/>
      <c r="T278" s="484"/>
      <c r="U278" s="484"/>
      <c r="V278" s="484"/>
      <c r="W278" s="484"/>
      <c r="X278" s="484"/>
      <c r="Y278" s="484"/>
    </row>
    <row r="279">
      <c r="A279" s="10" t="s">
        <v>148</v>
      </c>
      <c r="B279" s="484"/>
      <c r="C279" s="484"/>
      <c r="D279" s="484"/>
      <c r="E279" s="484"/>
      <c r="F279" s="484"/>
      <c r="G279" s="10" t="s">
        <v>293</v>
      </c>
      <c r="H279" s="484"/>
      <c r="I279" s="484"/>
      <c r="J279" s="484"/>
      <c r="K279" s="484"/>
      <c r="L279" s="200" t="s">
        <v>868</v>
      </c>
      <c r="M279" s="484"/>
      <c r="N279" s="484"/>
      <c r="O279" s="484"/>
      <c r="P279" s="484"/>
      <c r="Q279" s="484"/>
      <c r="R279" s="484"/>
      <c r="S279" s="484"/>
      <c r="T279" s="484"/>
      <c r="U279" s="484"/>
      <c r="V279" s="484"/>
      <c r="W279" s="484"/>
      <c r="X279" s="484"/>
      <c r="Y279" s="484"/>
    </row>
    <row r="280">
      <c r="A280" s="10" t="s">
        <v>108</v>
      </c>
      <c r="B280" s="484"/>
      <c r="C280" s="484"/>
      <c r="D280" s="484"/>
      <c r="E280" s="484"/>
      <c r="F280" s="484"/>
      <c r="G280" s="10" t="s">
        <v>1106</v>
      </c>
      <c r="H280" s="484"/>
      <c r="I280" s="484"/>
      <c r="J280" s="484"/>
      <c r="K280" s="484"/>
      <c r="L280" s="200" t="s">
        <v>872</v>
      </c>
      <c r="M280" s="484"/>
      <c r="N280" s="484"/>
      <c r="O280" s="484"/>
      <c r="P280" s="484"/>
      <c r="Q280" s="484"/>
      <c r="R280" s="484"/>
      <c r="S280" s="484"/>
      <c r="T280" s="484"/>
      <c r="U280" s="484"/>
      <c r="V280" s="484"/>
      <c r="W280" s="484"/>
      <c r="X280" s="484"/>
      <c r="Y280" s="484"/>
    </row>
    <row r="281">
      <c r="A281" s="10" t="s">
        <v>94</v>
      </c>
      <c r="B281" s="484"/>
      <c r="C281" s="484"/>
      <c r="D281" s="484"/>
      <c r="E281" s="484"/>
      <c r="F281" s="484"/>
      <c r="G281" s="10" t="s">
        <v>1425</v>
      </c>
      <c r="H281" s="484"/>
      <c r="I281" s="484"/>
      <c r="J281" s="484"/>
      <c r="K281" s="484"/>
      <c r="L281" s="200" t="s">
        <v>876</v>
      </c>
      <c r="M281" s="484"/>
      <c r="N281" s="484"/>
      <c r="O281" s="484"/>
      <c r="P281" s="484"/>
      <c r="Q281" s="484"/>
      <c r="R281" s="484"/>
      <c r="S281" s="484"/>
      <c r="T281" s="484"/>
      <c r="U281" s="484"/>
      <c r="V281" s="484"/>
      <c r="W281" s="484"/>
      <c r="X281" s="484"/>
      <c r="Y281" s="484"/>
    </row>
    <row r="282">
      <c r="A282" s="10" t="s">
        <v>479</v>
      </c>
      <c r="B282" s="484"/>
      <c r="C282" s="484"/>
      <c r="D282" s="484"/>
      <c r="E282" s="484"/>
      <c r="F282" s="484"/>
      <c r="G282" s="10" t="s">
        <v>123</v>
      </c>
      <c r="H282" s="484"/>
      <c r="I282" s="484"/>
      <c r="J282" s="484"/>
      <c r="K282" s="484"/>
      <c r="L282" s="200" t="s">
        <v>424</v>
      </c>
      <c r="M282" s="484"/>
      <c r="N282" s="484"/>
      <c r="O282" s="484"/>
      <c r="P282" s="484"/>
      <c r="Q282" s="484"/>
      <c r="R282" s="484"/>
      <c r="S282" s="484"/>
      <c r="T282" s="484"/>
      <c r="U282" s="484"/>
      <c r="V282" s="484"/>
      <c r="W282" s="484"/>
      <c r="X282" s="484"/>
      <c r="Y282" s="484"/>
    </row>
    <row r="283">
      <c r="A283" s="10" t="s">
        <v>479</v>
      </c>
      <c r="B283" s="484"/>
      <c r="C283" s="484"/>
      <c r="D283" s="484"/>
      <c r="E283" s="484"/>
      <c r="F283" s="484"/>
      <c r="G283" s="10" t="s">
        <v>219</v>
      </c>
      <c r="H283" s="484"/>
      <c r="I283" s="484"/>
      <c r="J283" s="484"/>
      <c r="K283" s="484"/>
      <c r="L283" s="200" t="s">
        <v>883</v>
      </c>
      <c r="M283" s="484"/>
      <c r="N283" s="484"/>
      <c r="O283" s="484"/>
      <c r="P283" s="484"/>
      <c r="Q283" s="484"/>
      <c r="R283" s="484"/>
      <c r="S283" s="484"/>
      <c r="T283" s="484"/>
      <c r="U283" s="484"/>
      <c r="V283" s="484"/>
      <c r="W283" s="484"/>
      <c r="X283" s="484"/>
      <c r="Y283" s="484"/>
    </row>
    <row r="284">
      <c r="A284" s="10" t="s">
        <v>148</v>
      </c>
      <c r="B284" s="484"/>
      <c r="C284" s="484"/>
      <c r="D284" s="484"/>
      <c r="E284" s="484"/>
      <c r="F284" s="484"/>
      <c r="G284" s="10" t="s">
        <v>1242</v>
      </c>
      <c r="H284" s="484"/>
      <c r="I284" s="484"/>
      <c r="J284" s="484"/>
      <c r="K284" s="484"/>
      <c r="L284" s="200" t="s">
        <v>887</v>
      </c>
      <c r="M284" s="484"/>
      <c r="N284" s="484"/>
      <c r="O284" s="484"/>
      <c r="P284" s="484"/>
      <c r="Q284" s="484"/>
      <c r="R284" s="484"/>
      <c r="S284" s="484"/>
      <c r="T284" s="484"/>
      <c r="U284" s="484"/>
      <c r="V284" s="484"/>
      <c r="W284" s="484"/>
      <c r="X284" s="484"/>
      <c r="Y284" s="484"/>
    </row>
    <row r="285">
      <c r="A285" s="10" t="s">
        <v>1185</v>
      </c>
      <c r="B285" s="484"/>
      <c r="C285" s="484"/>
      <c r="D285" s="484"/>
      <c r="E285" s="484"/>
      <c r="F285" s="484"/>
      <c r="G285" s="10" t="s">
        <v>1284</v>
      </c>
      <c r="H285" s="484"/>
      <c r="I285" s="484"/>
      <c r="J285" s="484"/>
      <c r="K285" s="484"/>
      <c r="L285" s="200" t="s">
        <v>171</v>
      </c>
      <c r="M285" s="484"/>
      <c r="N285" s="484"/>
      <c r="O285" s="484"/>
      <c r="P285" s="484"/>
      <c r="Q285" s="484"/>
      <c r="R285" s="484"/>
      <c r="S285" s="484"/>
      <c r="T285" s="484"/>
      <c r="U285" s="484"/>
      <c r="V285" s="484"/>
      <c r="W285" s="484"/>
      <c r="X285" s="484"/>
      <c r="Y285" s="484"/>
    </row>
    <row r="286">
      <c r="A286" s="10" t="s">
        <v>780</v>
      </c>
      <c r="B286" s="484"/>
      <c r="C286" s="484"/>
      <c r="D286" s="484"/>
      <c r="E286" s="484"/>
      <c r="F286" s="484"/>
      <c r="G286" s="10" t="s">
        <v>1461</v>
      </c>
      <c r="H286" s="484"/>
      <c r="I286" s="484"/>
      <c r="J286" s="484"/>
      <c r="K286" s="484"/>
      <c r="L286" s="200" t="s">
        <v>895</v>
      </c>
      <c r="M286" s="484"/>
      <c r="N286" s="484"/>
      <c r="O286" s="484"/>
      <c r="P286" s="484"/>
      <c r="Q286" s="484"/>
      <c r="R286" s="484"/>
      <c r="S286" s="484"/>
      <c r="T286" s="484"/>
      <c r="U286" s="484"/>
      <c r="V286" s="484"/>
      <c r="W286" s="484"/>
      <c r="X286" s="484"/>
      <c r="Y286" s="484"/>
    </row>
    <row r="287">
      <c r="A287" s="10" t="s">
        <v>284</v>
      </c>
      <c r="B287" s="484"/>
      <c r="C287" s="484"/>
      <c r="D287" s="484"/>
      <c r="E287" s="484"/>
      <c r="F287" s="484"/>
      <c r="G287" s="10" t="s">
        <v>1461</v>
      </c>
      <c r="H287" s="484"/>
      <c r="I287" s="484"/>
      <c r="J287" s="484"/>
      <c r="K287" s="484"/>
      <c r="L287" s="200" t="s">
        <v>897</v>
      </c>
      <c r="M287" s="484"/>
      <c r="N287" s="484"/>
      <c r="O287" s="484"/>
      <c r="P287" s="484"/>
      <c r="Q287" s="484"/>
      <c r="R287" s="484"/>
      <c r="S287" s="484"/>
      <c r="T287" s="484"/>
      <c r="U287" s="484"/>
      <c r="V287" s="484"/>
      <c r="W287" s="484"/>
      <c r="X287" s="484"/>
      <c r="Y287" s="484"/>
    </row>
    <row r="288">
      <c r="A288" s="10" t="s">
        <v>123</v>
      </c>
      <c r="B288" s="484"/>
      <c r="C288" s="484"/>
      <c r="D288" s="484"/>
      <c r="E288" s="484"/>
      <c r="F288" s="484"/>
      <c r="G288" s="10" t="s">
        <v>366</v>
      </c>
      <c r="H288" s="484"/>
      <c r="I288" s="484"/>
      <c r="J288" s="484"/>
      <c r="K288" s="484"/>
      <c r="L288" s="200" t="s">
        <v>382</v>
      </c>
      <c r="M288" s="484"/>
      <c r="N288" s="484"/>
      <c r="O288" s="484"/>
      <c r="P288" s="484"/>
      <c r="Q288" s="484"/>
      <c r="R288" s="484"/>
      <c r="S288" s="484"/>
      <c r="T288" s="484"/>
      <c r="U288" s="484"/>
      <c r="V288" s="484"/>
      <c r="W288" s="484"/>
      <c r="X288" s="484"/>
      <c r="Y288" s="484"/>
    </row>
    <row r="289">
      <c r="A289" s="10" t="s">
        <v>366</v>
      </c>
      <c r="B289" s="484"/>
      <c r="C289" s="484"/>
      <c r="D289" s="484"/>
      <c r="E289" s="484"/>
      <c r="F289" s="484"/>
      <c r="G289" s="10" t="s">
        <v>150</v>
      </c>
      <c r="H289" s="484"/>
      <c r="I289" s="484"/>
      <c r="J289" s="484"/>
      <c r="K289" s="484"/>
      <c r="L289" s="200" t="s">
        <v>94</v>
      </c>
      <c r="M289" s="484"/>
      <c r="N289" s="484"/>
      <c r="O289" s="484"/>
      <c r="P289" s="484"/>
      <c r="Q289" s="484"/>
      <c r="R289" s="484"/>
      <c r="S289" s="484"/>
      <c r="T289" s="484"/>
      <c r="U289" s="484"/>
      <c r="V289" s="484"/>
      <c r="W289" s="484"/>
      <c r="X289" s="484"/>
      <c r="Y289" s="484"/>
    </row>
    <row r="290">
      <c r="A290" s="10" t="s">
        <v>374</v>
      </c>
      <c r="B290" s="484"/>
      <c r="C290" s="484"/>
      <c r="D290" s="484"/>
      <c r="E290" s="484"/>
      <c r="F290" s="484"/>
      <c r="G290" s="10" t="s">
        <v>368</v>
      </c>
      <c r="H290" s="484"/>
      <c r="I290" s="484"/>
      <c r="J290" s="484"/>
      <c r="K290" s="484"/>
      <c r="L290" s="200" t="s">
        <v>148</v>
      </c>
      <c r="M290" s="484"/>
      <c r="N290" s="484"/>
      <c r="O290" s="484"/>
      <c r="P290" s="484"/>
      <c r="Q290" s="484"/>
      <c r="R290" s="484"/>
      <c r="S290" s="484"/>
      <c r="T290" s="484"/>
      <c r="U290" s="484"/>
      <c r="V290" s="484"/>
      <c r="W290" s="484"/>
      <c r="X290" s="484"/>
      <c r="Y290" s="484"/>
    </row>
    <row r="291">
      <c r="A291" s="10" t="s">
        <v>374</v>
      </c>
      <c r="B291" s="484"/>
      <c r="C291" s="484"/>
      <c r="D291" s="484"/>
      <c r="E291" s="484"/>
      <c r="F291" s="484"/>
      <c r="G291" s="10" t="s">
        <v>368</v>
      </c>
      <c r="H291" s="484"/>
      <c r="I291" s="484"/>
      <c r="J291" s="484"/>
      <c r="K291" s="484"/>
      <c r="L291" s="200" t="s">
        <v>912</v>
      </c>
      <c r="M291" s="484"/>
      <c r="N291" s="484"/>
      <c r="O291" s="484"/>
      <c r="P291" s="484"/>
      <c r="Q291" s="484"/>
      <c r="R291" s="484"/>
      <c r="S291" s="484"/>
      <c r="T291" s="484"/>
      <c r="U291" s="484"/>
      <c r="V291" s="484"/>
      <c r="W291" s="484"/>
      <c r="X291" s="484"/>
      <c r="Y291" s="484"/>
    </row>
    <row r="292">
      <c r="A292" s="10" t="s">
        <v>374</v>
      </c>
      <c r="B292" s="484"/>
      <c r="C292" s="484"/>
      <c r="D292" s="484"/>
      <c r="E292" s="484"/>
      <c r="F292" s="484"/>
      <c r="G292" s="10" t="s">
        <v>368</v>
      </c>
      <c r="H292" s="484"/>
      <c r="I292" s="484"/>
      <c r="J292" s="484"/>
      <c r="K292" s="484"/>
      <c r="L292" s="200" t="s">
        <v>123</v>
      </c>
      <c r="M292" s="484"/>
      <c r="N292" s="484"/>
      <c r="O292" s="484"/>
      <c r="P292" s="484"/>
      <c r="Q292" s="484"/>
      <c r="R292" s="484"/>
      <c r="S292" s="484"/>
      <c r="T292" s="484"/>
      <c r="U292" s="484"/>
      <c r="V292" s="484"/>
      <c r="W292" s="484"/>
      <c r="X292" s="484"/>
      <c r="Y292" s="484"/>
    </row>
    <row r="293">
      <c r="A293" s="10" t="s">
        <v>1060</v>
      </c>
      <c r="B293" s="484"/>
      <c r="C293" s="484"/>
      <c r="D293" s="484"/>
      <c r="E293" s="484"/>
      <c r="F293" s="484"/>
      <c r="G293" s="10" t="s">
        <v>148</v>
      </c>
      <c r="H293" s="484"/>
      <c r="I293" s="484"/>
      <c r="J293" s="484"/>
      <c r="K293" s="484"/>
      <c r="L293" s="200" t="s">
        <v>305</v>
      </c>
      <c r="M293" s="484"/>
      <c r="N293" s="484"/>
      <c r="O293" s="484"/>
      <c r="P293" s="484"/>
      <c r="Q293" s="484"/>
      <c r="R293" s="484"/>
      <c r="S293" s="484"/>
      <c r="T293" s="484"/>
      <c r="U293" s="484"/>
      <c r="V293" s="484"/>
      <c r="W293" s="484"/>
      <c r="X293" s="484"/>
      <c r="Y293" s="484"/>
    </row>
    <row r="294">
      <c r="A294" s="10" t="s">
        <v>943</v>
      </c>
      <c r="B294" s="484"/>
      <c r="C294" s="484"/>
      <c r="D294" s="484"/>
      <c r="E294" s="484"/>
      <c r="F294" s="484"/>
      <c r="G294" s="189" t="s">
        <v>685</v>
      </c>
      <c r="H294" s="484"/>
      <c r="I294" s="484"/>
      <c r="J294" s="484"/>
      <c r="K294" s="484"/>
      <c r="L294" s="200" t="s">
        <v>234</v>
      </c>
      <c r="M294" s="484"/>
      <c r="N294" s="484"/>
      <c r="O294" s="484"/>
      <c r="P294" s="484"/>
      <c r="Q294" s="484"/>
      <c r="R294" s="484"/>
      <c r="S294" s="484"/>
      <c r="T294" s="484"/>
      <c r="U294" s="484"/>
      <c r="V294" s="484"/>
      <c r="W294" s="484"/>
      <c r="X294" s="484"/>
      <c r="Y294" s="484"/>
    </row>
    <row r="295">
      <c r="A295" s="10" t="s">
        <v>1224</v>
      </c>
      <c r="B295" s="484"/>
      <c r="C295" s="484"/>
      <c r="D295" s="484"/>
      <c r="E295" s="484"/>
      <c r="F295" s="484"/>
      <c r="G295" s="10" t="s">
        <v>368</v>
      </c>
      <c r="H295" s="484"/>
      <c r="I295" s="484"/>
      <c r="J295" s="484"/>
      <c r="K295" s="484"/>
      <c r="L295" s="200" t="s">
        <v>108</v>
      </c>
      <c r="M295" s="484"/>
      <c r="N295" s="484"/>
      <c r="O295" s="484"/>
      <c r="P295" s="484"/>
      <c r="Q295" s="484"/>
      <c r="R295" s="484"/>
      <c r="S295" s="484"/>
      <c r="T295" s="484"/>
      <c r="U295" s="484"/>
      <c r="V295" s="484"/>
      <c r="W295" s="484"/>
      <c r="X295" s="484"/>
      <c r="Y295" s="484"/>
    </row>
    <row r="296">
      <c r="A296" s="10" t="s">
        <v>382</v>
      </c>
      <c r="B296" s="484"/>
      <c r="C296" s="484"/>
      <c r="D296" s="484"/>
      <c r="E296" s="484"/>
      <c r="F296" s="484"/>
      <c r="G296" s="10" t="s">
        <v>1503</v>
      </c>
      <c r="H296" s="484"/>
      <c r="I296" s="484"/>
      <c r="J296" s="484"/>
      <c r="K296" s="484"/>
      <c r="L296" s="200" t="s">
        <v>160</v>
      </c>
      <c r="M296" s="484"/>
      <c r="N296" s="484"/>
      <c r="O296" s="484"/>
      <c r="P296" s="484"/>
      <c r="Q296" s="484"/>
      <c r="R296" s="484"/>
      <c r="S296" s="484"/>
      <c r="T296" s="484"/>
      <c r="U296" s="484"/>
      <c r="V296" s="484"/>
      <c r="W296" s="484"/>
      <c r="X296" s="484"/>
      <c r="Y296" s="484"/>
    </row>
    <row r="297">
      <c r="A297" s="10" t="s">
        <v>954</v>
      </c>
      <c r="B297" s="484"/>
      <c r="C297" s="484"/>
      <c r="D297" s="484"/>
      <c r="E297" s="484"/>
      <c r="F297" s="484"/>
      <c r="G297" s="10" t="s">
        <v>368</v>
      </c>
      <c r="H297" s="484"/>
      <c r="I297" s="484"/>
      <c r="J297" s="484"/>
      <c r="K297" s="484"/>
      <c r="L297" s="200" t="s">
        <v>925</v>
      </c>
      <c r="M297" s="484"/>
      <c r="N297" s="484"/>
      <c r="O297" s="484"/>
      <c r="P297" s="484"/>
      <c r="Q297" s="484"/>
      <c r="R297" s="484"/>
      <c r="S297" s="484"/>
      <c r="T297" s="484"/>
      <c r="U297" s="484"/>
      <c r="V297" s="484"/>
      <c r="W297" s="484"/>
      <c r="X297" s="484"/>
      <c r="Y297" s="484"/>
    </row>
    <row r="298">
      <c r="A298" s="10" t="s">
        <v>943</v>
      </c>
      <c r="B298" s="484"/>
      <c r="C298" s="484"/>
      <c r="D298" s="484"/>
      <c r="E298" s="484"/>
      <c r="F298" s="484"/>
      <c r="G298" s="10" t="s">
        <v>240</v>
      </c>
      <c r="H298" s="484"/>
      <c r="I298" s="484"/>
      <c r="J298" s="484"/>
      <c r="K298" s="484"/>
      <c r="L298" s="200" t="s">
        <v>104</v>
      </c>
      <c r="M298" s="484"/>
      <c r="N298" s="484"/>
      <c r="O298" s="484"/>
      <c r="P298" s="484"/>
      <c r="Q298" s="484"/>
      <c r="R298" s="484"/>
      <c r="S298" s="484"/>
      <c r="T298" s="484"/>
      <c r="U298" s="484"/>
      <c r="V298" s="484"/>
      <c r="W298" s="484"/>
      <c r="X298" s="484"/>
      <c r="Y298" s="484"/>
    </row>
    <row r="299">
      <c r="A299" s="10" t="s">
        <v>123</v>
      </c>
      <c r="B299" s="484"/>
      <c r="C299" s="484"/>
      <c r="D299" s="484"/>
      <c r="E299" s="484"/>
      <c r="F299" s="484"/>
      <c r="G299" s="10" t="s">
        <v>368</v>
      </c>
      <c r="H299" s="484"/>
      <c r="I299" s="484"/>
      <c r="J299" s="484"/>
      <c r="K299" s="484"/>
      <c r="L299" s="200" t="s">
        <v>699</v>
      </c>
      <c r="M299" s="484"/>
      <c r="N299" s="484"/>
      <c r="O299" s="484"/>
      <c r="P299" s="484"/>
      <c r="Q299" s="484"/>
      <c r="R299" s="484"/>
      <c r="S299" s="484"/>
      <c r="T299" s="484"/>
      <c r="U299" s="484"/>
      <c r="V299" s="484"/>
      <c r="W299" s="484"/>
      <c r="X299" s="484"/>
      <c r="Y299" s="484"/>
    </row>
    <row r="300">
      <c r="A300" s="10" t="s">
        <v>1242</v>
      </c>
      <c r="B300" s="484"/>
      <c r="C300" s="484"/>
      <c r="D300" s="484"/>
      <c r="E300" s="484"/>
      <c r="F300" s="484"/>
      <c r="G300" s="10" t="s">
        <v>245</v>
      </c>
      <c r="H300" s="484"/>
      <c r="I300" s="484"/>
      <c r="J300" s="484"/>
      <c r="K300" s="484"/>
      <c r="L300" s="200" t="s">
        <v>37</v>
      </c>
      <c r="M300" s="484"/>
      <c r="N300" s="484"/>
      <c r="O300" s="484"/>
      <c r="P300" s="484"/>
      <c r="Q300" s="484"/>
      <c r="R300" s="484"/>
      <c r="S300" s="484"/>
      <c r="T300" s="484"/>
      <c r="U300" s="484"/>
      <c r="V300" s="484"/>
      <c r="W300" s="484"/>
      <c r="X300" s="484"/>
      <c r="Y300" s="484"/>
    </row>
    <row r="301">
      <c r="A301" s="10" t="s">
        <v>516</v>
      </c>
      <c r="B301" s="484"/>
      <c r="C301" s="484"/>
      <c r="D301" s="484"/>
      <c r="E301" s="484"/>
      <c r="F301" s="484"/>
      <c r="G301" s="10" t="s">
        <v>482</v>
      </c>
      <c r="H301" s="484"/>
      <c r="I301" s="484"/>
      <c r="J301" s="484"/>
      <c r="K301" s="484"/>
      <c r="L301" s="200" t="s">
        <v>938</v>
      </c>
      <c r="M301" s="484"/>
      <c r="N301" s="484"/>
      <c r="O301" s="484"/>
      <c r="P301" s="484"/>
      <c r="Q301" s="484"/>
      <c r="R301" s="484"/>
      <c r="S301" s="484"/>
      <c r="T301" s="484"/>
      <c r="U301" s="484"/>
      <c r="V301" s="484"/>
      <c r="W301" s="484"/>
      <c r="X301" s="484"/>
      <c r="Y301" s="484"/>
    </row>
    <row r="302">
      <c r="A302" s="10" t="s">
        <v>219</v>
      </c>
      <c r="B302" s="484"/>
      <c r="C302" s="484"/>
      <c r="D302" s="484"/>
      <c r="E302" s="484"/>
      <c r="F302" s="484"/>
      <c r="G302" s="10" t="s">
        <v>308</v>
      </c>
      <c r="H302" s="484"/>
      <c r="I302" s="484"/>
      <c r="J302" s="484"/>
      <c r="K302" s="484"/>
      <c r="L302" s="200" t="s">
        <v>305</v>
      </c>
      <c r="M302" s="484"/>
      <c r="N302" s="484"/>
      <c r="O302" s="484"/>
      <c r="P302" s="484"/>
      <c r="Q302" s="484"/>
      <c r="R302" s="484"/>
      <c r="S302" s="484"/>
      <c r="T302" s="484"/>
      <c r="U302" s="484"/>
      <c r="V302" s="484"/>
      <c r="W302" s="484"/>
      <c r="X302" s="484"/>
      <c r="Y302" s="484"/>
    </row>
    <row r="303">
      <c r="A303" s="10" t="s">
        <v>1253</v>
      </c>
      <c r="B303" s="484"/>
      <c r="C303" s="484"/>
      <c r="D303" s="484"/>
      <c r="E303" s="484"/>
      <c r="F303" s="484"/>
      <c r="G303" s="10" t="s">
        <v>1532</v>
      </c>
      <c r="H303" s="484"/>
      <c r="I303" s="484"/>
      <c r="J303" s="484"/>
      <c r="K303" s="484"/>
      <c r="L303" s="200" t="s">
        <v>943</v>
      </c>
      <c r="M303" s="484"/>
      <c r="N303" s="484"/>
      <c r="O303" s="484"/>
      <c r="P303" s="484"/>
      <c r="Q303" s="484"/>
      <c r="R303" s="484"/>
      <c r="S303" s="484"/>
      <c r="T303" s="484"/>
      <c r="U303" s="484"/>
      <c r="V303" s="484"/>
      <c r="W303" s="484"/>
      <c r="X303" s="484"/>
      <c r="Y303" s="484"/>
    </row>
    <row r="304">
      <c r="A304" s="10" t="s">
        <v>366</v>
      </c>
      <c r="B304" s="484"/>
      <c r="C304" s="484"/>
      <c r="D304" s="484"/>
      <c r="E304" s="484"/>
      <c r="F304" s="484"/>
      <c r="G304" s="10" t="s">
        <v>1539</v>
      </c>
      <c r="H304" s="484"/>
      <c r="I304" s="484"/>
      <c r="J304" s="484"/>
      <c r="K304" s="484"/>
      <c r="L304" s="200" t="s">
        <v>947</v>
      </c>
      <c r="M304" s="484"/>
      <c r="N304" s="484"/>
      <c r="O304" s="484"/>
      <c r="P304" s="484"/>
      <c r="Q304" s="484"/>
      <c r="R304" s="484"/>
      <c r="S304" s="484"/>
      <c r="T304" s="484"/>
      <c r="U304" s="484"/>
      <c r="V304" s="484"/>
      <c r="W304" s="484"/>
      <c r="X304" s="484"/>
      <c r="Y304" s="484"/>
    </row>
    <row r="305">
      <c r="A305" s="10" t="s">
        <v>516</v>
      </c>
      <c r="B305" s="484"/>
      <c r="C305" s="484"/>
      <c r="D305" s="484"/>
      <c r="E305" s="484"/>
      <c r="F305" s="484"/>
      <c r="G305" s="10" t="s">
        <v>1547</v>
      </c>
      <c r="H305" s="484"/>
      <c r="I305" s="484"/>
      <c r="J305" s="484"/>
      <c r="K305" s="484"/>
      <c r="L305" s="200" t="s">
        <v>293</v>
      </c>
      <c r="M305" s="484"/>
      <c r="N305" s="484"/>
      <c r="O305" s="484"/>
      <c r="P305" s="484"/>
      <c r="Q305" s="484"/>
      <c r="R305" s="484"/>
      <c r="S305" s="484"/>
      <c r="T305" s="484"/>
      <c r="U305" s="484"/>
      <c r="V305" s="484"/>
      <c r="W305" s="484"/>
      <c r="X305" s="484"/>
      <c r="Y305" s="484"/>
    </row>
    <row r="306">
      <c r="A306" s="10" t="s">
        <v>201</v>
      </c>
      <c r="B306" s="484"/>
      <c r="C306" s="484"/>
      <c r="D306" s="484"/>
      <c r="E306" s="484"/>
      <c r="F306" s="484"/>
      <c r="G306" s="10" t="s">
        <v>760</v>
      </c>
      <c r="H306" s="484"/>
      <c r="I306" s="484"/>
      <c r="J306" s="484"/>
      <c r="K306" s="484"/>
      <c r="L306" s="200" t="s">
        <v>954</v>
      </c>
      <c r="M306" s="484"/>
      <c r="N306" s="484"/>
      <c r="O306" s="484"/>
      <c r="P306" s="484"/>
      <c r="Q306" s="484"/>
      <c r="R306" s="484"/>
      <c r="S306" s="484"/>
      <c r="T306" s="484"/>
      <c r="U306" s="484"/>
      <c r="V306" s="484"/>
      <c r="W306" s="484"/>
      <c r="X306" s="484"/>
      <c r="Y306" s="484"/>
    </row>
    <row r="307">
      <c r="A307" s="10" t="s">
        <v>168</v>
      </c>
      <c r="B307" s="484"/>
      <c r="C307" s="484"/>
      <c r="D307" s="484"/>
      <c r="E307" s="484"/>
      <c r="F307" s="484"/>
      <c r="G307" s="11" t="s">
        <v>500</v>
      </c>
      <c r="H307" s="484"/>
      <c r="I307" s="484"/>
      <c r="J307" s="484"/>
      <c r="K307" s="484"/>
      <c r="L307" s="200" t="s">
        <v>213</v>
      </c>
      <c r="M307" s="484"/>
      <c r="N307" s="484"/>
      <c r="O307" s="484"/>
      <c r="P307" s="484"/>
      <c r="Q307" s="484"/>
      <c r="R307" s="484"/>
      <c r="S307" s="484"/>
      <c r="T307" s="484"/>
      <c r="U307" s="484"/>
      <c r="V307" s="484"/>
      <c r="W307" s="484"/>
      <c r="X307" s="484"/>
      <c r="Y307" s="484"/>
    </row>
    <row r="308">
      <c r="A308" s="10" t="s">
        <v>487</v>
      </c>
      <c r="B308" s="484"/>
      <c r="C308" s="484"/>
      <c r="D308" s="484"/>
      <c r="E308" s="484"/>
      <c r="F308" s="484"/>
      <c r="G308" s="11" t="s">
        <v>333</v>
      </c>
      <c r="H308" s="484"/>
      <c r="I308" s="484"/>
      <c r="J308" s="484"/>
      <c r="K308" s="484"/>
      <c r="L308" s="200" t="s">
        <v>959</v>
      </c>
      <c r="M308" s="484"/>
      <c r="N308" s="484"/>
      <c r="O308" s="484"/>
      <c r="P308" s="484"/>
      <c r="Q308" s="484"/>
      <c r="R308" s="484"/>
      <c r="S308" s="484"/>
      <c r="T308" s="484"/>
      <c r="U308" s="484"/>
      <c r="V308" s="484"/>
      <c r="W308" s="484"/>
      <c r="X308" s="484"/>
      <c r="Y308" s="484"/>
    </row>
    <row r="309">
      <c r="A309" s="10" t="s">
        <v>487</v>
      </c>
      <c r="B309" s="484"/>
      <c r="C309" s="484"/>
      <c r="D309" s="484"/>
      <c r="E309" s="484"/>
      <c r="F309" s="484"/>
      <c r="G309" s="11" t="s">
        <v>101</v>
      </c>
      <c r="H309" s="484"/>
      <c r="I309" s="484"/>
      <c r="J309" s="484"/>
      <c r="K309" s="484"/>
      <c r="L309" s="200" t="s">
        <v>710</v>
      </c>
      <c r="M309" s="484"/>
      <c r="N309" s="484"/>
      <c r="O309" s="484"/>
      <c r="P309" s="484"/>
      <c r="Q309" s="484"/>
      <c r="R309" s="484"/>
      <c r="S309" s="484"/>
      <c r="T309" s="484"/>
      <c r="U309" s="484"/>
      <c r="V309" s="484"/>
      <c r="W309" s="484"/>
      <c r="X309" s="484"/>
      <c r="Y309" s="484"/>
    </row>
    <row r="310">
      <c r="A310" s="10" t="s">
        <v>276</v>
      </c>
      <c r="B310" s="484"/>
      <c r="C310" s="484"/>
      <c r="D310" s="484"/>
      <c r="E310" s="484"/>
      <c r="F310" s="484"/>
      <c r="G310" s="226" t="s">
        <v>1586</v>
      </c>
      <c r="H310" s="484"/>
      <c r="I310" s="484"/>
      <c r="J310" s="484"/>
      <c r="K310" s="484"/>
      <c r="L310" s="200" t="s">
        <v>134</v>
      </c>
      <c r="M310" s="484"/>
      <c r="N310" s="484"/>
      <c r="O310" s="484"/>
      <c r="P310" s="484"/>
      <c r="Q310" s="484"/>
      <c r="R310" s="484"/>
      <c r="S310" s="484"/>
      <c r="T310" s="484"/>
      <c r="U310" s="484"/>
      <c r="V310" s="484"/>
      <c r="W310" s="484"/>
      <c r="X310" s="484"/>
      <c r="Y310" s="484"/>
    </row>
    <row r="311">
      <c r="A311" s="10" t="s">
        <v>1280</v>
      </c>
      <c r="B311" s="484"/>
      <c r="C311" s="484"/>
      <c r="D311" s="484"/>
      <c r="E311" s="484"/>
      <c r="F311" s="484"/>
      <c r="G311" s="226" t="s">
        <v>1586</v>
      </c>
      <c r="H311" s="484"/>
      <c r="I311" s="484"/>
      <c r="J311" s="484"/>
      <c r="K311" s="484"/>
      <c r="L311" s="200" t="s">
        <v>969</v>
      </c>
      <c r="M311" s="484"/>
      <c r="N311" s="484"/>
      <c r="O311" s="484"/>
      <c r="P311" s="484"/>
      <c r="Q311" s="484"/>
      <c r="R311" s="484"/>
      <c r="S311" s="484"/>
      <c r="T311" s="484"/>
      <c r="U311" s="484"/>
      <c r="V311" s="484"/>
      <c r="W311" s="484"/>
      <c r="X311" s="484"/>
      <c r="Y311" s="484"/>
    </row>
    <row r="312">
      <c r="A312" s="10" t="s">
        <v>1284</v>
      </c>
      <c r="B312" s="484"/>
      <c r="C312" s="484"/>
      <c r="D312" s="484"/>
      <c r="E312" s="484"/>
      <c r="F312" s="484"/>
      <c r="G312" s="226" t="s">
        <v>284</v>
      </c>
      <c r="H312" s="484"/>
      <c r="I312" s="484"/>
      <c r="J312" s="484"/>
      <c r="K312" s="484"/>
      <c r="L312" s="200" t="s">
        <v>972</v>
      </c>
      <c r="M312" s="484"/>
      <c r="N312" s="484"/>
      <c r="O312" s="484"/>
      <c r="P312" s="484"/>
      <c r="Q312" s="484"/>
      <c r="R312" s="484"/>
      <c r="S312" s="484"/>
      <c r="T312" s="484"/>
      <c r="U312" s="484"/>
      <c r="V312" s="484"/>
      <c r="W312" s="484"/>
      <c r="X312" s="484"/>
      <c r="Y312" s="484"/>
    </row>
    <row r="313">
      <c r="A313" s="10" t="s">
        <v>333</v>
      </c>
      <c r="B313" s="484"/>
      <c r="C313" s="484"/>
      <c r="D313" s="484"/>
      <c r="E313" s="484"/>
      <c r="F313" s="484"/>
      <c r="G313" s="226" t="s">
        <v>600</v>
      </c>
      <c r="H313" s="484"/>
      <c r="I313" s="484"/>
      <c r="J313" s="484"/>
      <c r="K313" s="484"/>
      <c r="L313" s="200" t="s">
        <v>574</v>
      </c>
      <c r="M313" s="484"/>
      <c r="N313" s="484"/>
      <c r="O313" s="484"/>
      <c r="P313" s="484"/>
      <c r="Q313" s="484"/>
      <c r="R313" s="484"/>
      <c r="S313" s="484"/>
      <c r="T313" s="484"/>
      <c r="U313" s="484"/>
      <c r="V313" s="484"/>
      <c r="W313" s="484"/>
      <c r="X313" s="484"/>
      <c r="Y313" s="484"/>
    </row>
    <row r="314">
      <c r="A314" s="10" t="s">
        <v>37</v>
      </c>
      <c r="B314" s="484"/>
      <c r="C314" s="484"/>
      <c r="D314" s="484"/>
      <c r="E314" s="484"/>
      <c r="F314" s="484"/>
      <c r="G314" s="226" t="s">
        <v>308</v>
      </c>
      <c r="H314" s="484"/>
      <c r="I314" s="484"/>
      <c r="J314" s="484"/>
      <c r="K314" s="484"/>
      <c r="L314" s="200" t="s">
        <v>980</v>
      </c>
      <c r="M314" s="484"/>
      <c r="N314" s="484"/>
      <c r="O314" s="484"/>
      <c r="P314" s="484"/>
      <c r="Q314" s="484"/>
      <c r="R314" s="484"/>
      <c r="S314" s="484"/>
      <c r="T314" s="484"/>
      <c r="U314" s="484"/>
      <c r="V314" s="484"/>
      <c r="W314" s="484"/>
      <c r="X314" s="484"/>
      <c r="Y314" s="484"/>
    </row>
    <row r="315">
      <c r="A315" s="10" t="s">
        <v>245</v>
      </c>
      <c r="B315" s="484"/>
      <c r="C315" s="484"/>
      <c r="D315" s="484"/>
      <c r="E315" s="484"/>
      <c r="F315" s="484"/>
      <c r="G315" s="226" t="s">
        <v>1267</v>
      </c>
      <c r="H315" s="484"/>
      <c r="I315" s="484"/>
      <c r="J315" s="484"/>
      <c r="K315" s="484"/>
      <c r="L315" s="200" t="s">
        <v>986</v>
      </c>
      <c r="M315" s="484"/>
      <c r="N315" s="484"/>
      <c r="O315" s="484"/>
      <c r="P315" s="484"/>
      <c r="Q315" s="484"/>
      <c r="R315" s="484"/>
      <c r="S315" s="484"/>
      <c r="T315" s="484"/>
      <c r="U315" s="484"/>
      <c r="V315" s="484"/>
      <c r="W315" s="484"/>
      <c r="X315" s="484"/>
      <c r="Y315" s="484"/>
    </row>
    <row r="316">
      <c r="A316" s="10" t="s">
        <v>195</v>
      </c>
      <c r="B316" s="484"/>
      <c r="C316" s="484"/>
      <c r="D316" s="484"/>
      <c r="E316" s="484"/>
      <c r="F316" s="484"/>
      <c r="G316" s="226" t="s">
        <v>155</v>
      </c>
      <c r="H316" s="484"/>
      <c r="I316" s="484"/>
      <c r="J316" s="484"/>
      <c r="K316" s="484"/>
      <c r="L316" s="200" t="s">
        <v>752</v>
      </c>
      <c r="M316" s="484"/>
      <c r="N316" s="484"/>
      <c r="O316" s="484"/>
      <c r="P316" s="484"/>
      <c r="Q316" s="484"/>
      <c r="R316" s="484"/>
      <c r="S316" s="484"/>
      <c r="T316" s="484"/>
      <c r="U316" s="484"/>
      <c r="V316" s="484"/>
      <c r="W316" s="484"/>
      <c r="X316" s="484"/>
      <c r="Y316" s="484"/>
    </row>
    <row r="317">
      <c r="A317" s="10" t="s">
        <v>1306</v>
      </c>
      <c r="B317" s="484"/>
      <c r="C317" s="484"/>
      <c r="D317" s="484"/>
      <c r="E317" s="484"/>
      <c r="F317" s="484"/>
      <c r="G317" s="226" t="s">
        <v>385</v>
      </c>
      <c r="H317" s="484"/>
      <c r="I317" s="484"/>
      <c r="J317" s="484"/>
      <c r="K317" s="484"/>
      <c r="L317" s="200" t="s">
        <v>1000</v>
      </c>
      <c r="M317" s="484"/>
      <c r="N317" s="484"/>
      <c r="O317" s="484"/>
      <c r="P317" s="484"/>
      <c r="Q317" s="484"/>
      <c r="R317" s="484"/>
      <c r="S317" s="484"/>
      <c r="T317" s="484"/>
      <c r="U317" s="484"/>
      <c r="V317" s="484"/>
      <c r="W317" s="484"/>
      <c r="X317" s="484"/>
      <c r="Y317" s="484"/>
    </row>
    <row r="318">
      <c r="A318" s="10" t="s">
        <v>94</v>
      </c>
      <c r="B318" s="484"/>
      <c r="C318" s="484"/>
      <c r="D318" s="484"/>
      <c r="E318" s="484"/>
      <c r="F318" s="484"/>
      <c r="G318" s="226" t="s">
        <v>586</v>
      </c>
      <c r="H318" s="484"/>
      <c r="I318" s="484"/>
      <c r="J318" s="484"/>
      <c r="K318" s="484"/>
      <c r="L318" s="200" t="s">
        <v>760</v>
      </c>
      <c r="M318" s="484"/>
      <c r="N318" s="484"/>
      <c r="O318" s="484"/>
      <c r="P318" s="484"/>
      <c r="Q318" s="484"/>
      <c r="R318" s="484"/>
      <c r="S318" s="484"/>
      <c r="T318" s="484"/>
      <c r="U318" s="484"/>
      <c r="V318" s="484"/>
      <c r="W318" s="484"/>
      <c r="X318" s="484"/>
      <c r="Y318" s="484"/>
    </row>
    <row r="319">
      <c r="A319" s="10" t="s">
        <v>760</v>
      </c>
      <c r="B319" s="484"/>
      <c r="C319" s="484"/>
      <c r="D319" s="484"/>
      <c r="E319" s="484"/>
      <c r="F319" s="484"/>
      <c r="G319" s="226" t="s">
        <v>374</v>
      </c>
      <c r="H319" s="484"/>
      <c r="I319" s="484"/>
      <c r="J319" s="484"/>
      <c r="K319" s="484"/>
      <c r="L319" s="200" t="s">
        <v>188</v>
      </c>
      <c r="M319" s="484"/>
      <c r="N319" s="484"/>
      <c r="O319" s="484"/>
      <c r="P319" s="484"/>
      <c r="Q319" s="484"/>
      <c r="R319" s="484"/>
      <c r="S319" s="484"/>
      <c r="T319" s="484"/>
      <c r="U319" s="484"/>
      <c r="V319" s="484"/>
      <c r="W319" s="484"/>
      <c r="X319" s="484"/>
      <c r="Y319" s="484"/>
    </row>
    <row r="320">
      <c r="A320" s="10" t="s">
        <v>1318</v>
      </c>
      <c r="B320" s="484"/>
      <c r="C320" s="484"/>
      <c r="D320" s="484"/>
      <c r="E320" s="484"/>
      <c r="F320" s="484"/>
      <c r="G320" s="226" t="s">
        <v>195</v>
      </c>
      <c r="H320" s="484"/>
      <c r="I320" s="484"/>
      <c r="J320" s="484"/>
      <c r="K320" s="484"/>
      <c r="L320" s="200" t="s">
        <v>188</v>
      </c>
      <c r="M320" s="484"/>
      <c r="N320" s="484"/>
      <c r="O320" s="484"/>
      <c r="P320" s="484"/>
      <c r="Q320" s="484"/>
      <c r="R320" s="484"/>
      <c r="S320" s="484"/>
      <c r="T320" s="484"/>
      <c r="U320" s="484"/>
      <c r="V320" s="484"/>
      <c r="W320" s="484"/>
      <c r="X320" s="484"/>
      <c r="Y320" s="484"/>
    </row>
    <row r="321">
      <c r="A321" s="10" t="s">
        <v>1322</v>
      </c>
      <c r="B321" s="484"/>
      <c r="C321" s="484"/>
      <c r="D321" s="484"/>
      <c r="E321" s="484"/>
      <c r="F321" s="484"/>
      <c r="G321" s="226" t="s">
        <v>108</v>
      </c>
      <c r="H321" s="484"/>
      <c r="I321" s="484"/>
      <c r="J321" s="484"/>
      <c r="K321" s="484"/>
      <c r="L321" s="200" t="s">
        <v>323</v>
      </c>
      <c r="M321" s="484"/>
      <c r="N321" s="484"/>
      <c r="O321" s="484"/>
      <c r="P321" s="484"/>
      <c r="Q321" s="484"/>
      <c r="R321" s="484"/>
      <c r="S321" s="484"/>
      <c r="T321" s="484"/>
      <c r="U321" s="484"/>
      <c r="V321" s="484"/>
      <c r="W321" s="484"/>
      <c r="X321" s="484"/>
      <c r="Y321" s="484"/>
    </row>
    <row r="322">
      <c r="A322" s="10" t="s">
        <v>240</v>
      </c>
      <c r="B322" s="484"/>
      <c r="C322" s="484"/>
      <c r="D322" s="484"/>
      <c r="E322" s="484"/>
      <c r="F322" s="484"/>
      <c r="G322" s="226" t="s">
        <v>78</v>
      </c>
      <c r="H322" s="484"/>
      <c r="I322" s="484"/>
      <c r="J322" s="484"/>
      <c r="K322" s="484"/>
      <c r="L322" s="200" t="s">
        <v>780</v>
      </c>
      <c r="M322" s="484"/>
      <c r="N322" s="484"/>
      <c r="O322" s="484"/>
      <c r="P322" s="484"/>
      <c r="Q322" s="484"/>
      <c r="R322" s="484"/>
      <c r="S322" s="484"/>
      <c r="T322" s="484"/>
      <c r="U322" s="484"/>
      <c r="V322" s="484"/>
      <c r="W322" s="484"/>
      <c r="X322" s="484"/>
      <c r="Y322" s="484"/>
    </row>
    <row r="323">
      <c r="A323" s="10" t="s">
        <v>368</v>
      </c>
      <c r="B323" s="484"/>
      <c r="C323" s="484"/>
      <c r="D323" s="484"/>
      <c r="E323" s="484"/>
      <c r="F323" s="484"/>
      <c r="G323" s="226" t="s">
        <v>1706</v>
      </c>
      <c r="H323" s="484"/>
      <c r="I323" s="484"/>
      <c r="J323" s="484"/>
      <c r="K323" s="484"/>
      <c r="L323" s="200" t="s">
        <v>947</v>
      </c>
      <c r="M323" s="484"/>
      <c r="N323" s="484"/>
      <c r="O323" s="484"/>
      <c r="P323" s="484"/>
      <c r="Q323" s="484"/>
      <c r="R323" s="484"/>
      <c r="S323" s="484"/>
      <c r="T323" s="484"/>
      <c r="U323" s="484"/>
      <c r="V323" s="484"/>
      <c r="W323" s="484"/>
      <c r="X323" s="484"/>
      <c r="Y323" s="484"/>
    </row>
    <row r="324">
      <c r="A324" s="10" t="s">
        <v>1060</v>
      </c>
      <c r="B324" s="484"/>
      <c r="C324" s="484"/>
      <c r="D324" s="484"/>
      <c r="E324" s="484"/>
      <c r="F324" s="484"/>
      <c r="G324" s="226" t="s">
        <v>1712</v>
      </c>
      <c r="H324" s="484"/>
      <c r="I324" s="484"/>
      <c r="J324" s="484"/>
      <c r="K324" s="484"/>
      <c r="L324" s="200" t="s">
        <v>231</v>
      </c>
      <c r="M324" s="484"/>
      <c r="N324" s="484"/>
      <c r="O324" s="484"/>
      <c r="P324" s="484"/>
      <c r="Q324" s="484"/>
      <c r="R324" s="484"/>
      <c r="S324" s="484"/>
      <c r="T324" s="484"/>
      <c r="U324" s="484"/>
      <c r="V324" s="484"/>
      <c r="W324" s="484"/>
      <c r="X324" s="484"/>
      <c r="Y324" s="484"/>
    </row>
    <row r="325">
      <c r="A325" s="10" t="s">
        <v>94</v>
      </c>
      <c r="B325" s="484"/>
      <c r="C325" s="484"/>
      <c r="D325" s="484"/>
      <c r="E325" s="484"/>
      <c r="F325" s="484"/>
      <c r="G325" s="226" t="s">
        <v>1586</v>
      </c>
      <c r="H325" s="484"/>
      <c r="I325" s="484"/>
      <c r="J325" s="484"/>
      <c r="K325" s="484"/>
      <c r="L325" s="200" t="s">
        <v>747</v>
      </c>
      <c r="M325" s="484"/>
      <c r="N325" s="484"/>
      <c r="O325" s="484"/>
      <c r="P325" s="484"/>
      <c r="Q325" s="484"/>
      <c r="R325" s="484"/>
      <c r="S325" s="484"/>
      <c r="T325" s="484"/>
      <c r="U325" s="484"/>
      <c r="V325" s="484"/>
      <c r="W325" s="484"/>
      <c r="X325" s="484"/>
      <c r="Y325" s="484"/>
    </row>
    <row r="326">
      <c r="A326" s="10" t="s">
        <v>574</v>
      </c>
      <c r="B326" s="484"/>
      <c r="C326" s="484"/>
      <c r="D326" s="484"/>
      <c r="E326" s="484"/>
      <c r="F326" s="484"/>
      <c r="G326" s="226" t="s">
        <v>195</v>
      </c>
      <c r="H326" s="484"/>
      <c r="I326" s="484"/>
      <c r="J326" s="484"/>
      <c r="K326" s="484"/>
      <c r="L326" s="200" t="s">
        <v>1025</v>
      </c>
      <c r="M326" s="484"/>
      <c r="N326" s="484"/>
      <c r="O326" s="484"/>
      <c r="P326" s="484"/>
      <c r="Q326" s="484"/>
      <c r="R326" s="484"/>
      <c r="S326" s="484"/>
      <c r="T326" s="484"/>
      <c r="U326" s="484"/>
      <c r="V326" s="484"/>
      <c r="W326" s="484"/>
      <c r="X326" s="484"/>
      <c r="Y326" s="484"/>
    </row>
    <row r="327">
      <c r="A327" s="10" t="s">
        <v>1345</v>
      </c>
      <c r="B327" s="484"/>
      <c r="C327" s="484"/>
      <c r="D327" s="484"/>
      <c r="E327" s="484"/>
      <c r="F327" s="484"/>
      <c r="G327" s="226" t="s">
        <v>148</v>
      </c>
      <c r="H327" s="484"/>
      <c r="I327" s="484"/>
      <c r="J327" s="484"/>
      <c r="K327" s="484"/>
      <c r="L327" s="200" t="s">
        <v>1032</v>
      </c>
      <c r="M327" s="484"/>
      <c r="N327" s="484"/>
      <c r="O327" s="484"/>
      <c r="P327" s="484"/>
      <c r="Q327" s="484"/>
      <c r="R327" s="484"/>
      <c r="S327" s="484"/>
      <c r="T327" s="484"/>
      <c r="U327" s="484"/>
      <c r="V327" s="484"/>
      <c r="W327" s="484"/>
      <c r="X327" s="484"/>
      <c r="Y327" s="484"/>
    </row>
    <row r="328">
      <c r="A328" s="10" t="s">
        <v>780</v>
      </c>
      <c r="B328" s="484"/>
      <c r="C328" s="484"/>
      <c r="D328" s="484"/>
      <c r="E328" s="484"/>
      <c r="F328" s="484"/>
      <c r="G328" s="226" t="s">
        <v>1746</v>
      </c>
      <c r="H328" s="484"/>
      <c r="I328" s="484"/>
      <c r="J328" s="484"/>
      <c r="K328" s="484"/>
      <c r="L328" s="200" t="s">
        <v>1041</v>
      </c>
      <c r="M328" s="484"/>
      <c r="N328" s="484"/>
      <c r="O328" s="484"/>
      <c r="P328" s="484"/>
      <c r="Q328" s="484"/>
      <c r="R328" s="484"/>
      <c r="S328" s="484"/>
      <c r="T328" s="484"/>
      <c r="U328" s="484"/>
      <c r="V328" s="484"/>
      <c r="W328" s="484"/>
      <c r="X328" s="484"/>
      <c r="Y328" s="484"/>
    </row>
    <row r="329">
      <c r="A329" s="10" t="s">
        <v>938</v>
      </c>
      <c r="B329" s="484"/>
      <c r="C329" s="484"/>
      <c r="D329" s="484"/>
      <c r="E329" s="484"/>
      <c r="F329" s="484"/>
      <c r="G329" s="226" t="s">
        <v>1706</v>
      </c>
      <c r="H329" s="484"/>
      <c r="I329" s="484"/>
      <c r="J329" s="484"/>
      <c r="K329" s="484"/>
      <c r="L329" s="200" t="s">
        <v>1045</v>
      </c>
      <c r="M329" s="484"/>
      <c r="N329" s="484"/>
      <c r="O329" s="484"/>
      <c r="P329" s="484"/>
      <c r="Q329" s="484"/>
      <c r="R329" s="484"/>
      <c r="S329" s="484"/>
      <c r="T329" s="484"/>
      <c r="U329" s="484"/>
      <c r="V329" s="484"/>
      <c r="W329" s="484"/>
      <c r="X329" s="484"/>
      <c r="Y329" s="484"/>
    </row>
    <row r="330">
      <c r="A330" s="10" t="s">
        <v>427</v>
      </c>
      <c r="B330" s="484"/>
      <c r="C330" s="484"/>
      <c r="D330" s="484"/>
      <c r="E330" s="484"/>
      <c r="F330" s="484"/>
      <c r="G330" s="226" t="s">
        <v>1706</v>
      </c>
      <c r="H330" s="484"/>
      <c r="I330" s="484"/>
      <c r="J330" s="484"/>
      <c r="K330" s="484"/>
      <c r="L330" s="200" t="s">
        <v>436</v>
      </c>
      <c r="M330" s="484"/>
      <c r="N330" s="484"/>
      <c r="O330" s="484"/>
      <c r="P330" s="484"/>
      <c r="Q330" s="484"/>
      <c r="R330" s="484"/>
      <c r="S330" s="484"/>
      <c r="T330" s="484"/>
      <c r="U330" s="484"/>
      <c r="V330" s="484"/>
      <c r="W330" s="484"/>
      <c r="X330" s="484"/>
      <c r="Y330" s="484"/>
    </row>
    <row r="331">
      <c r="A331" s="10" t="s">
        <v>636</v>
      </c>
      <c r="B331" s="484"/>
      <c r="C331" s="484"/>
      <c r="D331" s="484"/>
      <c r="E331" s="484"/>
      <c r="F331" s="484"/>
      <c r="G331" s="226" t="s">
        <v>710</v>
      </c>
      <c r="H331" s="484"/>
      <c r="I331" s="484"/>
      <c r="J331" s="484"/>
      <c r="K331" s="484"/>
      <c r="L331" s="200" t="s">
        <v>416</v>
      </c>
      <c r="M331" s="484"/>
      <c r="N331" s="484"/>
      <c r="O331" s="484"/>
      <c r="P331" s="484"/>
      <c r="Q331" s="484"/>
      <c r="R331" s="484"/>
      <c r="S331" s="484"/>
      <c r="T331" s="484"/>
      <c r="U331" s="484"/>
      <c r="V331" s="484"/>
      <c r="W331" s="484"/>
      <c r="X331" s="484"/>
      <c r="Y331" s="484"/>
    </row>
    <row r="332">
      <c r="A332" s="10" t="s">
        <v>636</v>
      </c>
      <c r="B332" s="484"/>
      <c r="C332" s="484"/>
      <c r="D332" s="484"/>
      <c r="E332" s="484"/>
      <c r="F332" s="484"/>
      <c r="G332" s="226" t="s">
        <v>153</v>
      </c>
      <c r="H332" s="484"/>
      <c r="I332" s="484"/>
      <c r="J332" s="484"/>
      <c r="K332" s="484"/>
      <c r="L332" s="200" t="s">
        <v>737</v>
      </c>
      <c r="M332" s="484"/>
      <c r="N332" s="484"/>
      <c r="O332" s="484"/>
      <c r="P332" s="484"/>
      <c r="Q332" s="484"/>
      <c r="R332" s="484"/>
      <c r="S332" s="484"/>
      <c r="T332" s="484"/>
      <c r="U332" s="484"/>
      <c r="V332" s="484"/>
      <c r="W332" s="484"/>
      <c r="X332" s="484"/>
      <c r="Y332" s="484"/>
    </row>
    <row r="333">
      <c r="A333" s="10" t="s">
        <v>272</v>
      </c>
      <c r="B333" s="484"/>
      <c r="C333" s="484"/>
      <c r="D333" s="484"/>
      <c r="E333" s="484"/>
      <c r="F333" s="484"/>
      <c r="G333" s="226" t="s">
        <v>720</v>
      </c>
      <c r="H333" s="484"/>
      <c r="I333" s="484"/>
      <c r="J333" s="484"/>
      <c r="K333" s="484"/>
      <c r="L333" s="200" t="s">
        <v>385</v>
      </c>
      <c r="M333" s="484"/>
      <c r="N333" s="484"/>
      <c r="O333" s="484"/>
      <c r="P333" s="484"/>
      <c r="Q333" s="484"/>
      <c r="R333" s="484"/>
      <c r="S333" s="484"/>
      <c r="T333" s="484"/>
      <c r="U333" s="484"/>
      <c r="V333" s="484"/>
      <c r="W333" s="484"/>
      <c r="X333" s="484"/>
      <c r="Y333" s="484"/>
    </row>
    <row r="334">
      <c r="A334" s="10" t="s">
        <v>272</v>
      </c>
      <c r="B334" s="484"/>
      <c r="C334" s="484"/>
      <c r="D334" s="484"/>
      <c r="E334" s="484"/>
      <c r="F334" s="484"/>
      <c r="G334" s="226" t="s">
        <v>1045</v>
      </c>
      <c r="H334" s="484"/>
      <c r="I334" s="484"/>
      <c r="J334" s="484"/>
      <c r="K334" s="484"/>
      <c r="L334" s="200" t="s">
        <v>697</v>
      </c>
      <c r="M334" s="484"/>
      <c r="N334" s="484"/>
      <c r="O334" s="484"/>
      <c r="P334" s="484"/>
      <c r="Q334" s="484"/>
      <c r="R334" s="484"/>
      <c r="S334" s="484"/>
      <c r="T334" s="484"/>
      <c r="U334" s="484"/>
      <c r="V334" s="484"/>
      <c r="W334" s="484"/>
      <c r="X334" s="484"/>
      <c r="Y334" s="484"/>
    </row>
    <row r="335">
      <c r="A335" s="10" t="s">
        <v>78</v>
      </c>
      <c r="B335" s="484"/>
      <c r="C335" s="484"/>
      <c r="D335" s="484"/>
      <c r="E335" s="484"/>
      <c r="F335" s="484"/>
      <c r="G335" s="226" t="s">
        <v>209</v>
      </c>
      <c r="H335" s="484"/>
      <c r="I335" s="484"/>
      <c r="J335" s="484"/>
      <c r="K335" s="484"/>
      <c r="L335" s="200" t="s">
        <v>595</v>
      </c>
      <c r="M335" s="484"/>
      <c r="N335" s="484"/>
      <c r="O335" s="484"/>
      <c r="P335" s="484"/>
      <c r="Q335" s="484"/>
      <c r="R335" s="484"/>
      <c r="S335" s="484"/>
      <c r="T335" s="484"/>
      <c r="U335" s="484"/>
      <c r="V335" s="484"/>
      <c r="W335" s="484"/>
      <c r="X335" s="484"/>
      <c r="Y335" s="484"/>
    </row>
    <row r="336">
      <c r="A336" s="10" t="s">
        <v>111</v>
      </c>
      <c r="B336" s="484"/>
      <c r="C336" s="484"/>
      <c r="D336" s="484"/>
      <c r="E336" s="484"/>
      <c r="F336" s="484"/>
      <c r="G336" s="226" t="s">
        <v>201</v>
      </c>
      <c r="H336" s="484"/>
      <c r="I336" s="484"/>
      <c r="J336" s="484"/>
      <c r="K336" s="484"/>
      <c r="L336" s="200" t="s">
        <v>1072</v>
      </c>
      <c r="M336" s="484"/>
      <c r="N336" s="484"/>
      <c r="O336" s="484"/>
      <c r="P336" s="484"/>
      <c r="Q336" s="484"/>
      <c r="R336" s="484"/>
      <c r="S336" s="484"/>
      <c r="T336" s="484"/>
      <c r="U336" s="484"/>
      <c r="V336" s="484"/>
      <c r="W336" s="484"/>
      <c r="X336" s="484"/>
      <c r="Y336" s="484"/>
    </row>
    <row r="337">
      <c r="A337" s="10" t="s">
        <v>586</v>
      </c>
      <c r="B337" s="484"/>
      <c r="C337" s="484"/>
      <c r="D337" s="484"/>
      <c r="E337" s="484"/>
      <c r="F337" s="484"/>
      <c r="G337" s="226" t="s">
        <v>240</v>
      </c>
      <c r="H337" s="484"/>
      <c r="I337" s="484"/>
      <c r="J337" s="484"/>
      <c r="K337" s="484"/>
      <c r="L337" s="200" t="s">
        <v>586</v>
      </c>
      <c r="M337" s="484"/>
      <c r="N337" s="484"/>
      <c r="O337" s="484"/>
      <c r="P337" s="484"/>
      <c r="Q337" s="484"/>
      <c r="R337" s="484"/>
      <c r="S337" s="484"/>
      <c r="T337" s="484"/>
      <c r="U337" s="484"/>
      <c r="V337" s="484"/>
      <c r="W337" s="484"/>
      <c r="X337" s="484"/>
      <c r="Y337" s="484"/>
    </row>
    <row r="338">
      <c r="A338" s="10" t="s">
        <v>771</v>
      </c>
      <c r="B338" s="484"/>
      <c r="C338" s="484"/>
      <c r="D338" s="484"/>
      <c r="E338" s="484"/>
      <c r="F338" s="484"/>
      <c r="G338" s="226" t="s">
        <v>368</v>
      </c>
      <c r="H338" s="484"/>
      <c r="I338" s="484"/>
      <c r="J338" s="484"/>
      <c r="K338" s="484"/>
      <c r="L338" s="200" t="s">
        <v>1060</v>
      </c>
      <c r="M338" s="484"/>
      <c r="N338" s="484"/>
      <c r="O338" s="484"/>
      <c r="P338" s="484"/>
      <c r="Q338" s="484"/>
      <c r="R338" s="484"/>
      <c r="S338" s="484"/>
      <c r="T338" s="484"/>
      <c r="U338" s="484"/>
      <c r="V338" s="484"/>
      <c r="W338" s="484"/>
      <c r="X338" s="484"/>
      <c r="Y338" s="484"/>
    </row>
    <row r="339">
      <c r="A339" s="10" t="s">
        <v>1406</v>
      </c>
      <c r="B339" s="484"/>
      <c r="C339" s="484"/>
      <c r="D339" s="484"/>
      <c r="E339" s="484"/>
      <c r="F339" s="484"/>
      <c r="G339" s="226" t="s">
        <v>333</v>
      </c>
      <c r="H339" s="484"/>
      <c r="I339" s="484"/>
      <c r="J339" s="484"/>
      <c r="K339" s="484"/>
      <c r="L339" s="200" t="s">
        <v>1060</v>
      </c>
      <c r="M339" s="484"/>
      <c r="N339" s="484"/>
      <c r="O339" s="484"/>
      <c r="P339" s="484"/>
      <c r="Q339" s="484"/>
      <c r="R339" s="484"/>
      <c r="S339" s="484"/>
      <c r="T339" s="484"/>
      <c r="U339" s="484"/>
      <c r="V339" s="484"/>
      <c r="W339" s="484"/>
      <c r="X339" s="484"/>
      <c r="Y339" s="484"/>
    </row>
    <row r="340">
      <c r="A340" s="10" t="s">
        <v>237</v>
      </c>
      <c r="B340" s="484"/>
      <c r="C340" s="484"/>
      <c r="D340" s="484"/>
      <c r="E340" s="484"/>
      <c r="F340" s="484"/>
      <c r="G340" s="226" t="s">
        <v>104</v>
      </c>
      <c r="H340" s="484"/>
      <c r="I340" s="484"/>
      <c r="J340" s="484"/>
      <c r="K340" s="484"/>
      <c r="L340" s="200" t="s">
        <v>479</v>
      </c>
      <c r="M340" s="484"/>
      <c r="N340" s="484"/>
      <c r="O340" s="484"/>
      <c r="P340" s="484"/>
      <c r="Q340" s="484"/>
      <c r="R340" s="484"/>
      <c r="S340" s="484"/>
      <c r="T340" s="484"/>
      <c r="U340" s="484"/>
      <c r="V340" s="484"/>
      <c r="W340" s="484"/>
      <c r="X340" s="484"/>
      <c r="Y340" s="484"/>
    </row>
    <row r="341">
      <c r="A341" s="10" t="s">
        <v>293</v>
      </c>
      <c r="B341" s="484"/>
      <c r="C341" s="484"/>
      <c r="D341" s="484"/>
      <c r="E341" s="484"/>
      <c r="F341" s="484"/>
      <c r="G341" s="226" t="s">
        <v>104</v>
      </c>
      <c r="H341" s="484"/>
      <c r="I341" s="484"/>
      <c r="J341" s="484"/>
      <c r="K341" s="484"/>
      <c r="L341" s="200" t="s">
        <v>586</v>
      </c>
      <c r="M341" s="484"/>
      <c r="N341" s="484"/>
      <c r="O341" s="484"/>
      <c r="P341" s="484"/>
      <c r="Q341" s="484"/>
      <c r="R341" s="484"/>
      <c r="S341" s="484"/>
      <c r="T341" s="484"/>
      <c r="U341" s="484"/>
      <c r="V341" s="484"/>
      <c r="W341" s="484"/>
      <c r="X341" s="484"/>
      <c r="Y341" s="484"/>
    </row>
    <row r="342">
      <c r="A342" s="10" t="s">
        <v>1106</v>
      </c>
      <c r="B342" s="484"/>
      <c r="C342" s="484"/>
      <c r="D342" s="484"/>
      <c r="E342" s="484"/>
      <c r="F342" s="484"/>
      <c r="G342" s="226" t="s">
        <v>675</v>
      </c>
      <c r="H342" s="484"/>
      <c r="I342" s="484"/>
      <c r="J342" s="484"/>
      <c r="K342" s="484"/>
      <c r="L342" s="200" t="s">
        <v>323</v>
      </c>
      <c r="M342" s="484"/>
      <c r="N342" s="484"/>
      <c r="O342" s="484"/>
      <c r="P342" s="484"/>
      <c r="Q342" s="484"/>
      <c r="R342" s="484"/>
      <c r="S342" s="484"/>
      <c r="T342" s="484"/>
      <c r="U342" s="484"/>
      <c r="V342" s="484"/>
      <c r="W342" s="484"/>
      <c r="X342" s="484"/>
      <c r="Y342" s="484"/>
    </row>
    <row r="343">
      <c r="A343" s="10" t="s">
        <v>1425</v>
      </c>
      <c r="B343" s="484"/>
      <c r="C343" s="484"/>
      <c r="D343" s="484"/>
      <c r="E343" s="484"/>
      <c r="F343" s="484"/>
      <c r="G343" s="226" t="s">
        <v>385</v>
      </c>
      <c r="H343" s="484"/>
      <c r="I343" s="484"/>
      <c r="J343" s="484"/>
      <c r="K343" s="484"/>
      <c r="L343" s="200" t="s">
        <v>323</v>
      </c>
      <c r="M343" s="484"/>
      <c r="N343" s="484"/>
      <c r="O343" s="484"/>
      <c r="P343" s="484"/>
      <c r="Q343" s="484"/>
      <c r="R343" s="484"/>
      <c r="S343" s="484"/>
      <c r="T343" s="484"/>
      <c r="U343" s="484"/>
      <c r="V343" s="484"/>
      <c r="W343" s="484"/>
      <c r="X343" s="484"/>
      <c r="Y343" s="484"/>
    </row>
    <row r="344">
      <c r="A344" s="10" t="s">
        <v>123</v>
      </c>
      <c r="B344" s="484"/>
      <c r="C344" s="484"/>
      <c r="D344" s="484"/>
      <c r="E344" s="484"/>
      <c r="F344" s="484"/>
      <c r="G344" s="226" t="s">
        <v>382</v>
      </c>
      <c r="H344" s="484"/>
      <c r="I344" s="484"/>
      <c r="J344" s="484"/>
      <c r="K344" s="484"/>
      <c r="L344" s="200" t="s">
        <v>1103</v>
      </c>
      <c r="M344" s="484"/>
      <c r="N344" s="484"/>
      <c r="O344" s="484"/>
      <c r="P344" s="484"/>
      <c r="Q344" s="484"/>
      <c r="R344" s="484"/>
      <c r="S344" s="484"/>
      <c r="T344" s="484"/>
      <c r="U344" s="484"/>
      <c r="V344" s="484"/>
      <c r="W344" s="484"/>
      <c r="X344" s="484"/>
      <c r="Y344" s="484"/>
    </row>
    <row r="345">
      <c r="A345" s="10" t="s">
        <v>219</v>
      </c>
      <c r="B345" s="484"/>
      <c r="C345" s="484"/>
      <c r="D345" s="484"/>
      <c r="E345" s="484"/>
      <c r="F345" s="484"/>
      <c r="G345" s="226" t="s">
        <v>171</v>
      </c>
      <c r="H345" s="484"/>
      <c r="I345" s="484"/>
      <c r="J345" s="484"/>
      <c r="K345" s="484"/>
      <c r="L345" s="200" t="s">
        <v>1106</v>
      </c>
      <c r="M345" s="484"/>
      <c r="N345" s="484"/>
      <c r="O345" s="484"/>
      <c r="P345" s="484"/>
      <c r="Q345" s="484"/>
      <c r="R345" s="484"/>
      <c r="S345" s="484"/>
      <c r="T345" s="484"/>
      <c r="U345" s="484"/>
      <c r="V345" s="484"/>
      <c r="W345" s="484"/>
      <c r="X345" s="484"/>
      <c r="Y345" s="484"/>
    </row>
    <row r="346">
      <c r="A346" s="10" t="s">
        <v>1242</v>
      </c>
      <c r="B346" s="484"/>
      <c r="C346" s="484"/>
      <c r="D346" s="484"/>
      <c r="E346" s="484"/>
      <c r="F346" s="484"/>
      <c r="G346" s="226" t="s">
        <v>1902</v>
      </c>
      <c r="H346" s="484"/>
      <c r="I346" s="484"/>
      <c r="J346" s="484"/>
      <c r="K346" s="484"/>
      <c r="L346" s="421" t="s">
        <v>123</v>
      </c>
      <c r="M346" s="484"/>
      <c r="N346" s="484"/>
      <c r="O346" s="484"/>
      <c r="P346" s="484"/>
      <c r="Q346" s="484"/>
      <c r="R346" s="484"/>
      <c r="S346" s="484"/>
      <c r="T346" s="484"/>
      <c r="U346" s="484"/>
      <c r="V346" s="484"/>
      <c r="W346" s="484"/>
      <c r="X346" s="484"/>
      <c r="Y346" s="484"/>
    </row>
    <row r="347">
      <c r="A347" s="10" t="s">
        <v>1284</v>
      </c>
      <c r="B347" s="484"/>
      <c r="C347" s="484"/>
      <c r="D347" s="484"/>
      <c r="E347" s="484"/>
      <c r="F347" s="484"/>
      <c r="G347" s="226" t="s">
        <v>209</v>
      </c>
      <c r="H347" s="484"/>
      <c r="I347" s="484"/>
      <c r="J347" s="484"/>
      <c r="K347" s="484"/>
      <c r="L347" s="200" t="s">
        <v>245</v>
      </c>
      <c r="M347" s="484"/>
      <c r="N347" s="484"/>
      <c r="O347" s="484"/>
      <c r="P347" s="484"/>
      <c r="Q347" s="484"/>
      <c r="R347" s="484"/>
      <c r="S347" s="484"/>
      <c r="T347" s="484"/>
      <c r="U347" s="484"/>
      <c r="V347" s="484"/>
      <c r="W347" s="484"/>
      <c r="X347" s="484"/>
      <c r="Y347" s="484"/>
    </row>
    <row r="348">
      <c r="A348" s="10" t="s">
        <v>1461</v>
      </c>
      <c r="B348" s="484"/>
      <c r="C348" s="484"/>
      <c r="D348" s="484"/>
      <c r="E348" s="484"/>
      <c r="F348" s="484"/>
      <c r="G348" s="226" t="s">
        <v>148</v>
      </c>
      <c r="H348" s="484"/>
      <c r="I348" s="484"/>
      <c r="J348" s="484"/>
      <c r="K348" s="484"/>
      <c r="L348" s="200" t="s">
        <v>1116</v>
      </c>
      <c r="M348" s="484"/>
      <c r="N348" s="484"/>
      <c r="O348" s="484"/>
      <c r="P348" s="484"/>
      <c r="Q348" s="484"/>
      <c r="R348" s="484"/>
      <c r="S348" s="484"/>
      <c r="T348" s="484"/>
      <c r="U348" s="484"/>
      <c r="V348" s="484"/>
      <c r="W348" s="484"/>
      <c r="X348" s="484"/>
      <c r="Y348" s="484"/>
    </row>
    <row r="349">
      <c r="A349" s="10" t="s">
        <v>1461</v>
      </c>
      <c r="B349" s="484"/>
      <c r="C349" s="484"/>
      <c r="D349" s="484"/>
      <c r="E349" s="484"/>
      <c r="F349" s="484"/>
      <c r="G349" s="226" t="s">
        <v>1242</v>
      </c>
      <c r="H349" s="484"/>
      <c r="I349" s="484"/>
      <c r="J349" s="484"/>
      <c r="K349" s="484"/>
      <c r="L349" s="200" t="s">
        <v>986</v>
      </c>
      <c r="M349" s="484"/>
      <c r="N349" s="484"/>
      <c r="O349" s="484"/>
      <c r="P349" s="484"/>
      <c r="Q349" s="484"/>
      <c r="R349" s="484"/>
      <c r="S349" s="484"/>
      <c r="T349" s="484"/>
      <c r="U349" s="484"/>
      <c r="V349" s="484"/>
      <c r="W349" s="484"/>
      <c r="X349" s="484"/>
      <c r="Y349" s="484"/>
    </row>
    <row r="350">
      <c r="A350" s="10" t="s">
        <v>366</v>
      </c>
      <c r="B350" s="484"/>
      <c r="C350" s="484"/>
      <c r="D350" s="484"/>
      <c r="E350" s="484"/>
      <c r="F350" s="484"/>
      <c r="G350" s="226" t="s">
        <v>150</v>
      </c>
      <c r="H350" s="484"/>
      <c r="I350" s="484"/>
      <c r="J350" s="484"/>
      <c r="K350" s="484"/>
      <c r="L350" s="200" t="s">
        <v>272</v>
      </c>
      <c r="M350" s="484"/>
      <c r="N350" s="484"/>
      <c r="O350" s="484"/>
      <c r="P350" s="484"/>
      <c r="Q350" s="484"/>
      <c r="R350" s="484"/>
      <c r="S350" s="484"/>
      <c r="T350" s="484"/>
      <c r="U350" s="484"/>
      <c r="V350" s="484"/>
      <c r="W350" s="484"/>
      <c r="X350" s="484"/>
      <c r="Y350" s="484"/>
    </row>
    <row r="351">
      <c r="A351" s="10" t="s">
        <v>37</v>
      </c>
      <c r="B351" s="484"/>
      <c r="C351" s="484"/>
      <c r="D351" s="484"/>
      <c r="E351" s="484"/>
      <c r="F351" s="484"/>
      <c r="G351" s="226" t="s">
        <v>600</v>
      </c>
      <c r="H351" s="484"/>
      <c r="I351" s="484"/>
      <c r="J351" s="484"/>
      <c r="K351" s="484"/>
      <c r="L351" s="200" t="s">
        <v>872</v>
      </c>
      <c r="M351" s="484"/>
      <c r="N351" s="484"/>
      <c r="O351" s="484"/>
      <c r="P351" s="484"/>
      <c r="Q351" s="484"/>
      <c r="R351" s="484"/>
      <c r="S351" s="484"/>
      <c r="T351" s="484"/>
      <c r="U351" s="484"/>
      <c r="V351" s="484"/>
      <c r="W351" s="484"/>
      <c r="X351" s="484"/>
      <c r="Y351" s="484"/>
    </row>
    <row r="352">
      <c r="A352" s="10" t="s">
        <v>150</v>
      </c>
      <c r="B352" s="484"/>
      <c r="C352" s="484"/>
      <c r="D352" s="484"/>
      <c r="E352" s="484"/>
      <c r="F352" s="484"/>
      <c r="G352" s="226" t="s">
        <v>1931</v>
      </c>
      <c r="H352" s="484"/>
      <c r="I352" s="484"/>
      <c r="J352" s="484"/>
      <c r="K352" s="484"/>
      <c r="L352" s="200" t="s">
        <v>123</v>
      </c>
      <c r="M352" s="484"/>
      <c r="N352" s="484"/>
      <c r="O352" s="484"/>
      <c r="P352" s="484"/>
      <c r="Q352" s="484"/>
      <c r="R352" s="484"/>
      <c r="S352" s="484"/>
      <c r="T352" s="484"/>
      <c r="U352" s="484"/>
      <c r="V352" s="484"/>
      <c r="W352" s="484"/>
      <c r="X352" s="484"/>
      <c r="Y352" s="484"/>
    </row>
    <row r="353">
      <c r="A353" s="10" t="s">
        <v>368</v>
      </c>
      <c r="B353" s="484"/>
      <c r="C353" s="484"/>
      <c r="D353" s="484"/>
      <c r="E353" s="484"/>
      <c r="F353" s="484"/>
      <c r="G353" s="226" t="s">
        <v>697</v>
      </c>
      <c r="H353" s="484"/>
      <c r="I353" s="484"/>
      <c r="J353" s="484"/>
      <c r="K353" s="484"/>
      <c r="L353" s="200" t="s">
        <v>195</v>
      </c>
      <c r="M353" s="484"/>
      <c r="N353" s="484"/>
      <c r="O353" s="484"/>
      <c r="P353" s="484"/>
      <c r="Q353" s="484"/>
      <c r="R353" s="484"/>
      <c r="S353" s="484"/>
      <c r="T353" s="484"/>
      <c r="U353" s="484"/>
      <c r="V353" s="484"/>
      <c r="W353" s="484"/>
      <c r="X353" s="484"/>
      <c r="Y353" s="484"/>
    </row>
    <row r="354">
      <c r="A354" s="10" t="s">
        <v>368</v>
      </c>
      <c r="B354" s="484"/>
      <c r="C354" s="484"/>
      <c r="D354" s="484"/>
      <c r="E354" s="484"/>
      <c r="F354" s="484"/>
      <c r="G354" s="226" t="s">
        <v>311</v>
      </c>
      <c r="H354" s="484"/>
      <c r="I354" s="484"/>
      <c r="J354" s="484"/>
      <c r="K354" s="484"/>
      <c r="L354" s="200" t="s">
        <v>195</v>
      </c>
      <c r="M354" s="484"/>
      <c r="N354" s="484"/>
      <c r="O354" s="484"/>
      <c r="P354" s="484"/>
      <c r="Q354" s="484"/>
      <c r="R354" s="484"/>
      <c r="S354" s="484"/>
      <c r="T354" s="484"/>
      <c r="U354" s="484"/>
      <c r="V354" s="484"/>
      <c r="W354" s="484"/>
      <c r="X354" s="484"/>
      <c r="Y354" s="484"/>
    </row>
    <row r="355">
      <c r="A355" s="10" t="s">
        <v>368</v>
      </c>
      <c r="B355" s="484"/>
      <c r="C355" s="484"/>
      <c r="D355" s="484"/>
      <c r="E355" s="484"/>
      <c r="F355" s="484"/>
      <c r="G355" s="226" t="s">
        <v>385</v>
      </c>
      <c r="H355" s="484"/>
      <c r="I355" s="484"/>
      <c r="J355" s="484"/>
      <c r="K355" s="484"/>
      <c r="L355" s="200" t="s">
        <v>424</v>
      </c>
      <c r="M355" s="484"/>
      <c r="N355" s="484"/>
      <c r="O355" s="484"/>
      <c r="P355" s="484"/>
      <c r="Q355" s="484"/>
      <c r="R355" s="484"/>
      <c r="S355" s="484"/>
      <c r="T355" s="484"/>
      <c r="U355" s="484"/>
      <c r="V355" s="484"/>
      <c r="W355" s="484"/>
      <c r="X355" s="484"/>
      <c r="Y355" s="484"/>
    </row>
    <row r="356">
      <c r="A356" s="10" t="s">
        <v>148</v>
      </c>
      <c r="B356" s="484"/>
      <c r="C356" s="484"/>
      <c r="D356" s="484"/>
      <c r="E356" s="484"/>
      <c r="F356" s="484"/>
      <c r="G356" s="226" t="s">
        <v>436</v>
      </c>
      <c r="H356" s="484"/>
      <c r="I356" s="484"/>
      <c r="J356" s="484"/>
      <c r="K356" s="484"/>
      <c r="L356" s="200" t="s">
        <v>195</v>
      </c>
      <c r="M356" s="484"/>
      <c r="N356" s="484"/>
      <c r="O356" s="484"/>
      <c r="P356" s="484"/>
      <c r="Q356" s="484"/>
      <c r="R356" s="484"/>
      <c r="S356" s="484"/>
      <c r="T356" s="484"/>
      <c r="U356" s="484"/>
      <c r="V356" s="484"/>
      <c r="W356" s="484"/>
      <c r="X356" s="484"/>
      <c r="Y356" s="484"/>
    </row>
    <row r="357">
      <c r="A357" s="189" t="s">
        <v>685</v>
      </c>
      <c r="B357" s="484"/>
      <c r="C357" s="484"/>
      <c r="D357" s="484"/>
      <c r="E357" s="484"/>
      <c r="F357" s="484"/>
      <c r="G357" s="226" t="s">
        <v>123</v>
      </c>
      <c r="H357" s="484"/>
      <c r="I357" s="484"/>
      <c r="J357" s="484"/>
      <c r="K357" s="484"/>
      <c r="L357" s="200" t="s">
        <v>516</v>
      </c>
      <c r="M357" s="484"/>
      <c r="N357" s="484"/>
      <c r="O357" s="484"/>
      <c r="P357" s="484"/>
      <c r="Q357" s="484"/>
      <c r="R357" s="484"/>
      <c r="S357" s="484"/>
      <c r="T357" s="484"/>
      <c r="U357" s="484"/>
      <c r="V357" s="484"/>
      <c r="W357" s="484"/>
      <c r="X357" s="484"/>
      <c r="Y357" s="484"/>
    </row>
    <row r="358">
      <c r="A358" s="10" t="s">
        <v>368</v>
      </c>
      <c r="B358" s="484"/>
      <c r="C358" s="484"/>
      <c r="D358" s="484"/>
      <c r="E358" s="484"/>
      <c r="F358" s="484"/>
      <c r="G358" s="226" t="s">
        <v>494</v>
      </c>
      <c r="H358" s="484"/>
      <c r="I358" s="484"/>
      <c r="J358" s="484"/>
      <c r="K358" s="484"/>
      <c r="L358" s="200" t="s">
        <v>374</v>
      </c>
      <c r="M358" s="484"/>
      <c r="N358" s="484"/>
      <c r="O358" s="484"/>
      <c r="P358" s="484"/>
      <c r="Q358" s="484"/>
      <c r="R358" s="484"/>
      <c r="S358" s="484"/>
      <c r="T358" s="484"/>
      <c r="U358" s="484"/>
      <c r="V358" s="484"/>
      <c r="W358" s="484"/>
      <c r="X358" s="484"/>
      <c r="Y358" s="484"/>
    </row>
    <row r="359">
      <c r="A359" s="10" t="s">
        <v>1503</v>
      </c>
      <c r="B359" s="484"/>
      <c r="C359" s="484"/>
      <c r="D359" s="484"/>
      <c r="E359" s="484"/>
      <c r="F359" s="484"/>
      <c r="G359" s="226" t="s">
        <v>1990</v>
      </c>
      <c r="H359" s="484"/>
      <c r="I359" s="484"/>
      <c r="J359" s="484"/>
      <c r="K359" s="484"/>
      <c r="L359" s="200" t="s">
        <v>240</v>
      </c>
      <c r="M359" s="484"/>
      <c r="N359" s="484"/>
      <c r="O359" s="484"/>
      <c r="P359" s="484"/>
      <c r="Q359" s="484"/>
      <c r="R359" s="484"/>
      <c r="S359" s="484"/>
      <c r="T359" s="484"/>
      <c r="U359" s="484"/>
      <c r="V359" s="484"/>
      <c r="W359" s="484"/>
      <c r="X359" s="484"/>
      <c r="Y359" s="484"/>
    </row>
    <row r="360">
      <c r="A360" s="10" t="s">
        <v>368</v>
      </c>
      <c r="B360" s="484"/>
      <c r="C360" s="484"/>
      <c r="D360" s="484"/>
      <c r="E360" s="484"/>
      <c r="F360" s="484"/>
      <c r="G360" s="226" t="s">
        <v>1994</v>
      </c>
      <c r="H360" s="484"/>
      <c r="I360" s="484"/>
      <c r="J360" s="484"/>
      <c r="K360" s="484"/>
      <c r="L360" s="200" t="s">
        <v>333</v>
      </c>
      <c r="M360" s="484"/>
      <c r="N360" s="484"/>
      <c r="O360" s="484"/>
      <c r="P360" s="484"/>
      <c r="Q360" s="484"/>
      <c r="R360" s="484"/>
      <c r="S360" s="484"/>
      <c r="T360" s="484"/>
      <c r="U360" s="484"/>
      <c r="V360" s="484"/>
      <c r="W360" s="484"/>
      <c r="X360" s="484"/>
      <c r="Y360" s="484"/>
    </row>
    <row r="361">
      <c r="A361" s="10" t="s">
        <v>240</v>
      </c>
      <c r="B361" s="484"/>
      <c r="C361" s="484"/>
      <c r="D361" s="484"/>
      <c r="E361" s="484"/>
      <c r="F361" s="484"/>
      <c r="G361" s="226" t="s">
        <v>1994</v>
      </c>
      <c r="H361" s="484"/>
      <c r="I361" s="484"/>
      <c r="J361" s="484"/>
      <c r="K361" s="484"/>
      <c r="L361" s="200" t="s">
        <v>148</v>
      </c>
      <c r="M361" s="484"/>
      <c r="N361" s="484"/>
      <c r="O361" s="484"/>
      <c r="P361" s="484"/>
      <c r="Q361" s="484"/>
      <c r="R361" s="484"/>
      <c r="S361" s="484"/>
      <c r="T361" s="484"/>
      <c r="U361" s="484"/>
      <c r="V361" s="484"/>
      <c r="W361" s="484"/>
      <c r="X361" s="484"/>
      <c r="Y361" s="484"/>
    </row>
    <row r="362">
      <c r="A362" s="10" t="s">
        <v>368</v>
      </c>
      <c r="B362" s="484"/>
      <c r="C362" s="484"/>
      <c r="D362" s="484"/>
      <c r="E362" s="484"/>
      <c r="F362" s="484"/>
      <c r="G362" s="226" t="s">
        <v>237</v>
      </c>
      <c r="H362" s="484"/>
      <c r="I362" s="484"/>
      <c r="J362" s="484"/>
      <c r="K362" s="484"/>
      <c r="L362" s="200" t="s">
        <v>108</v>
      </c>
      <c r="M362" s="484"/>
      <c r="N362" s="484"/>
      <c r="O362" s="484"/>
      <c r="P362" s="484"/>
      <c r="Q362" s="484"/>
      <c r="R362" s="484"/>
      <c r="S362" s="484"/>
      <c r="T362" s="484"/>
      <c r="U362" s="484"/>
      <c r="V362" s="484"/>
      <c r="W362" s="484"/>
      <c r="X362" s="484"/>
      <c r="Y362" s="484"/>
    </row>
    <row r="363">
      <c r="A363" s="10" t="s">
        <v>245</v>
      </c>
      <c r="B363" s="484"/>
      <c r="C363" s="484"/>
      <c r="D363" s="484"/>
      <c r="E363" s="484"/>
      <c r="F363" s="484"/>
      <c r="G363" s="226" t="s">
        <v>123</v>
      </c>
      <c r="H363" s="484"/>
      <c r="I363" s="484"/>
      <c r="J363" s="484"/>
      <c r="K363" s="484"/>
      <c r="L363" s="200" t="s">
        <v>94</v>
      </c>
      <c r="M363" s="484"/>
      <c r="N363" s="484"/>
      <c r="O363" s="484"/>
      <c r="P363" s="484"/>
      <c r="Q363" s="484"/>
      <c r="R363" s="484"/>
      <c r="S363" s="484"/>
      <c r="T363" s="484"/>
      <c r="U363" s="484"/>
      <c r="V363" s="484"/>
      <c r="W363" s="484"/>
      <c r="X363" s="484"/>
      <c r="Y363" s="484"/>
    </row>
    <row r="364">
      <c r="A364" s="10" t="s">
        <v>123</v>
      </c>
      <c r="B364" s="484"/>
      <c r="C364" s="484"/>
      <c r="D364" s="484"/>
      <c r="E364" s="484"/>
      <c r="F364" s="484"/>
      <c r="G364" s="226" t="s">
        <v>104</v>
      </c>
      <c r="H364" s="484"/>
      <c r="I364" s="484"/>
      <c r="J364" s="484"/>
      <c r="K364" s="484"/>
      <c r="L364" s="200" t="s">
        <v>479</v>
      </c>
      <c r="M364" s="484"/>
      <c r="N364" s="484"/>
      <c r="O364" s="484"/>
      <c r="P364" s="484"/>
      <c r="Q364" s="484"/>
      <c r="R364" s="484"/>
      <c r="S364" s="484"/>
      <c r="T364" s="484"/>
      <c r="U364" s="484"/>
      <c r="V364" s="484"/>
      <c r="W364" s="484"/>
      <c r="X364" s="484"/>
      <c r="Y364" s="484"/>
    </row>
    <row r="365">
      <c r="A365" s="10" t="s">
        <v>482</v>
      </c>
      <c r="B365" s="484"/>
      <c r="C365" s="484"/>
      <c r="D365" s="484"/>
      <c r="E365" s="484"/>
      <c r="F365" s="484"/>
      <c r="G365" s="226" t="s">
        <v>219</v>
      </c>
      <c r="H365" s="484"/>
      <c r="I365" s="484"/>
      <c r="J365" s="484"/>
      <c r="K365" s="484"/>
      <c r="L365" s="200" t="s">
        <v>479</v>
      </c>
      <c r="M365" s="484"/>
      <c r="N365" s="484"/>
      <c r="O365" s="484"/>
      <c r="P365" s="484"/>
      <c r="Q365" s="484"/>
      <c r="R365" s="484"/>
      <c r="S365" s="484"/>
      <c r="T365" s="484"/>
      <c r="U365" s="484"/>
      <c r="V365" s="484"/>
      <c r="W365" s="484"/>
      <c r="X365" s="484"/>
      <c r="Y365" s="484"/>
    </row>
    <row r="366">
      <c r="A366" s="10" t="s">
        <v>308</v>
      </c>
      <c r="B366" s="484"/>
      <c r="C366" s="484"/>
      <c r="D366" s="484"/>
      <c r="E366" s="484"/>
      <c r="F366" s="484"/>
      <c r="G366" s="226" t="s">
        <v>1539</v>
      </c>
      <c r="H366" s="484"/>
      <c r="I366" s="484"/>
      <c r="J366" s="484"/>
      <c r="K366" s="484"/>
      <c r="L366" s="200" t="s">
        <v>148</v>
      </c>
      <c r="M366" s="484"/>
      <c r="N366" s="484"/>
      <c r="O366" s="484"/>
      <c r="P366" s="484"/>
      <c r="Q366" s="484"/>
      <c r="R366" s="484"/>
      <c r="S366" s="484"/>
      <c r="T366" s="484"/>
      <c r="U366" s="484"/>
      <c r="V366" s="484"/>
      <c r="W366" s="484"/>
      <c r="X366" s="484"/>
      <c r="Y366" s="484"/>
    </row>
    <row r="367">
      <c r="A367" s="10" t="s">
        <v>1532</v>
      </c>
      <c r="B367" s="484"/>
      <c r="C367" s="484"/>
      <c r="D367" s="484"/>
      <c r="E367" s="484"/>
      <c r="F367" s="484"/>
      <c r="G367" s="226" t="s">
        <v>487</v>
      </c>
      <c r="H367" s="484"/>
      <c r="I367" s="484"/>
      <c r="J367" s="484"/>
      <c r="K367" s="484"/>
      <c r="L367" s="200" t="s">
        <v>1185</v>
      </c>
      <c r="M367" s="484"/>
      <c r="N367" s="484"/>
      <c r="O367" s="484"/>
      <c r="P367" s="484"/>
      <c r="Q367" s="484"/>
      <c r="R367" s="484"/>
      <c r="S367" s="484"/>
      <c r="T367" s="484"/>
      <c r="U367" s="484"/>
      <c r="V367" s="484"/>
      <c r="W367" s="484"/>
      <c r="X367" s="484"/>
      <c r="Y367" s="484"/>
    </row>
    <row r="368">
      <c r="A368" s="10" t="s">
        <v>1539</v>
      </c>
      <c r="B368" s="484"/>
      <c r="C368" s="484"/>
      <c r="D368" s="484"/>
      <c r="E368" s="484"/>
      <c r="F368" s="484"/>
      <c r="G368" s="226" t="s">
        <v>123</v>
      </c>
      <c r="H368" s="484"/>
      <c r="I368" s="484"/>
      <c r="J368" s="484"/>
      <c r="K368" s="484"/>
      <c r="L368" s="200" t="s">
        <v>50</v>
      </c>
      <c r="M368" s="484"/>
      <c r="N368" s="484"/>
      <c r="O368" s="484"/>
      <c r="P368" s="484"/>
      <c r="Q368" s="484"/>
      <c r="R368" s="484"/>
      <c r="S368" s="484"/>
      <c r="T368" s="484"/>
      <c r="U368" s="484"/>
      <c r="V368" s="484"/>
      <c r="W368" s="484"/>
      <c r="X368" s="484"/>
      <c r="Y368" s="484"/>
    </row>
    <row r="369">
      <c r="A369" s="10" t="s">
        <v>1547</v>
      </c>
      <c r="B369" s="484"/>
      <c r="C369" s="484"/>
      <c r="D369" s="484"/>
      <c r="E369" s="484"/>
      <c r="F369" s="484"/>
      <c r="G369" s="226" t="s">
        <v>760</v>
      </c>
      <c r="H369" s="484"/>
      <c r="I369" s="484"/>
      <c r="J369" s="484"/>
      <c r="K369" s="484"/>
      <c r="L369" s="200" t="s">
        <v>780</v>
      </c>
      <c r="M369" s="484"/>
      <c r="N369" s="484"/>
      <c r="O369" s="484"/>
      <c r="P369" s="484"/>
      <c r="Q369" s="484"/>
      <c r="R369" s="484"/>
      <c r="S369" s="484"/>
      <c r="T369" s="484"/>
      <c r="U369" s="484"/>
      <c r="V369" s="484"/>
      <c r="W369" s="484"/>
      <c r="X369" s="484"/>
      <c r="Y369" s="484"/>
    </row>
    <row r="370">
      <c r="A370" s="10" t="s">
        <v>760</v>
      </c>
      <c r="B370" s="484"/>
      <c r="C370" s="484"/>
      <c r="D370" s="484"/>
      <c r="E370" s="484"/>
      <c r="F370" s="484"/>
      <c r="G370" s="226" t="s">
        <v>333</v>
      </c>
      <c r="H370" s="484"/>
      <c r="I370" s="484"/>
      <c r="J370" s="484"/>
      <c r="K370" s="484"/>
      <c r="L370" s="200" t="s">
        <v>284</v>
      </c>
      <c r="M370" s="484"/>
      <c r="N370" s="484"/>
      <c r="O370" s="484"/>
      <c r="P370" s="484"/>
      <c r="Q370" s="484"/>
      <c r="R370" s="484"/>
      <c r="S370" s="484"/>
      <c r="T370" s="484"/>
      <c r="U370" s="484"/>
      <c r="V370" s="484"/>
      <c r="W370" s="484"/>
      <c r="X370" s="484"/>
      <c r="Y370" s="484"/>
    </row>
    <row r="371">
      <c r="A371" s="10" t="s">
        <v>314</v>
      </c>
      <c r="B371" s="484"/>
      <c r="C371" s="484"/>
      <c r="D371" s="484"/>
      <c r="E371" s="484"/>
      <c r="F371" s="484"/>
      <c r="G371" s="226" t="s">
        <v>715</v>
      </c>
      <c r="H371" s="484"/>
      <c r="I371" s="484"/>
      <c r="J371" s="484"/>
      <c r="K371" s="484"/>
      <c r="L371" s="200" t="s">
        <v>123</v>
      </c>
      <c r="M371" s="484"/>
      <c r="N371" s="484"/>
      <c r="O371" s="484"/>
      <c r="P371" s="484"/>
      <c r="Q371" s="484"/>
      <c r="R371" s="484"/>
      <c r="S371" s="484"/>
      <c r="T371" s="484"/>
      <c r="U371" s="484"/>
      <c r="V371" s="484"/>
      <c r="W371" s="484"/>
      <c r="X371" s="484"/>
      <c r="Y371" s="484"/>
    </row>
    <row r="372">
      <c r="A372" s="11" t="s">
        <v>500</v>
      </c>
      <c r="B372" s="484"/>
      <c r="C372" s="484"/>
      <c r="D372" s="484"/>
      <c r="E372" s="484"/>
      <c r="F372" s="484"/>
      <c r="G372" s="226" t="s">
        <v>1280</v>
      </c>
      <c r="H372" s="484"/>
      <c r="I372" s="484"/>
      <c r="J372" s="484"/>
      <c r="K372" s="484"/>
      <c r="L372" s="200" t="s">
        <v>366</v>
      </c>
      <c r="M372" s="484"/>
      <c r="N372" s="484"/>
      <c r="O372" s="484"/>
      <c r="P372" s="484"/>
      <c r="Q372" s="484"/>
      <c r="R372" s="484"/>
      <c r="S372" s="484"/>
      <c r="T372" s="484"/>
      <c r="U372" s="484"/>
      <c r="V372" s="484"/>
      <c r="W372" s="484"/>
      <c r="X372" s="484"/>
      <c r="Y372" s="484"/>
    </row>
    <row r="373">
      <c r="A373" s="11" t="s">
        <v>333</v>
      </c>
      <c r="B373" s="484"/>
      <c r="C373" s="484"/>
      <c r="D373" s="484"/>
      <c r="E373" s="484"/>
      <c r="F373" s="484"/>
      <c r="G373" s="226" t="s">
        <v>333</v>
      </c>
      <c r="H373" s="484"/>
      <c r="I373" s="484"/>
      <c r="J373" s="484"/>
      <c r="K373" s="484"/>
      <c r="L373" s="200" t="s">
        <v>374</v>
      </c>
      <c r="M373" s="484"/>
      <c r="N373" s="484"/>
      <c r="O373" s="484"/>
      <c r="P373" s="484"/>
      <c r="Q373" s="484"/>
      <c r="R373" s="484"/>
      <c r="S373" s="484"/>
      <c r="T373" s="484"/>
      <c r="U373" s="484"/>
      <c r="V373" s="484"/>
      <c r="W373" s="484"/>
      <c r="X373" s="484"/>
      <c r="Y373" s="484"/>
    </row>
    <row r="374">
      <c r="A374" s="11" t="s">
        <v>101</v>
      </c>
      <c r="B374" s="484"/>
      <c r="C374" s="484"/>
      <c r="D374" s="484"/>
      <c r="E374" s="484"/>
      <c r="F374" s="484"/>
      <c r="G374" s="226" t="s">
        <v>2045</v>
      </c>
      <c r="H374" s="484"/>
      <c r="I374" s="484"/>
      <c r="J374" s="484"/>
      <c r="K374" s="484"/>
      <c r="L374" s="200" t="s">
        <v>374</v>
      </c>
      <c r="M374" s="484"/>
      <c r="N374" s="484"/>
      <c r="O374" s="484"/>
      <c r="P374" s="484"/>
      <c r="Q374" s="484"/>
      <c r="R374" s="484"/>
      <c r="S374" s="484"/>
      <c r="T374" s="484"/>
      <c r="U374" s="484"/>
      <c r="V374" s="484"/>
      <c r="W374" s="484"/>
      <c r="X374" s="484"/>
      <c r="Y374" s="484"/>
    </row>
    <row r="375">
      <c r="A375" s="11" t="s">
        <v>137</v>
      </c>
      <c r="B375" s="484"/>
      <c r="C375" s="484"/>
      <c r="D375" s="484"/>
      <c r="E375" s="484"/>
      <c r="F375" s="484"/>
      <c r="G375" s="226" t="s">
        <v>2045</v>
      </c>
      <c r="H375" s="484"/>
      <c r="I375" s="484"/>
      <c r="J375" s="484"/>
      <c r="K375" s="484"/>
      <c r="L375" s="200" t="s">
        <v>374</v>
      </c>
      <c r="M375" s="484"/>
      <c r="N375" s="484"/>
      <c r="O375" s="484"/>
      <c r="P375" s="484"/>
      <c r="Q375" s="484"/>
      <c r="R375" s="484"/>
      <c r="S375" s="484"/>
      <c r="T375" s="484"/>
      <c r="U375" s="484"/>
      <c r="V375" s="484"/>
      <c r="W375" s="484"/>
      <c r="X375" s="484"/>
      <c r="Y375" s="484"/>
    </row>
    <row r="376">
      <c r="A376" s="226" t="s">
        <v>1586</v>
      </c>
      <c r="B376" s="484"/>
      <c r="C376" s="484"/>
      <c r="D376" s="484"/>
      <c r="E376" s="484"/>
      <c r="F376" s="484"/>
      <c r="G376" s="226" t="s">
        <v>368</v>
      </c>
      <c r="H376" s="484"/>
      <c r="I376" s="484"/>
      <c r="J376" s="484"/>
      <c r="K376" s="484"/>
      <c r="L376" s="200" t="s">
        <v>137</v>
      </c>
      <c r="M376" s="484"/>
      <c r="N376" s="484"/>
      <c r="O376" s="484"/>
      <c r="P376" s="484"/>
      <c r="Q376" s="484"/>
      <c r="R376" s="484"/>
      <c r="S376" s="484"/>
      <c r="T376" s="484"/>
      <c r="U376" s="484"/>
      <c r="V376" s="484"/>
      <c r="W376" s="484"/>
      <c r="X376" s="484"/>
      <c r="Y376" s="484"/>
    </row>
    <row r="377">
      <c r="A377" s="226" t="s">
        <v>1586</v>
      </c>
      <c r="B377" s="484"/>
      <c r="C377" s="484"/>
      <c r="D377" s="484"/>
      <c r="E377" s="484"/>
      <c r="F377" s="484"/>
      <c r="G377" s="226" t="s">
        <v>697</v>
      </c>
      <c r="H377" s="484"/>
      <c r="I377" s="484"/>
      <c r="J377" s="484"/>
      <c r="K377" s="484"/>
      <c r="L377" s="200" t="s">
        <v>1060</v>
      </c>
      <c r="M377" s="484"/>
      <c r="N377" s="484"/>
      <c r="O377" s="484"/>
      <c r="P377" s="484"/>
      <c r="Q377" s="484"/>
      <c r="R377" s="484"/>
      <c r="S377" s="484"/>
      <c r="T377" s="484"/>
      <c r="U377" s="484"/>
      <c r="V377" s="484"/>
      <c r="W377" s="484"/>
      <c r="X377" s="484"/>
      <c r="Y377" s="484"/>
    </row>
    <row r="378">
      <c r="A378" s="226" t="s">
        <v>424</v>
      </c>
      <c r="B378" s="484"/>
      <c r="C378" s="484"/>
      <c r="D378" s="484"/>
      <c r="E378" s="484"/>
      <c r="F378" s="484"/>
      <c r="G378" s="226" t="s">
        <v>245</v>
      </c>
      <c r="H378" s="484"/>
      <c r="I378" s="484"/>
      <c r="J378" s="484"/>
      <c r="K378" s="484"/>
      <c r="L378" s="200" t="s">
        <v>1213</v>
      </c>
      <c r="M378" s="484"/>
      <c r="N378" s="484"/>
      <c r="O378" s="484"/>
      <c r="P378" s="484"/>
      <c r="Q378" s="484"/>
      <c r="R378" s="484"/>
      <c r="S378" s="484"/>
      <c r="T378" s="484"/>
      <c r="U378" s="484"/>
      <c r="V378" s="484"/>
      <c r="W378" s="484"/>
      <c r="X378" s="484"/>
      <c r="Y378" s="484"/>
    </row>
    <row r="379">
      <c r="A379" s="226" t="s">
        <v>284</v>
      </c>
      <c r="B379" s="484"/>
      <c r="C379" s="484"/>
      <c r="D379" s="484"/>
      <c r="E379" s="484"/>
      <c r="F379" s="484"/>
      <c r="G379" s="226" t="s">
        <v>245</v>
      </c>
      <c r="H379" s="484"/>
      <c r="I379" s="484"/>
      <c r="J379" s="484"/>
      <c r="K379" s="484"/>
      <c r="L379" s="200" t="s">
        <v>943</v>
      </c>
      <c r="M379" s="484"/>
      <c r="N379" s="484"/>
      <c r="O379" s="484"/>
      <c r="P379" s="484"/>
      <c r="Q379" s="484"/>
      <c r="R379" s="484"/>
      <c r="S379" s="484"/>
      <c r="T379" s="484"/>
      <c r="U379" s="484"/>
      <c r="V379" s="484"/>
      <c r="W379" s="484"/>
      <c r="X379" s="484"/>
      <c r="Y379" s="484"/>
    </row>
    <row r="380">
      <c r="A380" s="226" t="s">
        <v>600</v>
      </c>
      <c r="B380" s="484"/>
      <c r="C380" s="484"/>
      <c r="D380" s="484"/>
      <c r="E380" s="484"/>
      <c r="F380" s="484"/>
      <c r="G380" s="226" t="s">
        <v>141</v>
      </c>
      <c r="H380" s="484"/>
      <c r="I380" s="484"/>
      <c r="J380" s="484"/>
      <c r="K380" s="484"/>
      <c r="L380" s="200" t="s">
        <v>1224</v>
      </c>
      <c r="M380" s="484"/>
      <c r="N380" s="484"/>
      <c r="O380" s="484"/>
      <c r="P380" s="484"/>
      <c r="Q380" s="484"/>
      <c r="R380" s="484"/>
      <c r="S380" s="484"/>
      <c r="T380" s="484"/>
      <c r="U380" s="484"/>
      <c r="V380" s="484"/>
      <c r="W380" s="484"/>
      <c r="X380" s="484"/>
      <c r="Y380" s="484"/>
    </row>
    <row r="381">
      <c r="A381" s="226" t="s">
        <v>308</v>
      </c>
      <c r="B381" s="484"/>
      <c r="C381" s="484"/>
      <c r="D381" s="484"/>
      <c r="E381" s="484"/>
      <c r="F381" s="484"/>
      <c r="G381" s="226" t="s">
        <v>148</v>
      </c>
      <c r="H381" s="484"/>
      <c r="I381" s="484"/>
      <c r="J381" s="484"/>
      <c r="K381" s="484"/>
      <c r="L381" s="200" t="s">
        <v>382</v>
      </c>
      <c r="M381" s="484"/>
      <c r="N381" s="484"/>
      <c r="O381" s="484"/>
      <c r="P381" s="484"/>
      <c r="Q381" s="484"/>
      <c r="R381" s="484"/>
      <c r="S381" s="484"/>
      <c r="T381" s="484"/>
      <c r="U381" s="484"/>
      <c r="V381" s="484"/>
      <c r="W381" s="484"/>
      <c r="X381" s="484"/>
      <c r="Y381" s="484"/>
    </row>
    <row r="382">
      <c r="A382" s="226" t="s">
        <v>37</v>
      </c>
      <c r="B382" s="484"/>
      <c r="C382" s="484"/>
      <c r="D382" s="484"/>
      <c r="E382" s="484"/>
      <c r="F382" s="484"/>
      <c r="G382" s="226" t="s">
        <v>104</v>
      </c>
      <c r="H382" s="484"/>
      <c r="I382" s="484"/>
      <c r="J382" s="484"/>
      <c r="K382" s="484"/>
      <c r="L382" s="200" t="s">
        <v>954</v>
      </c>
      <c r="M382" s="484"/>
      <c r="N382" s="484"/>
      <c r="O382" s="484"/>
      <c r="P382" s="484"/>
      <c r="Q382" s="484"/>
      <c r="R382" s="484"/>
      <c r="S382" s="484"/>
      <c r="T382" s="484"/>
      <c r="U382" s="484"/>
      <c r="V382" s="484"/>
      <c r="W382" s="484"/>
      <c r="X382" s="484"/>
      <c r="Y382" s="484"/>
    </row>
    <row r="383">
      <c r="A383" s="226" t="s">
        <v>1267</v>
      </c>
      <c r="B383" s="484"/>
      <c r="C383" s="484"/>
      <c r="D383" s="484"/>
      <c r="E383" s="484"/>
      <c r="F383" s="484"/>
      <c r="G383" s="226" t="s">
        <v>1213</v>
      </c>
      <c r="H383" s="484"/>
      <c r="I383" s="484"/>
      <c r="J383" s="484"/>
      <c r="K383" s="484"/>
      <c r="L383" s="200" t="s">
        <v>943</v>
      </c>
      <c r="M383" s="484"/>
      <c r="N383" s="484"/>
      <c r="O383" s="484"/>
      <c r="P383" s="484"/>
      <c r="Q383" s="484"/>
      <c r="R383" s="484"/>
      <c r="S383" s="484"/>
      <c r="T383" s="484"/>
      <c r="U383" s="484"/>
      <c r="V383" s="484"/>
      <c r="W383" s="484"/>
      <c r="X383" s="484"/>
      <c r="Y383" s="484"/>
    </row>
    <row r="384">
      <c r="A384" s="226" t="s">
        <v>155</v>
      </c>
      <c r="B384" s="484"/>
      <c r="C384" s="484"/>
      <c r="D384" s="484"/>
      <c r="E384" s="484"/>
      <c r="F384" s="484"/>
      <c r="G384" s="226" t="s">
        <v>2045</v>
      </c>
      <c r="H384" s="484"/>
      <c r="I384" s="484"/>
      <c r="J384" s="484"/>
      <c r="K384" s="484"/>
      <c r="L384" s="200" t="s">
        <v>123</v>
      </c>
      <c r="M384" s="484"/>
      <c r="N384" s="484"/>
      <c r="O384" s="484"/>
      <c r="P384" s="484"/>
      <c r="Q384" s="484"/>
      <c r="R384" s="484"/>
      <c r="S384" s="484"/>
      <c r="T384" s="484"/>
      <c r="U384" s="484"/>
      <c r="V384" s="484"/>
      <c r="W384" s="484"/>
      <c r="X384" s="484"/>
      <c r="Y384" s="484"/>
    </row>
    <row r="385">
      <c r="A385" s="226" t="s">
        <v>160</v>
      </c>
      <c r="B385" s="484"/>
      <c r="C385" s="484"/>
      <c r="D385" s="484"/>
      <c r="E385" s="484"/>
      <c r="F385" s="484"/>
      <c r="G385" s="226" t="s">
        <v>2100</v>
      </c>
      <c r="H385" s="484"/>
      <c r="I385" s="484"/>
      <c r="J385" s="484"/>
      <c r="K385" s="484"/>
      <c r="L385" s="200" t="s">
        <v>1242</v>
      </c>
      <c r="M385" s="484"/>
      <c r="N385" s="484"/>
      <c r="O385" s="484"/>
      <c r="P385" s="484"/>
      <c r="Q385" s="484"/>
      <c r="R385" s="484"/>
      <c r="S385" s="484"/>
      <c r="T385" s="484"/>
      <c r="U385" s="484"/>
      <c r="V385" s="484"/>
      <c r="W385" s="484"/>
      <c r="X385" s="484"/>
      <c r="Y385" s="484"/>
    </row>
    <row r="386">
      <c r="A386" s="226" t="s">
        <v>385</v>
      </c>
      <c r="B386" s="484"/>
      <c r="C386" s="484"/>
      <c r="D386" s="484"/>
      <c r="E386" s="484"/>
      <c r="F386" s="484"/>
      <c r="G386" s="226" t="s">
        <v>111</v>
      </c>
      <c r="H386" s="484"/>
      <c r="I386" s="484"/>
      <c r="J386" s="484"/>
      <c r="K386" s="484"/>
      <c r="L386" s="200" t="s">
        <v>516</v>
      </c>
      <c r="M386" s="484"/>
      <c r="N386" s="484"/>
      <c r="O386" s="484"/>
      <c r="P386" s="484"/>
      <c r="Q386" s="484"/>
      <c r="R386" s="484"/>
      <c r="S386" s="484"/>
      <c r="T386" s="484"/>
      <c r="U386" s="484"/>
      <c r="V386" s="484"/>
      <c r="W386" s="484"/>
      <c r="X386" s="484"/>
      <c r="Y386" s="484"/>
    </row>
    <row r="387">
      <c r="A387" s="226" t="s">
        <v>586</v>
      </c>
      <c r="B387" s="484"/>
      <c r="C387" s="484"/>
      <c r="D387" s="484"/>
      <c r="E387" s="484"/>
      <c r="F387" s="484"/>
      <c r="G387" s="226" t="s">
        <v>166</v>
      </c>
      <c r="H387" s="484"/>
      <c r="I387" s="484"/>
      <c r="J387" s="484"/>
      <c r="K387" s="484"/>
      <c r="L387" s="200" t="s">
        <v>219</v>
      </c>
      <c r="M387" s="484"/>
      <c r="N387" s="484"/>
      <c r="O387" s="484"/>
      <c r="P387" s="484"/>
      <c r="Q387" s="484"/>
      <c r="R387" s="484"/>
      <c r="S387" s="484"/>
      <c r="T387" s="484"/>
      <c r="U387" s="484"/>
      <c r="V387" s="484"/>
      <c r="W387" s="484"/>
      <c r="X387" s="484"/>
      <c r="Y387" s="484"/>
    </row>
    <row r="388">
      <c r="A388" s="226" t="s">
        <v>374</v>
      </c>
      <c r="B388" s="484"/>
      <c r="C388" s="484"/>
      <c r="D388" s="484"/>
      <c r="E388" s="484"/>
      <c r="F388" s="484"/>
      <c r="G388" s="226" t="s">
        <v>195</v>
      </c>
      <c r="H388" s="484"/>
      <c r="I388" s="484"/>
      <c r="J388" s="484"/>
      <c r="K388" s="484"/>
      <c r="L388" s="200" t="s">
        <v>1253</v>
      </c>
      <c r="M388" s="484"/>
      <c r="N388" s="484"/>
      <c r="O388" s="484"/>
      <c r="P388" s="484"/>
      <c r="Q388" s="484"/>
      <c r="R388" s="484"/>
      <c r="S388" s="484"/>
      <c r="T388" s="484"/>
      <c r="U388" s="484"/>
      <c r="V388" s="484"/>
      <c r="W388" s="484"/>
      <c r="X388" s="484"/>
      <c r="Y388" s="484"/>
    </row>
    <row r="389">
      <c r="A389" s="226" t="s">
        <v>195</v>
      </c>
      <c r="B389" s="484"/>
      <c r="C389" s="484"/>
      <c r="D389" s="484"/>
      <c r="E389" s="484"/>
      <c r="F389" s="484"/>
      <c r="G389" s="226" t="s">
        <v>195</v>
      </c>
      <c r="H389" s="484"/>
      <c r="I389" s="484"/>
      <c r="J389" s="484"/>
      <c r="K389" s="484"/>
      <c r="L389" s="200" t="s">
        <v>374</v>
      </c>
      <c r="M389" s="484"/>
      <c r="N389" s="484"/>
      <c r="O389" s="484"/>
      <c r="P389" s="484"/>
      <c r="Q389" s="484"/>
      <c r="R389" s="484"/>
      <c r="S389" s="484"/>
      <c r="T389" s="484"/>
      <c r="U389" s="484"/>
      <c r="V389" s="484"/>
      <c r="W389" s="484"/>
      <c r="X389" s="484"/>
      <c r="Y389" s="484"/>
    </row>
    <row r="390">
      <c r="A390" s="226" t="s">
        <v>108</v>
      </c>
      <c r="B390" s="484"/>
      <c r="C390" s="484"/>
      <c r="D390" s="484"/>
      <c r="E390" s="484"/>
      <c r="F390" s="484"/>
      <c r="G390" s="226" t="s">
        <v>195</v>
      </c>
      <c r="H390" s="484"/>
      <c r="I390" s="484"/>
      <c r="J390" s="484"/>
      <c r="K390" s="484"/>
      <c r="L390" s="200" t="s">
        <v>366</v>
      </c>
      <c r="M390" s="484"/>
      <c r="N390" s="484"/>
      <c r="O390" s="484"/>
      <c r="P390" s="484"/>
      <c r="Q390" s="484"/>
      <c r="R390" s="484"/>
      <c r="S390" s="484"/>
      <c r="T390" s="484"/>
      <c r="U390" s="484"/>
      <c r="V390" s="484"/>
      <c r="W390" s="484"/>
      <c r="X390" s="484"/>
      <c r="Y390" s="484"/>
    </row>
    <row r="391">
      <c r="A391" s="226" t="s">
        <v>117</v>
      </c>
      <c r="B391" s="484"/>
      <c r="C391" s="484"/>
      <c r="D391" s="484"/>
      <c r="E391" s="484"/>
      <c r="F391" s="484"/>
      <c r="G391" s="226" t="s">
        <v>195</v>
      </c>
      <c r="H391" s="484"/>
      <c r="I391" s="484"/>
      <c r="J391" s="484"/>
      <c r="K391" s="484"/>
      <c r="L391" s="200" t="s">
        <v>516</v>
      </c>
      <c r="M391" s="484"/>
      <c r="N391" s="484"/>
      <c r="O391" s="484"/>
      <c r="P391" s="484"/>
      <c r="Q391" s="484"/>
      <c r="R391" s="484"/>
      <c r="S391" s="484"/>
      <c r="T391" s="484"/>
      <c r="U391" s="484"/>
      <c r="V391" s="484"/>
      <c r="W391" s="484"/>
      <c r="X391" s="484"/>
      <c r="Y391" s="484"/>
    </row>
    <row r="392">
      <c r="A392" s="226" t="s">
        <v>78</v>
      </c>
      <c r="B392" s="484"/>
      <c r="C392" s="484"/>
      <c r="D392" s="484"/>
      <c r="E392" s="484"/>
      <c r="F392" s="484"/>
      <c r="G392" s="226" t="s">
        <v>148</v>
      </c>
      <c r="H392" s="484"/>
      <c r="I392" s="484"/>
      <c r="J392" s="484"/>
      <c r="K392" s="484"/>
      <c r="L392" s="200" t="s">
        <v>201</v>
      </c>
      <c r="M392" s="484"/>
      <c r="N392" s="484"/>
      <c r="O392" s="484"/>
      <c r="P392" s="484"/>
      <c r="Q392" s="484"/>
      <c r="R392" s="484"/>
      <c r="S392" s="484"/>
      <c r="T392" s="484"/>
      <c r="U392" s="484"/>
      <c r="V392" s="484"/>
      <c r="W392" s="484"/>
      <c r="X392" s="484"/>
      <c r="Y392" s="484"/>
    </row>
    <row r="393">
      <c r="A393" s="226" t="s">
        <v>938</v>
      </c>
      <c r="B393" s="484"/>
      <c r="C393" s="484"/>
      <c r="D393" s="484"/>
      <c r="E393" s="484"/>
      <c r="F393" s="484"/>
      <c r="G393" s="226" t="s">
        <v>1994</v>
      </c>
      <c r="H393" s="484"/>
      <c r="I393" s="484"/>
      <c r="J393" s="484"/>
      <c r="K393" s="484"/>
      <c r="L393" s="200" t="s">
        <v>1267</v>
      </c>
      <c r="M393" s="484"/>
      <c r="N393" s="484"/>
      <c r="O393" s="484"/>
      <c r="P393" s="484"/>
      <c r="Q393" s="484"/>
      <c r="R393" s="484"/>
      <c r="S393" s="484"/>
      <c r="T393" s="484"/>
      <c r="U393" s="484"/>
      <c r="V393" s="484"/>
      <c r="W393" s="484"/>
      <c r="X393" s="484"/>
      <c r="Y393" s="484"/>
    </row>
    <row r="394">
      <c r="A394" s="226" t="s">
        <v>117</v>
      </c>
      <c r="B394" s="484"/>
      <c r="C394" s="484"/>
      <c r="D394" s="484"/>
      <c r="E394" s="484"/>
      <c r="F394" s="484"/>
      <c r="G394" s="226" t="s">
        <v>2163</v>
      </c>
      <c r="H394" s="484"/>
      <c r="I394" s="484"/>
      <c r="J394" s="484"/>
      <c r="K394" s="484"/>
      <c r="L394" s="200" t="s">
        <v>168</v>
      </c>
      <c r="M394" s="484"/>
      <c r="N394" s="484"/>
      <c r="O394" s="484"/>
      <c r="P394" s="484"/>
      <c r="Q394" s="484"/>
      <c r="R394" s="484"/>
      <c r="S394" s="484"/>
      <c r="T394" s="484"/>
      <c r="U394" s="484"/>
      <c r="V394" s="484"/>
      <c r="W394" s="484"/>
      <c r="X394" s="484"/>
      <c r="Y394" s="484"/>
    </row>
    <row r="395">
      <c r="A395" s="226" t="s">
        <v>85</v>
      </c>
      <c r="B395" s="484"/>
      <c r="C395" s="484"/>
      <c r="D395" s="484"/>
      <c r="E395" s="484"/>
      <c r="F395" s="484"/>
      <c r="G395" s="226" t="s">
        <v>1041</v>
      </c>
      <c r="H395" s="484"/>
      <c r="I395" s="484"/>
      <c r="J395" s="484"/>
      <c r="K395" s="484"/>
      <c r="L395" s="200" t="s">
        <v>487</v>
      </c>
      <c r="M395" s="484"/>
      <c r="N395" s="484"/>
      <c r="O395" s="484"/>
      <c r="P395" s="484"/>
      <c r="Q395" s="484"/>
      <c r="R395" s="484"/>
      <c r="S395" s="484"/>
      <c r="T395" s="484"/>
      <c r="U395" s="484"/>
      <c r="V395" s="484"/>
      <c r="W395" s="484"/>
      <c r="X395" s="484"/>
      <c r="Y395" s="484"/>
    </row>
    <row r="396">
      <c r="A396" s="226" t="s">
        <v>1706</v>
      </c>
      <c r="B396" s="484"/>
      <c r="C396" s="484"/>
      <c r="D396" s="484"/>
      <c r="E396" s="484"/>
      <c r="F396" s="484"/>
      <c r="G396" s="226" t="s">
        <v>366</v>
      </c>
      <c r="H396" s="484"/>
      <c r="I396" s="484"/>
      <c r="J396" s="484"/>
      <c r="K396" s="484"/>
      <c r="L396" s="200" t="s">
        <v>487</v>
      </c>
      <c r="M396" s="484"/>
      <c r="N396" s="484"/>
      <c r="O396" s="484"/>
      <c r="P396" s="484"/>
      <c r="Q396" s="484"/>
      <c r="R396" s="484"/>
      <c r="S396" s="484"/>
      <c r="T396" s="484"/>
      <c r="U396" s="484"/>
      <c r="V396" s="484"/>
      <c r="W396" s="484"/>
      <c r="X396" s="484"/>
      <c r="Y396" s="484"/>
    </row>
    <row r="397">
      <c r="A397" s="226" t="s">
        <v>1712</v>
      </c>
      <c r="B397" s="484"/>
      <c r="C397" s="484"/>
      <c r="D397" s="484"/>
      <c r="E397" s="484"/>
      <c r="F397" s="484"/>
      <c r="G397" s="226" t="s">
        <v>2179</v>
      </c>
      <c r="H397" s="484"/>
      <c r="I397" s="484"/>
      <c r="J397" s="484"/>
      <c r="K397" s="484"/>
      <c r="L397" s="200" t="s">
        <v>276</v>
      </c>
      <c r="M397" s="484"/>
      <c r="N397" s="484"/>
      <c r="O397" s="484"/>
      <c r="P397" s="484"/>
      <c r="Q397" s="484"/>
      <c r="R397" s="484"/>
      <c r="S397" s="484"/>
      <c r="T397" s="484"/>
      <c r="U397" s="484"/>
      <c r="V397" s="484"/>
      <c r="W397" s="484"/>
      <c r="X397" s="484"/>
      <c r="Y397" s="484"/>
    </row>
    <row r="398">
      <c r="A398" s="226" t="s">
        <v>98</v>
      </c>
      <c r="B398" s="484"/>
      <c r="C398" s="484"/>
      <c r="D398" s="484"/>
      <c r="E398" s="484"/>
      <c r="F398" s="484"/>
      <c r="G398" s="226" t="s">
        <v>741</v>
      </c>
      <c r="H398" s="484"/>
      <c r="I398" s="484"/>
      <c r="J398" s="484"/>
      <c r="K398" s="484"/>
      <c r="L398" s="200" t="s">
        <v>1280</v>
      </c>
      <c r="M398" s="484"/>
      <c r="N398" s="484"/>
      <c r="O398" s="484"/>
      <c r="P398" s="484"/>
      <c r="Q398" s="484"/>
      <c r="R398" s="484"/>
      <c r="S398" s="484"/>
      <c r="T398" s="484"/>
      <c r="U398" s="484"/>
      <c r="V398" s="484"/>
      <c r="W398" s="484"/>
      <c r="X398" s="484"/>
      <c r="Y398" s="484"/>
    </row>
    <row r="399">
      <c r="A399" s="226" t="s">
        <v>1586</v>
      </c>
      <c r="B399" s="484"/>
      <c r="C399" s="484"/>
      <c r="D399" s="484"/>
      <c r="E399" s="484"/>
      <c r="F399" s="484"/>
      <c r="G399" s="226" t="s">
        <v>141</v>
      </c>
      <c r="H399" s="484"/>
      <c r="I399" s="484"/>
      <c r="J399" s="484"/>
      <c r="K399" s="484"/>
      <c r="L399" s="200" t="s">
        <v>1284</v>
      </c>
      <c r="M399" s="484"/>
      <c r="N399" s="484"/>
      <c r="O399" s="484"/>
      <c r="P399" s="484"/>
      <c r="Q399" s="484"/>
      <c r="R399" s="484"/>
      <c r="S399" s="484"/>
      <c r="T399" s="484"/>
      <c r="U399" s="484"/>
      <c r="V399" s="484"/>
      <c r="W399" s="484"/>
      <c r="X399" s="484"/>
      <c r="Y399" s="484"/>
    </row>
    <row r="400">
      <c r="A400" s="226" t="s">
        <v>1725</v>
      </c>
      <c r="B400" s="484"/>
      <c r="C400" s="484"/>
      <c r="D400" s="484"/>
      <c r="E400" s="484"/>
      <c r="F400" s="484"/>
      <c r="G400" s="226" t="s">
        <v>2227</v>
      </c>
      <c r="H400" s="484"/>
      <c r="I400" s="484"/>
      <c r="J400" s="484"/>
      <c r="K400" s="484"/>
      <c r="L400" s="200" t="s">
        <v>333</v>
      </c>
      <c r="M400" s="484"/>
      <c r="N400" s="484"/>
      <c r="O400" s="484"/>
      <c r="P400" s="484"/>
      <c r="Q400" s="484"/>
      <c r="R400" s="484"/>
      <c r="S400" s="484"/>
      <c r="T400" s="484"/>
      <c r="U400" s="484"/>
      <c r="V400" s="484"/>
      <c r="W400" s="484"/>
      <c r="X400" s="484"/>
      <c r="Y400" s="484"/>
    </row>
    <row r="401">
      <c r="A401" s="226" t="s">
        <v>1725</v>
      </c>
      <c r="B401" s="484"/>
      <c r="C401" s="484"/>
      <c r="D401" s="484"/>
      <c r="E401" s="484"/>
      <c r="F401" s="484"/>
      <c r="G401" s="226" t="s">
        <v>245</v>
      </c>
      <c r="H401" s="484"/>
      <c r="I401" s="484"/>
      <c r="J401" s="484"/>
      <c r="K401" s="484"/>
      <c r="L401" s="200" t="s">
        <v>37</v>
      </c>
      <c r="M401" s="484"/>
      <c r="N401" s="484"/>
      <c r="O401" s="484"/>
      <c r="P401" s="484"/>
      <c r="Q401" s="484"/>
      <c r="R401" s="484"/>
      <c r="S401" s="484"/>
      <c r="T401" s="484"/>
      <c r="U401" s="484"/>
      <c r="V401" s="484"/>
      <c r="W401" s="484"/>
      <c r="X401" s="484"/>
      <c r="Y401" s="484"/>
    </row>
    <row r="402">
      <c r="A402" s="226" t="s">
        <v>195</v>
      </c>
      <c r="B402" s="484"/>
      <c r="C402" s="484"/>
      <c r="D402" s="484"/>
      <c r="E402" s="484"/>
      <c r="F402" s="484"/>
      <c r="G402" s="226" t="s">
        <v>104</v>
      </c>
      <c r="H402" s="484"/>
      <c r="I402" s="484"/>
      <c r="J402" s="484"/>
      <c r="K402" s="484"/>
      <c r="L402" s="200" t="s">
        <v>37</v>
      </c>
      <c r="M402" s="484"/>
      <c r="N402" s="484"/>
      <c r="O402" s="484"/>
      <c r="P402" s="484"/>
      <c r="Q402" s="484"/>
      <c r="R402" s="484"/>
      <c r="S402" s="484"/>
      <c r="T402" s="484"/>
      <c r="U402" s="484"/>
      <c r="V402" s="484"/>
      <c r="W402" s="484"/>
      <c r="X402" s="484"/>
      <c r="Y402" s="484"/>
    </row>
    <row r="403">
      <c r="A403" s="226" t="s">
        <v>148</v>
      </c>
      <c r="B403" s="484"/>
      <c r="C403" s="484"/>
      <c r="D403" s="484"/>
      <c r="E403" s="484"/>
      <c r="F403" s="484"/>
      <c r="G403" s="226" t="s">
        <v>728</v>
      </c>
      <c r="H403" s="484"/>
      <c r="I403" s="484"/>
      <c r="J403" s="484"/>
      <c r="K403" s="484"/>
      <c r="L403" s="200" t="s">
        <v>37</v>
      </c>
      <c r="M403" s="484"/>
      <c r="N403" s="484"/>
      <c r="O403" s="484"/>
      <c r="P403" s="484"/>
      <c r="Q403" s="484"/>
      <c r="R403" s="484"/>
      <c r="S403" s="484"/>
      <c r="T403" s="484"/>
      <c r="U403" s="484"/>
      <c r="V403" s="484"/>
      <c r="W403" s="484"/>
      <c r="X403" s="484"/>
      <c r="Y403" s="484"/>
    </row>
    <row r="404">
      <c r="A404" s="226" t="s">
        <v>1746</v>
      </c>
      <c r="B404" s="484"/>
      <c r="C404" s="484"/>
      <c r="D404" s="484"/>
      <c r="E404" s="484"/>
      <c r="F404" s="484"/>
      <c r="G404" s="226" t="s">
        <v>166</v>
      </c>
      <c r="H404" s="484"/>
      <c r="I404" s="484"/>
      <c r="J404" s="484"/>
      <c r="K404" s="484"/>
      <c r="L404" s="200" t="s">
        <v>482</v>
      </c>
      <c r="M404" s="484"/>
      <c r="N404" s="484"/>
      <c r="O404" s="484"/>
      <c r="P404" s="484"/>
      <c r="Q404" s="484"/>
      <c r="R404" s="484"/>
      <c r="S404" s="484"/>
      <c r="T404" s="484"/>
      <c r="U404" s="484"/>
      <c r="V404" s="484"/>
      <c r="W404" s="484"/>
      <c r="X404" s="484"/>
      <c r="Y404" s="484"/>
    </row>
    <row r="405">
      <c r="A405" s="226" t="s">
        <v>1751</v>
      </c>
      <c r="B405" s="484"/>
      <c r="C405" s="484"/>
      <c r="D405" s="484"/>
      <c r="E405" s="484"/>
      <c r="F405" s="484"/>
      <c r="G405" s="226" t="s">
        <v>2266</v>
      </c>
      <c r="H405" s="484"/>
      <c r="I405" s="484"/>
      <c r="J405" s="484"/>
      <c r="K405" s="484"/>
      <c r="L405" s="200" t="s">
        <v>414</v>
      </c>
      <c r="M405" s="484"/>
      <c r="N405" s="484"/>
      <c r="O405" s="484"/>
      <c r="P405" s="484"/>
      <c r="Q405" s="484"/>
      <c r="R405" s="484"/>
      <c r="S405" s="484"/>
      <c r="T405" s="484"/>
      <c r="U405" s="484"/>
      <c r="V405" s="484"/>
      <c r="W405" s="484"/>
      <c r="X405" s="484"/>
      <c r="Y405" s="484"/>
    </row>
    <row r="406">
      <c r="A406" s="226" t="s">
        <v>1706</v>
      </c>
      <c r="B406" s="484"/>
      <c r="C406" s="484"/>
      <c r="D406" s="484"/>
      <c r="E406" s="484"/>
      <c r="F406" s="484"/>
      <c r="G406" s="226" t="s">
        <v>195</v>
      </c>
      <c r="H406" s="484"/>
      <c r="I406" s="484"/>
      <c r="J406" s="484"/>
      <c r="K406" s="484"/>
      <c r="L406" s="200" t="s">
        <v>245</v>
      </c>
      <c r="M406" s="484"/>
      <c r="N406" s="484"/>
      <c r="O406" s="484"/>
      <c r="P406" s="484"/>
      <c r="Q406" s="484"/>
      <c r="R406" s="484"/>
      <c r="S406" s="484"/>
      <c r="T406" s="484"/>
      <c r="U406" s="484"/>
      <c r="V406" s="484"/>
      <c r="W406" s="484"/>
      <c r="X406" s="484"/>
      <c r="Y406" s="484"/>
    </row>
    <row r="407">
      <c r="A407" s="226" t="s">
        <v>1706</v>
      </c>
      <c r="B407" s="484"/>
      <c r="C407" s="484"/>
      <c r="D407" s="484"/>
      <c r="E407" s="484"/>
      <c r="F407" s="484"/>
      <c r="G407" s="226" t="s">
        <v>195</v>
      </c>
      <c r="H407" s="484"/>
      <c r="I407" s="484"/>
      <c r="J407" s="484"/>
      <c r="K407" s="484"/>
      <c r="L407" s="200" t="s">
        <v>195</v>
      </c>
      <c r="M407" s="484"/>
      <c r="N407" s="484"/>
      <c r="O407" s="484"/>
      <c r="P407" s="484"/>
      <c r="Q407" s="484"/>
      <c r="R407" s="484"/>
      <c r="S407" s="484"/>
      <c r="T407" s="484"/>
      <c r="U407" s="484"/>
      <c r="V407" s="484"/>
      <c r="W407" s="484"/>
      <c r="X407" s="484"/>
      <c r="Y407" s="484"/>
    </row>
    <row r="408">
      <c r="A408" s="226" t="s">
        <v>234</v>
      </c>
      <c r="B408" s="484"/>
      <c r="C408" s="484"/>
      <c r="D408" s="484"/>
      <c r="E408" s="484"/>
      <c r="F408" s="484"/>
      <c r="G408" s="226" t="s">
        <v>195</v>
      </c>
      <c r="H408" s="484"/>
      <c r="I408" s="484"/>
      <c r="J408" s="484"/>
      <c r="K408" s="484"/>
      <c r="L408" s="200" t="s">
        <v>1304</v>
      </c>
      <c r="M408" s="484"/>
      <c r="N408" s="484"/>
      <c r="O408" s="484"/>
      <c r="P408" s="484"/>
      <c r="Q408" s="484"/>
      <c r="R408" s="484"/>
      <c r="S408" s="484"/>
      <c r="T408" s="484"/>
      <c r="U408" s="484"/>
      <c r="V408" s="484"/>
      <c r="W408" s="484"/>
      <c r="X408" s="484"/>
      <c r="Y408" s="484"/>
    </row>
    <row r="409">
      <c r="A409" s="226" t="s">
        <v>710</v>
      </c>
      <c r="B409" s="484"/>
      <c r="C409" s="484"/>
      <c r="D409" s="484"/>
      <c r="E409" s="484"/>
      <c r="F409" s="484"/>
      <c r="G409" s="226" t="s">
        <v>148</v>
      </c>
      <c r="H409" s="484"/>
      <c r="I409" s="484"/>
      <c r="J409" s="484"/>
      <c r="K409" s="484"/>
      <c r="L409" s="200" t="s">
        <v>1306</v>
      </c>
      <c r="M409" s="484"/>
      <c r="N409" s="484"/>
      <c r="O409" s="484"/>
      <c r="P409" s="484"/>
      <c r="Q409" s="484"/>
      <c r="R409" s="484"/>
      <c r="S409" s="484"/>
      <c r="T409" s="484"/>
      <c r="U409" s="484"/>
      <c r="V409" s="484"/>
      <c r="W409" s="484"/>
      <c r="X409" s="484"/>
      <c r="Y409" s="484"/>
    </row>
    <row r="410">
      <c r="A410" s="226" t="s">
        <v>153</v>
      </c>
      <c r="B410" s="484"/>
      <c r="C410" s="484"/>
      <c r="D410" s="484"/>
      <c r="E410" s="484"/>
      <c r="F410" s="484"/>
      <c r="G410" s="226" t="s">
        <v>1994</v>
      </c>
      <c r="H410" s="484"/>
      <c r="I410" s="484"/>
      <c r="J410" s="484"/>
      <c r="K410" s="484"/>
      <c r="L410" s="200" t="s">
        <v>195</v>
      </c>
      <c r="M410" s="484"/>
      <c r="N410" s="484"/>
      <c r="O410" s="484"/>
      <c r="P410" s="484"/>
      <c r="Q410" s="484"/>
      <c r="R410" s="484"/>
      <c r="S410" s="484"/>
      <c r="T410" s="484"/>
      <c r="U410" s="484"/>
      <c r="V410" s="484"/>
      <c r="W410" s="484"/>
      <c r="X410" s="484"/>
      <c r="Y410" s="484"/>
    </row>
    <row r="411">
      <c r="A411" s="226" t="s">
        <v>720</v>
      </c>
      <c r="B411" s="484"/>
      <c r="C411" s="484"/>
      <c r="D411" s="484"/>
      <c r="E411" s="484"/>
      <c r="F411" s="484"/>
      <c r="G411" s="226" t="s">
        <v>2163</v>
      </c>
      <c r="H411" s="484"/>
      <c r="I411" s="484"/>
      <c r="J411" s="484"/>
      <c r="K411" s="484"/>
      <c r="L411" s="200" t="s">
        <v>94</v>
      </c>
      <c r="M411" s="484"/>
      <c r="N411" s="484"/>
      <c r="O411" s="484"/>
      <c r="P411" s="484"/>
      <c r="Q411" s="484"/>
      <c r="R411" s="484"/>
      <c r="S411" s="484"/>
      <c r="T411" s="484"/>
      <c r="U411" s="484"/>
      <c r="V411" s="484"/>
      <c r="W411" s="484"/>
      <c r="X411" s="484"/>
      <c r="Y411" s="484"/>
    </row>
    <row r="412">
      <c r="A412" s="226" t="s">
        <v>1045</v>
      </c>
      <c r="B412" s="484"/>
      <c r="C412" s="484"/>
      <c r="D412" s="484"/>
      <c r="E412" s="484"/>
      <c r="F412" s="484"/>
      <c r="G412" s="226" t="s">
        <v>1041</v>
      </c>
      <c r="H412" s="484"/>
      <c r="I412" s="484"/>
      <c r="J412" s="484"/>
      <c r="K412" s="484"/>
      <c r="L412" s="200" t="s">
        <v>760</v>
      </c>
      <c r="M412" s="484"/>
      <c r="N412" s="484"/>
      <c r="O412" s="484"/>
      <c r="P412" s="484"/>
      <c r="Q412" s="484"/>
      <c r="R412" s="484"/>
      <c r="S412" s="484"/>
      <c r="T412" s="484"/>
      <c r="U412" s="484"/>
      <c r="V412" s="484"/>
      <c r="W412" s="484"/>
      <c r="X412" s="484"/>
      <c r="Y412" s="484"/>
    </row>
    <row r="413">
      <c r="A413" s="226" t="s">
        <v>209</v>
      </c>
      <c r="B413" s="484"/>
      <c r="C413" s="484"/>
      <c r="D413" s="484"/>
      <c r="E413" s="484"/>
      <c r="F413" s="484"/>
      <c r="G413" s="226" t="s">
        <v>366</v>
      </c>
      <c r="H413" s="484"/>
      <c r="I413" s="484"/>
      <c r="J413" s="484"/>
      <c r="K413" s="484"/>
      <c r="L413" s="200" t="s">
        <v>1318</v>
      </c>
      <c r="M413" s="484"/>
      <c r="N413" s="484"/>
      <c r="O413" s="484"/>
      <c r="P413" s="484"/>
      <c r="Q413" s="484"/>
      <c r="R413" s="484"/>
      <c r="S413" s="484"/>
      <c r="T413" s="484"/>
      <c r="U413" s="484"/>
      <c r="V413" s="484"/>
      <c r="W413" s="484"/>
      <c r="X413" s="484"/>
      <c r="Y413" s="484"/>
    </row>
    <row r="414">
      <c r="A414" s="226" t="s">
        <v>1318</v>
      </c>
      <c r="B414" s="484"/>
      <c r="C414" s="484"/>
      <c r="D414" s="484"/>
      <c r="E414" s="484"/>
      <c r="F414" s="484"/>
      <c r="G414" s="226" t="s">
        <v>2179</v>
      </c>
      <c r="H414" s="484"/>
      <c r="I414" s="484"/>
      <c r="J414" s="484"/>
      <c r="K414" s="484"/>
      <c r="L414" s="200" t="s">
        <v>37</v>
      </c>
      <c r="M414" s="484"/>
      <c r="N414" s="484"/>
      <c r="O414" s="484"/>
      <c r="P414" s="484"/>
      <c r="Q414" s="484"/>
      <c r="R414" s="484"/>
      <c r="S414" s="484"/>
      <c r="T414" s="484"/>
      <c r="U414" s="484"/>
      <c r="V414" s="484"/>
      <c r="W414" s="484"/>
      <c r="X414" s="484"/>
      <c r="Y414" s="484"/>
    </row>
    <row r="415">
      <c r="A415" s="226" t="s">
        <v>201</v>
      </c>
      <c r="B415" s="484"/>
      <c r="C415" s="484"/>
      <c r="D415" s="484"/>
      <c r="E415" s="484"/>
      <c r="F415" s="484"/>
      <c r="G415" s="226" t="s">
        <v>741</v>
      </c>
      <c r="H415" s="484"/>
      <c r="I415" s="484"/>
      <c r="J415" s="484"/>
      <c r="K415" s="484"/>
      <c r="L415" s="200" t="s">
        <v>1322</v>
      </c>
      <c r="M415" s="484"/>
      <c r="N415" s="484"/>
      <c r="O415" s="484"/>
      <c r="P415" s="484"/>
      <c r="Q415" s="484"/>
      <c r="R415" s="484"/>
      <c r="S415" s="484"/>
      <c r="T415" s="484"/>
      <c r="U415" s="484"/>
      <c r="V415" s="484"/>
      <c r="W415" s="484"/>
      <c r="X415" s="484"/>
      <c r="Y415" s="484"/>
    </row>
    <row r="416">
      <c r="A416" s="226" t="s">
        <v>240</v>
      </c>
      <c r="B416" s="484"/>
      <c r="C416" s="484"/>
      <c r="D416" s="484"/>
      <c r="E416" s="484"/>
      <c r="F416" s="484"/>
      <c r="G416" s="226" t="s">
        <v>141</v>
      </c>
      <c r="H416" s="484"/>
      <c r="I416" s="484"/>
      <c r="J416" s="484"/>
      <c r="K416" s="484"/>
      <c r="L416" s="200" t="s">
        <v>240</v>
      </c>
      <c r="M416" s="484"/>
      <c r="N416" s="484"/>
      <c r="O416" s="484"/>
      <c r="P416" s="484"/>
      <c r="Q416" s="484"/>
      <c r="R416" s="484"/>
      <c r="S416" s="484"/>
      <c r="T416" s="484"/>
      <c r="U416" s="484"/>
      <c r="V416" s="484"/>
      <c r="W416" s="484"/>
      <c r="X416" s="484"/>
      <c r="Y416" s="484"/>
    </row>
    <row r="417">
      <c r="A417" s="226" t="s">
        <v>368</v>
      </c>
      <c r="B417" s="484"/>
      <c r="C417" s="484"/>
      <c r="D417" s="484"/>
      <c r="E417" s="484"/>
      <c r="F417" s="484"/>
      <c r="G417" s="226" t="s">
        <v>2227</v>
      </c>
      <c r="H417" s="484"/>
      <c r="I417" s="484"/>
      <c r="J417" s="484"/>
      <c r="K417" s="484"/>
      <c r="L417" s="200" t="s">
        <v>368</v>
      </c>
      <c r="M417" s="484"/>
      <c r="N417" s="484"/>
      <c r="O417" s="484"/>
      <c r="P417" s="484"/>
      <c r="Q417" s="484"/>
      <c r="R417" s="484"/>
      <c r="S417" s="484"/>
      <c r="T417" s="484"/>
      <c r="U417" s="484"/>
      <c r="V417" s="484"/>
      <c r="W417" s="484"/>
      <c r="X417" s="484"/>
      <c r="Y417" s="484"/>
    </row>
    <row r="418">
      <c r="A418" s="226" t="s">
        <v>234</v>
      </c>
      <c r="B418" s="484"/>
      <c r="C418" s="484"/>
      <c r="D418" s="484"/>
      <c r="E418" s="484"/>
      <c r="F418" s="484"/>
      <c r="G418" s="226" t="s">
        <v>245</v>
      </c>
      <c r="H418" s="484"/>
      <c r="I418" s="484"/>
      <c r="J418" s="484"/>
      <c r="K418" s="484"/>
      <c r="L418" s="200" t="s">
        <v>1060</v>
      </c>
      <c r="M418" s="484"/>
      <c r="N418" s="484"/>
      <c r="O418" s="484"/>
      <c r="P418" s="484"/>
      <c r="Q418" s="484"/>
      <c r="R418" s="484"/>
      <c r="S418" s="484"/>
      <c r="T418" s="484"/>
      <c r="U418" s="484"/>
      <c r="V418" s="484"/>
      <c r="W418" s="484"/>
      <c r="X418" s="484"/>
      <c r="Y418" s="484"/>
    </row>
    <row r="419">
      <c r="A419" s="226" t="s">
        <v>333</v>
      </c>
      <c r="B419" s="484"/>
      <c r="C419" s="484"/>
      <c r="D419" s="484"/>
      <c r="E419" s="484"/>
      <c r="F419" s="484"/>
      <c r="G419" s="226" t="s">
        <v>104</v>
      </c>
      <c r="H419" s="484"/>
      <c r="I419" s="484"/>
      <c r="J419" s="484"/>
      <c r="K419" s="484"/>
      <c r="L419" s="200" t="s">
        <v>94</v>
      </c>
      <c r="M419" s="484"/>
      <c r="N419" s="484"/>
      <c r="O419" s="484"/>
      <c r="P419" s="484"/>
      <c r="Q419" s="484"/>
      <c r="R419" s="484"/>
      <c r="S419" s="484"/>
      <c r="T419" s="484"/>
      <c r="U419" s="484"/>
      <c r="V419" s="484"/>
      <c r="W419" s="484"/>
      <c r="X419" s="484"/>
      <c r="Y419" s="484"/>
    </row>
    <row r="420">
      <c r="A420" s="226" t="s">
        <v>104</v>
      </c>
      <c r="B420" s="484"/>
      <c r="C420" s="484"/>
      <c r="D420" s="484"/>
      <c r="E420" s="484"/>
      <c r="F420" s="484"/>
      <c r="G420" s="226" t="s">
        <v>728</v>
      </c>
      <c r="H420" s="484"/>
      <c r="I420" s="484"/>
      <c r="J420" s="484"/>
      <c r="K420" s="484"/>
      <c r="L420" s="200" t="s">
        <v>366</v>
      </c>
      <c r="M420" s="484"/>
      <c r="N420" s="484"/>
      <c r="O420" s="484"/>
      <c r="P420" s="484"/>
      <c r="Q420" s="484"/>
      <c r="R420" s="484"/>
      <c r="S420" s="484"/>
      <c r="T420" s="484"/>
      <c r="U420" s="484"/>
      <c r="V420" s="484"/>
      <c r="W420" s="484"/>
      <c r="X420" s="484"/>
      <c r="Y420" s="484"/>
    </row>
    <row r="421">
      <c r="A421" s="226" t="s">
        <v>104</v>
      </c>
      <c r="B421" s="484"/>
      <c r="C421" s="484"/>
      <c r="D421" s="484"/>
      <c r="E421" s="484"/>
      <c r="F421" s="484"/>
      <c r="G421" s="226" t="s">
        <v>166</v>
      </c>
      <c r="H421" s="484"/>
      <c r="I421" s="484"/>
      <c r="J421" s="484"/>
      <c r="K421" s="484"/>
      <c r="L421" s="200" t="s">
        <v>94</v>
      </c>
      <c r="M421" s="484"/>
      <c r="N421" s="484"/>
      <c r="O421" s="484"/>
      <c r="P421" s="484"/>
      <c r="Q421" s="484"/>
      <c r="R421" s="484"/>
      <c r="S421" s="484"/>
      <c r="T421" s="484"/>
      <c r="U421" s="484"/>
      <c r="V421" s="484"/>
      <c r="W421" s="484"/>
      <c r="X421" s="484"/>
      <c r="Y421" s="484"/>
    </row>
    <row r="422">
      <c r="A422" s="226" t="s">
        <v>675</v>
      </c>
      <c r="B422" s="484"/>
      <c r="C422" s="484"/>
      <c r="D422" s="484"/>
      <c r="E422" s="484"/>
      <c r="F422" s="484"/>
      <c r="G422" s="226" t="s">
        <v>2266</v>
      </c>
      <c r="H422" s="484"/>
      <c r="I422" s="484"/>
      <c r="J422" s="484"/>
      <c r="K422" s="484"/>
      <c r="L422" s="200" t="s">
        <v>94</v>
      </c>
      <c r="M422" s="484"/>
      <c r="N422" s="484"/>
      <c r="O422" s="484"/>
      <c r="P422" s="484"/>
      <c r="Q422" s="484"/>
      <c r="R422" s="484"/>
      <c r="S422" s="484"/>
      <c r="T422" s="484"/>
      <c r="U422" s="484"/>
      <c r="V422" s="484"/>
      <c r="W422" s="484"/>
      <c r="X422" s="484"/>
      <c r="Y422" s="484"/>
    </row>
    <row r="423">
      <c r="A423" s="226" t="s">
        <v>431</v>
      </c>
      <c r="B423" s="484"/>
      <c r="C423" s="484"/>
      <c r="D423" s="484"/>
      <c r="E423" s="484"/>
      <c r="F423" s="484"/>
      <c r="G423" s="426" t="s">
        <v>794</v>
      </c>
      <c r="H423" s="484"/>
      <c r="I423" s="484"/>
      <c r="J423" s="484"/>
      <c r="K423" s="484"/>
      <c r="L423" s="200" t="s">
        <v>574</v>
      </c>
      <c r="M423" s="484"/>
      <c r="N423" s="484"/>
      <c r="O423" s="484"/>
      <c r="P423" s="484"/>
      <c r="Q423" s="484"/>
      <c r="R423" s="484"/>
      <c r="S423" s="484"/>
      <c r="T423" s="484"/>
      <c r="U423" s="484"/>
      <c r="V423" s="484"/>
      <c r="W423" s="484"/>
      <c r="X423" s="484"/>
      <c r="Y423" s="484"/>
    </row>
    <row r="424">
      <c r="A424" s="226" t="s">
        <v>314</v>
      </c>
      <c r="B424" s="484"/>
      <c r="C424" s="484"/>
      <c r="D424" s="484"/>
      <c r="E424" s="484"/>
      <c r="F424" s="484"/>
      <c r="G424" s="426" t="s">
        <v>368</v>
      </c>
      <c r="H424" s="484"/>
      <c r="I424" s="484"/>
      <c r="J424" s="484"/>
      <c r="K424" s="484"/>
      <c r="L424" s="200" t="s">
        <v>1345</v>
      </c>
      <c r="M424" s="484"/>
      <c r="N424" s="484"/>
      <c r="O424" s="484"/>
      <c r="P424" s="484"/>
      <c r="Q424" s="484"/>
      <c r="R424" s="484"/>
      <c r="S424" s="484"/>
      <c r="T424" s="484"/>
      <c r="U424" s="484"/>
      <c r="V424" s="484"/>
      <c r="W424" s="484"/>
      <c r="X424" s="484"/>
      <c r="Y424" s="484"/>
    </row>
    <row r="425">
      <c r="A425" s="226" t="s">
        <v>1025</v>
      </c>
      <c r="B425" s="484"/>
      <c r="C425" s="484"/>
      <c r="D425" s="484"/>
      <c r="E425" s="484"/>
      <c r="F425" s="484"/>
      <c r="G425" s="426" t="s">
        <v>600</v>
      </c>
      <c r="H425" s="484"/>
      <c r="I425" s="484"/>
      <c r="J425" s="484"/>
      <c r="K425" s="484"/>
      <c r="L425" s="200" t="s">
        <v>780</v>
      </c>
      <c r="M425" s="484"/>
      <c r="N425" s="484"/>
      <c r="O425" s="484"/>
      <c r="P425" s="484"/>
      <c r="Q425" s="484"/>
      <c r="R425" s="484"/>
      <c r="S425" s="484"/>
      <c r="T425" s="484"/>
      <c r="U425" s="484"/>
      <c r="V425" s="484"/>
      <c r="W425" s="484"/>
      <c r="X425" s="484"/>
      <c r="Y425" s="484"/>
    </row>
    <row r="426">
      <c r="A426" s="226" t="s">
        <v>231</v>
      </c>
      <c r="B426" s="484"/>
      <c r="C426" s="484"/>
      <c r="D426" s="484"/>
      <c r="E426" s="484"/>
      <c r="F426" s="484"/>
      <c r="G426" s="426" t="s">
        <v>357</v>
      </c>
      <c r="H426" s="484"/>
      <c r="I426" s="484"/>
      <c r="J426" s="484"/>
      <c r="K426" s="484"/>
      <c r="L426" s="200" t="s">
        <v>938</v>
      </c>
      <c r="M426" s="484"/>
      <c r="N426" s="484"/>
      <c r="O426" s="484"/>
      <c r="P426" s="484"/>
      <c r="Q426" s="484"/>
      <c r="R426" s="484"/>
      <c r="S426" s="484"/>
      <c r="T426" s="484"/>
      <c r="U426" s="484"/>
      <c r="V426" s="484"/>
      <c r="W426" s="484"/>
      <c r="X426" s="484"/>
      <c r="Y426" s="484"/>
    </row>
    <row r="427">
      <c r="A427" s="226" t="s">
        <v>424</v>
      </c>
      <c r="B427" s="484"/>
      <c r="C427" s="484"/>
      <c r="D427" s="484"/>
      <c r="E427" s="484"/>
      <c r="F427" s="484"/>
      <c r="G427" s="426" t="s">
        <v>1060</v>
      </c>
      <c r="H427" s="484"/>
      <c r="I427" s="484"/>
      <c r="J427" s="484"/>
      <c r="K427" s="484"/>
      <c r="L427" s="200" t="s">
        <v>427</v>
      </c>
      <c r="M427" s="484"/>
      <c r="N427" s="484"/>
      <c r="O427" s="484"/>
      <c r="P427" s="484"/>
      <c r="Q427" s="484"/>
      <c r="R427" s="484"/>
      <c r="S427" s="484"/>
      <c r="T427" s="484"/>
      <c r="U427" s="484"/>
      <c r="V427" s="484"/>
      <c r="W427" s="484"/>
      <c r="X427" s="484"/>
      <c r="Y427" s="484"/>
    </row>
    <row r="428">
      <c r="A428" s="226" t="s">
        <v>385</v>
      </c>
      <c r="B428" s="484"/>
      <c r="C428" s="484"/>
      <c r="D428" s="484"/>
      <c r="E428" s="484"/>
      <c r="F428" s="484"/>
      <c r="G428" s="534" t="s">
        <v>1224</v>
      </c>
      <c r="H428" s="484"/>
      <c r="I428" s="484"/>
      <c r="J428" s="484"/>
      <c r="K428" s="484"/>
      <c r="L428" s="200" t="s">
        <v>1366</v>
      </c>
      <c r="M428" s="484"/>
      <c r="N428" s="484"/>
      <c r="O428" s="484"/>
      <c r="P428" s="484"/>
      <c r="Q428" s="484"/>
      <c r="R428" s="484"/>
      <c r="S428" s="484"/>
      <c r="T428" s="484"/>
      <c r="U428" s="484"/>
      <c r="V428" s="484"/>
      <c r="W428" s="484"/>
      <c r="X428" s="484"/>
      <c r="Y428" s="484"/>
    </row>
    <row r="429">
      <c r="A429" s="226" t="s">
        <v>382</v>
      </c>
      <c r="B429" s="484"/>
      <c r="C429" s="484"/>
      <c r="D429" s="484"/>
      <c r="E429" s="484"/>
      <c r="F429" s="484"/>
      <c r="G429" s="426" t="s">
        <v>155</v>
      </c>
      <c r="H429" s="484"/>
      <c r="I429" s="484"/>
      <c r="J429" s="484"/>
      <c r="K429" s="484"/>
      <c r="L429" s="200" t="s">
        <v>636</v>
      </c>
      <c r="M429" s="484"/>
      <c r="N429" s="484"/>
      <c r="O429" s="484"/>
      <c r="P429" s="484"/>
      <c r="Q429" s="484"/>
      <c r="R429" s="484"/>
      <c r="S429" s="484"/>
      <c r="T429" s="484"/>
      <c r="U429" s="484"/>
      <c r="V429" s="484"/>
      <c r="W429" s="484"/>
      <c r="X429" s="484"/>
      <c r="Y429" s="484"/>
    </row>
    <row r="430">
      <c r="A430" s="226" t="s">
        <v>171</v>
      </c>
      <c r="B430" s="484"/>
      <c r="C430" s="484"/>
      <c r="D430" s="484"/>
      <c r="E430" s="484"/>
      <c r="F430" s="484"/>
      <c r="G430" s="426" t="s">
        <v>1045</v>
      </c>
      <c r="H430" s="484"/>
      <c r="I430" s="484"/>
      <c r="J430" s="484"/>
      <c r="K430" s="484"/>
      <c r="L430" s="200" t="s">
        <v>636</v>
      </c>
      <c r="M430" s="484"/>
      <c r="N430" s="484"/>
      <c r="O430" s="484"/>
      <c r="P430" s="484"/>
      <c r="Q430" s="484"/>
      <c r="R430" s="484"/>
      <c r="S430" s="484"/>
      <c r="T430" s="484"/>
      <c r="U430" s="484"/>
      <c r="V430" s="484"/>
      <c r="W430" s="484"/>
      <c r="X430" s="484"/>
      <c r="Y430" s="484"/>
    </row>
    <row r="431">
      <c r="A431" s="226" t="s">
        <v>1902</v>
      </c>
      <c r="B431" s="484"/>
      <c r="C431" s="484"/>
      <c r="D431" s="484"/>
      <c r="E431" s="484"/>
      <c r="F431" s="484"/>
      <c r="G431" s="426" t="s">
        <v>703</v>
      </c>
      <c r="H431" s="484"/>
      <c r="I431" s="484"/>
      <c r="J431" s="484"/>
      <c r="K431" s="484"/>
      <c r="L431" s="200" t="s">
        <v>272</v>
      </c>
      <c r="M431" s="484"/>
      <c r="N431" s="484"/>
      <c r="O431" s="484"/>
      <c r="P431" s="484"/>
      <c r="Q431" s="484"/>
      <c r="R431" s="484"/>
      <c r="S431" s="484"/>
      <c r="T431" s="484"/>
      <c r="U431" s="484"/>
      <c r="V431" s="484"/>
      <c r="W431" s="484"/>
      <c r="X431" s="484"/>
      <c r="Y431" s="484"/>
    </row>
    <row r="432">
      <c r="A432" s="226" t="s">
        <v>209</v>
      </c>
      <c r="B432" s="484"/>
      <c r="C432" s="484"/>
      <c r="D432" s="484"/>
      <c r="E432" s="484"/>
      <c r="F432" s="484"/>
      <c r="G432" s="426" t="s">
        <v>311</v>
      </c>
      <c r="H432" s="484"/>
      <c r="I432" s="484"/>
      <c r="J432" s="484"/>
      <c r="K432" s="484"/>
      <c r="L432" s="200" t="s">
        <v>272</v>
      </c>
      <c r="M432" s="484"/>
      <c r="N432" s="484"/>
      <c r="O432" s="484"/>
      <c r="P432" s="484"/>
      <c r="Q432" s="484"/>
      <c r="R432" s="484"/>
      <c r="S432" s="484"/>
      <c r="T432" s="484"/>
      <c r="U432" s="484"/>
      <c r="V432" s="484"/>
      <c r="W432" s="484"/>
      <c r="X432" s="484"/>
      <c r="Y432" s="484"/>
    </row>
    <row r="433">
      <c r="A433" s="226" t="s">
        <v>148</v>
      </c>
      <c r="B433" s="484"/>
      <c r="C433" s="484"/>
      <c r="D433" s="484"/>
      <c r="E433" s="484"/>
      <c r="F433" s="484"/>
      <c r="G433" s="426" t="s">
        <v>586</v>
      </c>
      <c r="H433" s="484"/>
      <c r="I433" s="484"/>
      <c r="J433" s="484"/>
      <c r="K433" s="484"/>
      <c r="L433" s="200" t="s">
        <v>78</v>
      </c>
      <c r="M433" s="484"/>
      <c r="N433" s="484"/>
      <c r="O433" s="484"/>
      <c r="P433" s="484"/>
      <c r="Q433" s="484"/>
      <c r="R433" s="484"/>
      <c r="S433" s="484"/>
      <c r="T433" s="484"/>
      <c r="U433" s="484"/>
      <c r="V433" s="484"/>
      <c r="W433" s="484"/>
      <c r="X433" s="484"/>
      <c r="Y433" s="484"/>
    </row>
    <row r="434">
      <c r="A434" s="226" t="s">
        <v>1242</v>
      </c>
      <c r="B434" s="484"/>
      <c r="C434" s="484"/>
      <c r="D434" s="484"/>
      <c r="E434" s="484"/>
      <c r="F434" s="484"/>
      <c r="G434" s="426" t="s">
        <v>2351</v>
      </c>
      <c r="H434" s="484"/>
      <c r="I434" s="484"/>
      <c r="J434" s="484"/>
      <c r="K434" s="484"/>
      <c r="L434" s="200" t="s">
        <v>111</v>
      </c>
      <c r="M434" s="484"/>
      <c r="N434" s="484"/>
      <c r="O434" s="484"/>
      <c r="P434" s="484"/>
      <c r="Q434" s="484"/>
      <c r="R434" s="484"/>
      <c r="S434" s="484"/>
      <c r="T434" s="484"/>
      <c r="U434" s="484"/>
      <c r="V434" s="484"/>
      <c r="W434" s="484"/>
      <c r="X434" s="484"/>
      <c r="Y434" s="484"/>
    </row>
    <row r="435">
      <c r="A435" s="226" t="s">
        <v>150</v>
      </c>
      <c r="B435" s="484"/>
      <c r="C435" s="484"/>
      <c r="D435" s="484"/>
      <c r="E435" s="484"/>
      <c r="F435" s="484"/>
      <c r="G435" s="426" t="s">
        <v>697</v>
      </c>
      <c r="H435" s="484"/>
      <c r="I435" s="484"/>
      <c r="J435" s="484"/>
      <c r="K435" s="484"/>
      <c r="L435" s="200" t="s">
        <v>586</v>
      </c>
      <c r="M435" s="484"/>
      <c r="N435" s="484"/>
      <c r="O435" s="484"/>
      <c r="P435" s="484"/>
      <c r="Q435" s="484"/>
      <c r="R435" s="484"/>
      <c r="S435" s="484"/>
      <c r="T435" s="484"/>
      <c r="U435" s="484"/>
      <c r="V435" s="484"/>
      <c r="W435" s="484"/>
      <c r="X435" s="484"/>
      <c r="Y435" s="484"/>
    </row>
    <row r="436">
      <c r="A436" s="226" t="s">
        <v>600</v>
      </c>
      <c r="B436" s="484"/>
      <c r="C436" s="484"/>
      <c r="D436" s="484"/>
      <c r="E436" s="484"/>
      <c r="F436" s="484"/>
      <c r="G436" s="426" t="s">
        <v>760</v>
      </c>
      <c r="H436" s="484"/>
      <c r="I436" s="484"/>
      <c r="J436" s="484"/>
      <c r="K436" s="484"/>
      <c r="L436" s="200" t="s">
        <v>771</v>
      </c>
      <c r="M436" s="484"/>
      <c r="N436" s="484"/>
      <c r="O436" s="484"/>
      <c r="P436" s="484"/>
      <c r="Q436" s="484"/>
      <c r="R436" s="484"/>
      <c r="S436" s="484"/>
      <c r="T436" s="484"/>
      <c r="U436" s="484"/>
      <c r="V436" s="484"/>
      <c r="W436" s="484"/>
      <c r="X436" s="484"/>
      <c r="Y436" s="484"/>
    </row>
    <row r="437">
      <c r="A437" s="226" t="s">
        <v>188</v>
      </c>
      <c r="B437" s="484"/>
      <c r="C437" s="484"/>
      <c r="D437" s="484"/>
      <c r="E437" s="484"/>
      <c r="F437" s="484"/>
      <c r="G437" s="426" t="s">
        <v>2368</v>
      </c>
      <c r="H437" s="484"/>
      <c r="I437" s="484"/>
      <c r="J437" s="484"/>
      <c r="K437" s="484"/>
      <c r="L437" s="200" t="s">
        <v>1406</v>
      </c>
      <c r="M437" s="484"/>
      <c r="N437" s="484"/>
      <c r="O437" s="484"/>
      <c r="P437" s="484"/>
      <c r="Q437" s="484"/>
      <c r="R437" s="484"/>
      <c r="S437" s="484"/>
      <c r="T437" s="484"/>
      <c r="U437" s="484"/>
      <c r="V437" s="484"/>
      <c r="W437" s="484"/>
      <c r="X437" s="484"/>
      <c r="Y437" s="484"/>
    </row>
    <row r="438">
      <c r="A438" s="226" t="s">
        <v>1931</v>
      </c>
      <c r="B438" s="484"/>
      <c r="C438" s="484"/>
      <c r="D438" s="484"/>
      <c r="E438" s="484"/>
      <c r="F438" s="484"/>
      <c r="G438" s="426" t="s">
        <v>720</v>
      </c>
      <c r="H438" s="484"/>
      <c r="I438" s="484"/>
      <c r="J438" s="484"/>
      <c r="K438" s="484"/>
      <c r="L438" s="200" t="s">
        <v>237</v>
      </c>
      <c r="M438" s="484"/>
      <c r="N438" s="484"/>
      <c r="O438" s="484"/>
      <c r="P438" s="484"/>
      <c r="Q438" s="484"/>
      <c r="R438" s="484"/>
      <c r="S438" s="484"/>
      <c r="T438" s="484"/>
      <c r="U438" s="484"/>
      <c r="V438" s="484"/>
      <c r="W438" s="484"/>
      <c r="X438" s="484"/>
      <c r="Y438" s="484"/>
    </row>
    <row r="439">
      <c r="A439" s="226" t="s">
        <v>697</v>
      </c>
      <c r="B439" s="484"/>
      <c r="C439" s="484"/>
      <c r="D439" s="484"/>
      <c r="E439" s="484"/>
      <c r="F439" s="484"/>
      <c r="G439" s="426" t="s">
        <v>512</v>
      </c>
      <c r="H439" s="484"/>
      <c r="I439" s="484"/>
      <c r="J439" s="484"/>
      <c r="K439" s="484"/>
      <c r="L439" s="200" t="s">
        <v>123</v>
      </c>
      <c r="M439" s="484"/>
      <c r="N439" s="484"/>
      <c r="O439" s="484"/>
      <c r="P439" s="484"/>
      <c r="Q439" s="484"/>
      <c r="R439" s="484"/>
      <c r="S439" s="484"/>
      <c r="T439" s="484"/>
      <c r="U439" s="484"/>
      <c r="V439" s="484"/>
      <c r="W439" s="484"/>
      <c r="X439" s="484"/>
      <c r="Y439" s="484"/>
    </row>
    <row r="440">
      <c r="A440" s="226" t="s">
        <v>516</v>
      </c>
      <c r="B440" s="484"/>
      <c r="C440" s="484"/>
      <c r="D440" s="484"/>
      <c r="E440" s="484"/>
      <c r="F440" s="484"/>
      <c r="G440" s="426" t="s">
        <v>2388</v>
      </c>
      <c r="H440" s="484"/>
      <c r="I440" s="484"/>
      <c r="J440" s="484"/>
      <c r="K440" s="484"/>
      <c r="L440" s="200" t="s">
        <v>293</v>
      </c>
      <c r="M440" s="484"/>
      <c r="N440" s="484"/>
      <c r="O440" s="484"/>
      <c r="P440" s="484"/>
      <c r="Q440" s="484"/>
      <c r="R440" s="484"/>
      <c r="S440" s="484"/>
      <c r="T440" s="484"/>
      <c r="U440" s="484"/>
      <c r="V440" s="484"/>
      <c r="W440" s="484"/>
      <c r="X440" s="484"/>
      <c r="Y440" s="484"/>
    </row>
    <row r="441">
      <c r="A441" s="226" t="s">
        <v>123</v>
      </c>
      <c r="B441" s="484"/>
      <c r="C441" s="484"/>
      <c r="D441" s="484"/>
      <c r="E441" s="484"/>
      <c r="F441" s="484"/>
      <c r="G441" s="426" t="s">
        <v>1586</v>
      </c>
      <c r="H441" s="484"/>
      <c r="I441" s="484"/>
      <c r="J441" s="484"/>
      <c r="K441" s="484"/>
      <c r="L441" s="200" t="s">
        <v>1045</v>
      </c>
      <c r="M441" s="484"/>
      <c r="N441" s="484"/>
      <c r="O441" s="484"/>
      <c r="P441" s="484"/>
      <c r="Q441" s="484"/>
      <c r="R441" s="484"/>
      <c r="S441" s="484"/>
      <c r="T441" s="484"/>
      <c r="U441" s="484"/>
      <c r="V441" s="484"/>
      <c r="W441" s="484"/>
      <c r="X441" s="484"/>
      <c r="Y441" s="484"/>
    </row>
    <row r="442">
      <c r="A442" s="226" t="s">
        <v>311</v>
      </c>
      <c r="B442" s="484"/>
      <c r="C442" s="484"/>
      <c r="D442" s="484"/>
      <c r="E442" s="484"/>
      <c r="F442" s="484"/>
      <c r="G442" s="426" t="s">
        <v>1072</v>
      </c>
      <c r="H442" s="484"/>
      <c r="I442" s="484"/>
      <c r="J442" s="484"/>
      <c r="K442" s="484"/>
      <c r="L442" s="200" t="s">
        <v>1106</v>
      </c>
      <c r="M442" s="484"/>
      <c r="N442" s="484"/>
      <c r="O442" s="484"/>
      <c r="P442" s="484"/>
      <c r="Q442" s="484"/>
      <c r="R442" s="484"/>
      <c r="S442" s="484"/>
      <c r="T442" s="484"/>
      <c r="U442" s="484"/>
      <c r="V442" s="484"/>
      <c r="W442" s="484"/>
      <c r="X442" s="484"/>
      <c r="Y442" s="484"/>
    </row>
    <row r="443">
      <c r="A443" s="226" t="s">
        <v>385</v>
      </c>
      <c r="B443" s="484"/>
      <c r="C443" s="484"/>
      <c r="D443" s="484"/>
      <c r="E443" s="484"/>
      <c r="F443" s="484"/>
      <c r="G443" s="426" t="s">
        <v>1072</v>
      </c>
      <c r="H443" s="484"/>
      <c r="I443" s="484"/>
      <c r="J443" s="484"/>
      <c r="K443" s="484"/>
      <c r="L443" s="200" t="s">
        <v>1425</v>
      </c>
      <c r="M443" s="484"/>
      <c r="N443" s="484"/>
      <c r="O443" s="484"/>
      <c r="P443" s="484"/>
      <c r="Q443" s="484"/>
      <c r="R443" s="484"/>
      <c r="S443" s="484"/>
      <c r="T443" s="484"/>
      <c r="U443" s="484"/>
      <c r="V443" s="484"/>
      <c r="W443" s="484"/>
      <c r="X443" s="484"/>
      <c r="Y443" s="484"/>
    </row>
    <row r="444">
      <c r="A444" s="226" t="s">
        <v>436</v>
      </c>
      <c r="B444" s="484"/>
      <c r="C444" s="484"/>
      <c r="D444" s="484"/>
      <c r="E444" s="484"/>
      <c r="F444" s="484"/>
      <c r="G444" s="426" t="s">
        <v>325</v>
      </c>
      <c r="H444" s="484"/>
      <c r="I444" s="484"/>
      <c r="J444" s="484"/>
      <c r="K444" s="484"/>
      <c r="L444" s="200" t="s">
        <v>123</v>
      </c>
      <c r="M444" s="484"/>
      <c r="N444" s="484"/>
      <c r="O444" s="484"/>
      <c r="P444" s="484"/>
      <c r="Q444" s="484"/>
      <c r="R444" s="484"/>
      <c r="S444" s="484"/>
      <c r="T444" s="484"/>
      <c r="U444" s="484"/>
      <c r="V444" s="484"/>
      <c r="W444" s="484"/>
      <c r="X444" s="484"/>
      <c r="Y444" s="484"/>
    </row>
    <row r="445">
      <c r="A445" s="226" t="s">
        <v>130</v>
      </c>
      <c r="B445" s="484"/>
      <c r="C445" s="484"/>
      <c r="D445" s="484"/>
      <c r="E445" s="484"/>
      <c r="F445" s="484"/>
      <c r="G445" s="426" t="s">
        <v>2428</v>
      </c>
      <c r="H445" s="484"/>
      <c r="I445" s="484"/>
      <c r="J445" s="484"/>
      <c r="K445" s="484"/>
      <c r="L445" s="200" t="s">
        <v>219</v>
      </c>
      <c r="M445" s="484"/>
      <c r="N445" s="484"/>
      <c r="O445" s="484"/>
      <c r="P445" s="484"/>
      <c r="Q445" s="484"/>
      <c r="R445" s="484"/>
      <c r="S445" s="484"/>
      <c r="T445" s="484"/>
      <c r="U445" s="484"/>
      <c r="V445" s="484"/>
      <c r="W445" s="484"/>
      <c r="X445" s="484"/>
      <c r="Y445" s="484"/>
    </row>
    <row r="446">
      <c r="A446" s="226" t="s">
        <v>123</v>
      </c>
      <c r="B446" s="484"/>
      <c r="C446" s="484"/>
      <c r="D446" s="484"/>
      <c r="E446" s="484"/>
      <c r="F446" s="484"/>
      <c r="G446" s="426" t="s">
        <v>925</v>
      </c>
      <c r="H446" s="484"/>
      <c r="I446" s="484"/>
      <c r="J446" s="484"/>
      <c r="K446" s="484"/>
      <c r="L446" s="200" t="s">
        <v>595</v>
      </c>
      <c r="M446" s="484"/>
      <c r="N446" s="484"/>
      <c r="O446" s="484"/>
      <c r="P446" s="484"/>
      <c r="Q446" s="484"/>
      <c r="R446" s="484"/>
      <c r="S446" s="484"/>
      <c r="T446" s="484"/>
      <c r="U446" s="484"/>
      <c r="V446" s="484"/>
      <c r="W446" s="484"/>
      <c r="X446" s="484"/>
      <c r="Y446" s="484"/>
    </row>
    <row r="447">
      <c r="A447" s="226" t="s">
        <v>494</v>
      </c>
      <c r="B447" s="484"/>
      <c r="C447" s="484"/>
      <c r="D447" s="484"/>
      <c r="E447" s="484"/>
      <c r="F447" s="484"/>
      <c r="G447" s="426" t="s">
        <v>2205</v>
      </c>
      <c r="H447" s="484"/>
      <c r="I447" s="484"/>
      <c r="J447" s="484"/>
      <c r="K447" s="484"/>
      <c r="L447" s="200" t="s">
        <v>1242</v>
      </c>
      <c r="M447" s="484"/>
      <c r="N447" s="484"/>
      <c r="O447" s="484"/>
      <c r="P447" s="484"/>
      <c r="Q447" s="484"/>
      <c r="R447" s="484"/>
      <c r="S447" s="484"/>
      <c r="T447" s="484"/>
      <c r="U447" s="484"/>
      <c r="V447" s="484"/>
      <c r="W447" s="484"/>
      <c r="X447" s="484"/>
      <c r="Y447" s="484"/>
    </row>
    <row r="448">
      <c r="A448" s="226" t="s">
        <v>1990</v>
      </c>
      <c r="B448" s="484"/>
      <c r="C448" s="484"/>
      <c r="D448" s="484"/>
      <c r="E448" s="484"/>
      <c r="F448" s="484"/>
      <c r="G448" s="426" t="s">
        <v>461</v>
      </c>
      <c r="H448" s="484"/>
      <c r="I448" s="484"/>
      <c r="J448" s="484"/>
      <c r="K448" s="484"/>
      <c r="L448" s="200" t="s">
        <v>1425</v>
      </c>
      <c r="M448" s="484"/>
      <c r="N448" s="484"/>
      <c r="O448" s="484"/>
      <c r="P448" s="484"/>
      <c r="Q448" s="484"/>
      <c r="R448" s="484"/>
      <c r="S448" s="484"/>
      <c r="T448" s="484"/>
      <c r="U448" s="484"/>
      <c r="V448" s="484"/>
      <c r="W448" s="484"/>
      <c r="X448" s="484"/>
      <c r="Y448" s="484"/>
    </row>
    <row r="449">
      <c r="A449" s="226" t="s">
        <v>1994</v>
      </c>
      <c r="B449" s="484"/>
      <c r="C449" s="484"/>
      <c r="D449" s="484"/>
      <c r="E449" s="484"/>
      <c r="F449" s="484"/>
      <c r="G449" s="426" t="s">
        <v>333</v>
      </c>
      <c r="H449" s="484"/>
      <c r="I449" s="484"/>
      <c r="J449" s="484"/>
      <c r="K449" s="484"/>
      <c r="L449" s="200" t="s">
        <v>1284</v>
      </c>
      <c r="M449" s="484"/>
      <c r="N449" s="484"/>
      <c r="O449" s="484"/>
      <c r="P449" s="484"/>
      <c r="Q449" s="484"/>
      <c r="R449" s="484"/>
      <c r="S449" s="484"/>
      <c r="T449" s="484"/>
      <c r="U449" s="484"/>
      <c r="V449" s="484"/>
      <c r="W449" s="484"/>
      <c r="X449" s="484"/>
      <c r="Y449" s="484"/>
    </row>
    <row r="450">
      <c r="A450" s="226" t="s">
        <v>1994</v>
      </c>
      <c r="B450" s="484"/>
      <c r="C450" s="484"/>
      <c r="D450" s="484"/>
      <c r="E450" s="484"/>
      <c r="F450" s="484"/>
      <c r="G450" s="426" t="s">
        <v>366</v>
      </c>
      <c r="H450" s="484"/>
      <c r="I450" s="484"/>
      <c r="J450" s="484"/>
      <c r="K450" s="484"/>
      <c r="L450" s="200" t="s">
        <v>1461</v>
      </c>
      <c r="M450" s="484"/>
      <c r="N450" s="484"/>
      <c r="O450" s="484"/>
      <c r="P450" s="484"/>
      <c r="Q450" s="484"/>
      <c r="R450" s="484"/>
      <c r="S450" s="484"/>
      <c r="T450" s="484"/>
      <c r="U450" s="484"/>
      <c r="V450" s="484"/>
      <c r="W450" s="484"/>
      <c r="X450" s="484"/>
      <c r="Y450" s="484"/>
    </row>
    <row r="451">
      <c r="A451" s="226" t="s">
        <v>237</v>
      </c>
      <c r="B451" s="484"/>
      <c r="C451" s="484"/>
      <c r="D451" s="484"/>
      <c r="E451" s="484"/>
      <c r="F451" s="484"/>
      <c r="G451" s="426" t="s">
        <v>245</v>
      </c>
      <c r="H451" s="484"/>
      <c r="I451" s="484"/>
      <c r="J451" s="484"/>
      <c r="K451" s="484"/>
      <c r="L451" s="200" t="s">
        <v>1461</v>
      </c>
      <c r="M451" s="484"/>
      <c r="N451" s="484"/>
      <c r="O451" s="484"/>
      <c r="P451" s="484"/>
      <c r="Q451" s="484"/>
      <c r="R451" s="484"/>
      <c r="S451" s="484"/>
      <c r="T451" s="484"/>
      <c r="U451" s="484"/>
      <c r="V451" s="484"/>
      <c r="W451" s="484"/>
      <c r="X451" s="484"/>
      <c r="Y451" s="484"/>
    </row>
    <row r="452">
      <c r="A452" s="226" t="s">
        <v>123</v>
      </c>
      <c r="B452" s="484"/>
      <c r="C452" s="484"/>
      <c r="D452" s="484"/>
      <c r="E452" s="484"/>
      <c r="F452" s="484"/>
      <c r="G452" s="426" t="s">
        <v>201</v>
      </c>
      <c r="H452" s="484"/>
      <c r="I452" s="484"/>
      <c r="J452" s="484"/>
      <c r="K452" s="484"/>
      <c r="L452" s="200" t="s">
        <v>366</v>
      </c>
      <c r="M452" s="484"/>
      <c r="N452" s="484"/>
      <c r="O452" s="484"/>
      <c r="P452" s="484"/>
      <c r="Q452" s="484"/>
      <c r="R452" s="484"/>
      <c r="S452" s="484"/>
      <c r="T452" s="484"/>
      <c r="U452" s="484"/>
      <c r="V452" s="484"/>
      <c r="W452" s="484"/>
      <c r="X452" s="484"/>
      <c r="Y452" s="484"/>
    </row>
    <row r="453">
      <c r="A453" s="226" t="s">
        <v>104</v>
      </c>
      <c r="B453" s="484"/>
      <c r="C453" s="484"/>
      <c r="D453" s="484"/>
      <c r="E453" s="484"/>
      <c r="F453" s="484"/>
      <c r="G453" s="426" t="s">
        <v>2492</v>
      </c>
      <c r="H453" s="484"/>
      <c r="I453" s="484"/>
      <c r="J453" s="484"/>
      <c r="K453" s="484"/>
      <c r="L453" s="200" t="s">
        <v>37</v>
      </c>
      <c r="M453" s="484"/>
      <c r="N453" s="484"/>
      <c r="O453" s="484"/>
      <c r="P453" s="484"/>
      <c r="Q453" s="484"/>
      <c r="R453" s="484"/>
      <c r="S453" s="484"/>
      <c r="T453" s="484"/>
      <c r="U453" s="484"/>
      <c r="V453" s="484"/>
      <c r="W453" s="484"/>
      <c r="X453" s="484"/>
      <c r="Y453" s="484"/>
    </row>
    <row r="454">
      <c r="A454" s="226" t="s">
        <v>219</v>
      </c>
      <c r="B454" s="484"/>
      <c r="C454" s="484"/>
      <c r="D454" s="484"/>
      <c r="E454" s="484"/>
      <c r="F454" s="484"/>
      <c r="G454" s="426" t="s">
        <v>162</v>
      </c>
      <c r="H454" s="484"/>
      <c r="I454" s="484"/>
      <c r="J454" s="484"/>
      <c r="K454" s="484"/>
      <c r="L454" s="200" t="s">
        <v>37</v>
      </c>
      <c r="M454" s="484"/>
      <c r="N454" s="484"/>
      <c r="O454" s="484"/>
      <c r="P454" s="484"/>
      <c r="Q454" s="484"/>
      <c r="R454" s="484"/>
      <c r="S454" s="484"/>
      <c r="T454" s="484"/>
      <c r="U454" s="484"/>
      <c r="V454" s="484"/>
      <c r="W454" s="484"/>
      <c r="X454" s="484"/>
      <c r="Y454" s="484"/>
    </row>
    <row r="455">
      <c r="A455" s="226" t="s">
        <v>1539</v>
      </c>
      <c r="B455" s="484"/>
      <c r="C455" s="484"/>
      <c r="D455" s="484"/>
      <c r="E455" s="484"/>
      <c r="F455" s="484"/>
      <c r="G455" s="426" t="s">
        <v>2524</v>
      </c>
      <c r="H455" s="484"/>
      <c r="I455" s="484"/>
      <c r="J455" s="484"/>
      <c r="K455" s="484"/>
      <c r="L455" s="200" t="s">
        <v>150</v>
      </c>
      <c r="M455" s="484"/>
      <c r="N455" s="484"/>
      <c r="O455" s="484"/>
      <c r="P455" s="484"/>
      <c r="Q455" s="484"/>
      <c r="R455" s="484"/>
      <c r="S455" s="484"/>
      <c r="T455" s="484"/>
      <c r="U455" s="484"/>
      <c r="V455" s="484"/>
      <c r="W455" s="484"/>
      <c r="X455" s="484"/>
      <c r="Y455" s="484"/>
    </row>
    <row r="456">
      <c r="A456" s="226" t="s">
        <v>487</v>
      </c>
      <c r="B456" s="484"/>
      <c r="C456" s="484"/>
      <c r="D456" s="484"/>
      <c r="E456" s="484"/>
      <c r="F456" s="484"/>
      <c r="G456" s="426" t="s">
        <v>574</v>
      </c>
      <c r="H456" s="484"/>
      <c r="I456" s="484"/>
      <c r="J456" s="484"/>
      <c r="K456" s="484"/>
      <c r="L456" s="200" t="s">
        <v>368</v>
      </c>
      <c r="M456" s="484"/>
      <c r="N456" s="484"/>
      <c r="O456" s="484"/>
      <c r="P456" s="484"/>
      <c r="Q456" s="484"/>
      <c r="R456" s="484"/>
      <c r="S456" s="484"/>
      <c r="T456" s="484"/>
      <c r="U456" s="484"/>
      <c r="V456" s="484"/>
      <c r="W456" s="484"/>
      <c r="X456" s="484"/>
      <c r="Y456" s="484"/>
    </row>
    <row r="457">
      <c r="A457" s="226" t="s">
        <v>123</v>
      </c>
      <c r="B457" s="484"/>
      <c r="C457" s="484"/>
      <c r="D457" s="484"/>
      <c r="E457" s="484"/>
      <c r="F457" s="484"/>
      <c r="G457" s="426" t="s">
        <v>1994</v>
      </c>
      <c r="H457" s="484"/>
      <c r="I457" s="484"/>
      <c r="J457" s="484"/>
      <c r="K457" s="484"/>
      <c r="L457" s="200" t="s">
        <v>368</v>
      </c>
      <c r="M457" s="484"/>
      <c r="N457" s="484"/>
      <c r="O457" s="484"/>
      <c r="P457" s="484"/>
      <c r="Q457" s="484"/>
      <c r="R457" s="484"/>
      <c r="S457" s="484"/>
      <c r="T457" s="484"/>
      <c r="U457" s="484"/>
      <c r="V457" s="484"/>
      <c r="W457" s="484"/>
      <c r="X457" s="484"/>
      <c r="Y457" s="484"/>
    </row>
    <row r="458">
      <c r="A458" s="226" t="s">
        <v>760</v>
      </c>
      <c r="B458" s="484"/>
      <c r="C458" s="484"/>
      <c r="D458" s="484"/>
      <c r="E458" s="484"/>
      <c r="F458" s="484"/>
      <c r="G458" s="426" t="s">
        <v>333</v>
      </c>
      <c r="H458" s="484"/>
      <c r="I458" s="484"/>
      <c r="J458" s="484"/>
      <c r="K458" s="484"/>
      <c r="L458" s="200" t="s">
        <v>368</v>
      </c>
      <c r="M458" s="484"/>
      <c r="N458" s="484"/>
      <c r="O458" s="484"/>
      <c r="P458" s="484"/>
      <c r="Q458" s="484"/>
      <c r="R458" s="484"/>
      <c r="S458" s="484"/>
      <c r="T458" s="484"/>
      <c r="U458" s="484"/>
      <c r="V458" s="484"/>
      <c r="W458" s="484"/>
      <c r="X458" s="484"/>
      <c r="Y458" s="484"/>
    </row>
    <row r="459">
      <c r="A459" s="226" t="s">
        <v>333</v>
      </c>
      <c r="B459" s="484"/>
      <c r="C459" s="484"/>
      <c r="D459" s="484"/>
      <c r="E459" s="484"/>
      <c r="F459" s="484"/>
      <c r="G459" s="426" t="s">
        <v>2359</v>
      </c>
      <c r="H459" s="484"/>
      <c r="I459" s="484"/>
      <c r="J459" s="484"/>
      <c r="K459" s="484"/>
      <c r="L459" s="200" t="s">
        <v>148</v>
      </c>
      <c r="M459" s="484"/>
      <c r="N459" s="484"/>
      <c r="O459" s="484"/>
      <c r="P459" s="484"/>
      <c r="Q459" s="484"/>
      <c r="R459" s="484"/>
      <c r="S459" s="484"/>
      <c r="T459" s="484"/>
      <c r="U459" s="484"/>
      <c r="V459" s="484"/>
      <c r="W459" s="484"/>
      <c r="X459" s="484"/>
      <c r="Y459" s="484"/>
    </row>
    <row r="460">
      <c r="A460" s="226" t="s">
        <v>715</v>
      </c>
      <c r="B460" s="484"/>
      <c r="C460" s="484"/>
      <c r="D460" s="484"/>
      <c r="E460" s="484"/>
      <c r="F460" s="484"/>
      <c r="G460" s="426" t="s">
        <v>2266</v>
      </c>
      <c r="H460" s="484"/>
      <c r="I460" s="484"/>
      <c r="J460" s="484"/>
      <c r="K460" s="484"/>
      <c r="L460" s="200" t="s">
        <v>1489</v>
      </c>
      <c r="M460" s="484"/>
      <c r="N460" s="484"/>
      <c r="O460" s="484"/>
      <c r="P460" s="484"/>
      <c r="Q460" s="484"/>
      <c r="R460" s="484"/>
      <c r="S460" s="484"/>
      <c r="T460" s="484"/>
      <c r="U460" s="484"/>
      <c r="V460" s="484"/>
      <c r="W460" s="484"/>
      <c r="X460" s="484"/>
      <c r="Y460" s="484"/>
    </row>
    <row r="461">
      <c r="A461" s="226" t="s">
        <v>1280</v>
      </c>
      <c r="B461" s="484"/>
      <c r="C461" s="484"/>
      <c r="D461" s="484"/>
      <c r="E461" s="484"/>
      <c r="F461" s="484"/>
      <c r="G461" s="426" t="s">
        <v>237</v>
      </c>
      <c r="H461" s="484"/>
      <c r="I461" s="484"/>
      <c r="J461" s="484"/>
      <c r="K461" s="484"/>
      <c r="L461" s="423" t="s">
        <v>685</v>
      </c>
      <c r="M461" s="484"/>
      <c r="N461" s="484"/>
      <c r="O461" s="484"/>
      <c r="P461" s="484"/>
      <c r="Q461" s="484"/>
      <c r="R461" s="484"/>
      <c r="S461" s="484"/>
      <c r="T461" s="484"/>
      <c r="U461" s="484"/>
      <c r="V461" s="484"/>
      <c r="W461" s="484"/>
      <c r="X461" s="484"/>
      <c r="Y461" s="484"/>
    </row>
    <row r="462">
      <c r="A462" s="226" t="s">
        <v>333</v>
      </c>
      <c r="B462" s="484"/>
      <c r="C462" s="484"/>
      <c r="D462" s="484"/>
      <c r="E462" s="484"/>
      <c r="F462" s="484"/>
      <c r="G462" s="426" t="s">
        <v>237</v>
      </c>
      <c r="H462" s="484"/>
      <c r="I462" s="484"/>
      <c r="J462" s="484"/>
      <c r="K462" s="484"/>
      <c r="L462" s="200" t="s">
        <v>368</v>
      </c>
      <c r="M462" s="484"/>
      <c r="N462" s="484"/>
      <c r="O462" s="484"/>
      <c r="P462" s="484"/>
      <c r="Q462" s="484"/>
      <c r="R462" s="484"/>
      <c r="S462" s="484"/>
      <c r="T462" s="484"/>
      <c r="U462" s="484"/>
      <c r="V462" s="484"/>
      <c r="W462" s="484"/>
      <c r="X462" s="484"/>
      <c r="Y462" s="484"/>
    </row>
    <row r="463">
      <c r="A463" s="226" t="s">
        <v>2045</v>
      </c>
      <c r="B463" s="484"/>
      <c r="C463" s="484"/>
      <c r="D463" s="484"/>
      <c r="E463" s="484"/>
      <c r="F463" s="484"/>
      <c r="G463" s="426" t="s">
        <v>78</v>
      </c>
      <c r="H463" s="484"/>
      <c r="I463" s="484"/>
      <c r="J463" s="484"/>
      <c r="K463" s="484"/>
      <c r="L463" s="200" t="s">
        <v>1503</v>
      </c>
      <c r="M463" s="484"/>
      <c r="N463" s="484"/>
      <c r="O463" s="484"/>
      <c r="P463" s="484"/>
      <c r="Q463" s="484"/>
      <c r="R463" s="484"/>
      <c r="S463" s="484"/>
      <c r="T463" s="484"/>
      <c r="U463" s="484"/>
      <c r="V463" s="484"/>
      <c r="W463" s="484"/>
      <c r="X463" s="484"/>
      <c r="Y463" s="484"/>
    </row>
    <row r="464">
      <c r="A464" s="226" t="s">
        <v>2045</v>
      </c>
      <c r="B464" s="484"/>
      <c r="C464" s="484"/>
      <c r="D464" s="484"/>
      <c r="E464" s="484"/>
      <c r="F464" s="484"/>
      <c r="G464" s="426" t="s">
        <v>1406</v>
      </c>
      <c r="H464" s="484"/>
      <c r="I464" s="484"/>
      <c r="J464" s="484"/>
      <c r="K464" s="484"/>
      <c r="L464" s="200" t="s">
        <v>368</v>
      </c>
      <c r="M464" s="484"/>
      <c r="N464" s="484"/>
      <c r="O464" s="484"/>
      <c r="P464" s="484"/>
      <c r="Q464" s="484"/>
      <c r="R464" s="484"/>
      <c r="S464" s="484"/>
      <c r="T464" s="484"/>
      <c r="U464" s="484"/>
      <c r="V464" s="484"/>
      <c r="W464" s="484"/>
      <c r="X464" s="484"/>
      <c r="Y464" s="484"/>
    </row>
    <row r="465">
      <c r="A465" s="226" t="s">
        <v>272</v>
      </c>
      <c r="B465" s="484"/>
      <c r="C465" s="484"/>
      <c r="D465" s="484"/>
      <c r="E465" s="484"/>
      <c r="F465" s="484"/>
      <c r="G465" s="426" t="s">
        <v>710</v>
      </c>
      <c r="H465" s="484"/>
      <c r="I465" s="484"/>
      <c r="J465" s="484"/>
      <c r="K465" s="484"/>
      <c r="L465" s="200" t="s">
        <v>240</v>
      </c>
      <c r="M465" s="484"/>
      <c r="N465" s="484"/>
      <c r="O465" s="484"/>
      <c r="P465" s="484"/>
      <c r="Q465" s="484"/>
      <c r="R465" s="484"/>
      <c r="S465" s="484"/>
      <c r="T465" s="484"/>
      <c r="U465" s="484"/>
      <c r="V465" s="484"/>
      <c r="W465" s="484"/>
      <c r="X465" s="484"/>
      <c r="Y465" s="484"/>
    </row>
    <row r="466">
      <c r="A466" s="226" t="s">
        <v>368</v>
      </c>
      <c r="B466" s="484"/>
      <c r="C466" s="484"/>
      <c r="D466" s="484"/>
      <c r="E466" s="484"/>
      <c r="F466" s="484"/>
      <c r="G466" s="426" t="s">
        <v>1242</v>
      </c>
      <c r="H466" s="484"/>
      <c r="I466" s="484"/>
      <c r="J466" s="484"/>
      <c r="K466" s="484"/>
      <c r="L466" s="200" t="s">
        <v>368</v>
      </c>
      <c r="M466" s="484"/>
      <c r="N466" s="484"/>
      <c r="O466" s="484"/>
      <c r="P466" s="484"/>
      <c r="Q466" s="484"/>
      <c r="R466" s="484"/>
      <c r="S466" s="484"/>
      <c r="T466" s="484"/>
      <c r="U466" s="484"/>
      <c r="V466" s="484"/>
      <c r="W466" s="484"/>
      <c r="X466" s="484"/>
      <c r="Y466" s="484"/>
    </row>
    <row r="467">
      <c r="A467" s="226" t="s">
        <v>697</v>
      </c>
      <c r="B467" s="484"/>
      <c r="C467" s="484"/>
      <c r="D467" s="484"/>
      <c r="E467" s="484"/>
      <c r="F467" s="484"/>
      <c r="G467" s="426" t="s">
        <v>760</v>
      </c>
      <c r="H467" s="484"/>
      <c r="I467" s="484"/>
      <c r="J467" s="484"/>
      <c r="K467" s="484"/>
      <c r="L467" s="200" t="s">
        <v>245</v>
      </c>
      <c r="M467" s="484"/>
      <c r="N467" s="484"/>
      <c r="O467" s="484"/>
      <c r="P467" s="484"/>
      <c r="Q467" s="484"/>
      <c r="R467" s="484"/>
      <c r="S467" s="484"/>
      <c r="T467" s="484"/>
      <c r="U467" s="484"/>
      <c r="V467" s="484"/>
      <c r="W467" s="484"/>
      <c r="X467" s="484"/>
      <c r="Y467" s="484"/>
    </row>
    <row r="468">
      <c r="A468" s="226" t="s">
        <v>245</v>
      </c>
      <c r="B468" s="484"/>
      <c r="C468" s="484"/>
      <c r="D468" s="484"/>
      <c r="E468" s="484"/>
      <c r="F468" s="484"/>
      <c r="G468" s="426" t="s">
        <v>1116</v>
      </c>
      <c r="H468" s="484"/>
      <c r="I468" s="484"/>
      <c r="J468" s="484"/>
      <c r="K468" s="484"/>
      <c r="L468" s="200" t="s">
        <v>385</v>
      </c>
      <c r="M468" s="484"/>
      <c r="N468" s="484"/>
      <c r="O468" s="484"/>
      <c r="P468" s="484"/>
      <c r="Q468" s="484"/>
      <c r="R468" s="484"/>
      <c r="S468" s="484"/>
      <c r="T468" s="484"/>
      <c r="U468" s="484"/>
      <c r="V468" s="484"/>
      <c r="W468" s="484"/>
      <c r="X468" s="484"/>
      <c r="Y468" s="484"/>
    </row>
    <row r="469">
      <c r="A469" s="226" t="s">
        <v>245</v>
      </c>
      <c r="B469" s="484"/>
      <c r="C469" s="484"/>
      <c r="D469" s="484"/>
      <c r="E469" s="484"/>
      <c r="F469" s="484"/>
      <c r="G469" s="426" t="s">
        <v>1041</v>
      </c>
      <c r="H469" s="484"/>
      <c r="I469" s="484"/>
      <c r="J469" s="484"/>
      <c r="K469" s="484"/>
      <c r="L469" s="200" t="s">
        <v>123</v>
      </c>
      <c r="M469" s="484"/>
      <c r="N469" s="484"/>
      <c r="O469" s="484"/>
      <c r="P469" s="484"/>
      <c r="Q469" s="484"/>
      <c r="R469" s="484"/>
      <c r="S469" s="484"/>
      <c r="T469" s="484"/>
      <c r="U469" s="484"/>
      <c r="V469" s="484"/>
      <c r="W469" s="484"/>
      <c r="X469" s="484"/>
      <c r="Y469" s="484"/>
    </row>
    <row r="470">
      <c r="A470" s="226" t="s">
        <v>141</v>
      </c>
      <c r="B470" s="484"/>
      <c r="C470" s="484"/>
      <c r="D470" s="484"/>
      <c r="E470" s="484"/>
      <c r="F470" s="484"/>
      <c r="G470" s="426" t="s">
        <v>153</v>
      </c>
      <c r="H470" s="484"/>
      <c r="I470" s="484"/>
      <c r="J470" s="484"/>
      <c r="K470" s="484"/>
      <c r="L470" s="200" t="s">
        <v>482</v>
      </c>
      <c r="M470" s="484"/>
      <c r="N470" s="484"/>
      <c r="O470" s="484"/>
      <c r="P470" s="484"/>
      <c r="Q470" s="484"/>
      <c r="R470" s="484"/>
      <c r="S470" s="484"/>
      <c r="T470" s="484"/>
      <c r="U470" s="484"/>
      <c r="V470" s="484"/>
      <c r="W470" s="484"/>
      <c r="X470" s="484"/>
      <c r="Y470" s="484"/>
    </row>
    <row r="471">
      <c r="A471" s="226" t="s">
        <v>431</v>
      </c>
      <c r="B471" s="484"/>
      <c r="C471" s="484"/>
      <c r="D471" s="484"/>
      <c r="E471" s="484"/>
      <c r="F471" s="484"/>
      <c r="G471" s="426" t="s">
        <v>416</v>
      </c>
      <c r="H471" s="484"/>
      <c r="I471" s="484"/>
      <c r="J471" s="484"/>
      <c r="K471" s="484"/>
      <c r="L471" s="414" t="s">
        <v>1527</v>
      </c>
      <c r="M471" s="484"/>
      <c r="N471" s="484"/>
      <c r="O471" s="484"/>
      <c r="P471" s="484"/>
      <c r="Q471" s="484"/>
      <c r="R471" s="484"/>
      <c r="S471" s="484"/>
      <c r="T471" s="484"/>
      <c r="U471" s="484"/>
      <c r="V471" s="484"/>
      <c r="W471" s="484"/>
      <c r="X471" s="484"/>
      <c r="Y471" s="484"/>
    </row>
    <row r="472">
      <c r="A472" s="226" t="s">
        <v>130</v>
      </c>
      <c r="B472" s="484"/>
      <c r="C472" s="484"/>
      <c r="D472" s="484"/>
      <c r="E472" s="484"/>
      <c r="F472" s="484"/>
      <c r="G472" s="426" t="s">
        <v>416</v>
      </c>
      <c r="H472" s="484"/>
      <c r="I472" s="484"/>
      <c r="J472" s="484"/>
      <c r="K472" s="484"/>
      <c r="L472" s="200" t="s">
        <v>308</v>
      </c>
      <c r="M472" s="484"/>
      <c r="N472" s="484"/>
      <c r="O472" s="484"/>
      <c r="P472" s="484"/>
      <c r="Q472" s="484"/>
      <c r="R472" s="484"/>
      <c r="S472" s="484"/>
      <c r="T472" s="484"/>
      <c r="U472" s="484"/>
      <c r="V472" s="484"/>
      <c r="W472" s="484"/>
      <c r="X472" s="484"/>
      <c r="Y472" s="484"/>
    </row>
    <row r="473">
      <c r="A473" s="226" t="s">
        <v>148</v>
      </c>
      <c r="B473" s="484"/>
      <c r="C473" s="484"/>
      <c r="D473" s="484"/>
      <c r="E473" s="484"/>
      <c r="F473" s="484"/>
      <c r="G473" s="426" t="s">
        <v>416</v>
      </c>
      <c r="H473" s="484"/>
      <c r="I473" s="484"/>
      <c r="J473" s="484"/>
      <c r="K473" s="484"/>
      <c r="L473" s="200" t="s">
        <v>1532</v>
      </c>
      <c r="M473" s="484"/>
      <c r="N473" s="484"/>
      <c r="O473" s="484"/>
      <c r="P473" s="484"/>
      <c r="Q473" s="484"/>
      <c r="R473" s="484"/>
      <c r="S473" s="484"/>
      <c r="T473" s="484"/>
      <c r="U473" s="484"/>
      <c r="V473" s="484"/>
      <c r="W473" s="484"/>
      <c r="X473" s="484"/>
      <c r="Y473" s="484"/>
    </row>
    <row r="474">
      <c r="A474" s="226" t="s">
        <v>104</v>
      </c>
      <c r="B474" s="484"/>
      <c r="C474" s="484"/>
      <c r="D474" s="484"/>
      <c r="E474" s="484"/>
      <c r="F474" s="484"/>
      <c r="G474" s="426" t="s">
        <v>715</v>
      </c>
      <c r="H474" s="484"/>
      <c r="I474" s="484"/>
      <c r="J474" s="484"/>
      <c r="K474" s="484"/>
      <c r="L474" s="200" t="s">
        <v>1539</v>
      </c>
      <c r="M474" s="484"/>
      <c r="N474" s="484"/>
      <c r="O474" s="484"/>
      <c r="P474" s="484"/>
      <c r="Q474" s="484"/>
      <c r="R474" s="484"/>
      <c r="S474" s="484"/>
      <c r="T474" s="484"/>
      <c r="U474" s="484"/>
      <c r="V474" s="484"/>
      <c r="W474" s="484"/>
      <c r="X474" s="484"/>
      <c r="Y474" s="484"/>
    </row>
    <row r="475">
      <c r="A475" s="226" t="s">
        <v>1213</v>
      </c>
      <c r="B475" s="484"/>
      <c r="C475" s="484"/>
      <c r="D475" s="484"/>
      <c r="E475" s="484"/>
      <c r="F475" s="484"/>
      <c r="G475" s="484"/>
      <c r="H475" s="484"/>
      <c r="I475" s="484"/>
      <c r="J475" s="484"/>
      <c r="K475" s="484"/>
      <c r="L475" s="200" t="s">
        <v>715</v>
      </c>
      <c r="M475" s="484"/>
      <c r="N475" s="484"/>
      <c r="O475" s="484"/>
      <c r="P475" s="484"/>
      <c r="Q475" s="484"/>
      <c r="R475" s="484"/>
      <c r="S475" s="484"/>
      <c r="T475" s="484"/>
      <c r="U475" s="484"/>
      <c r="V475" s="484"/>
      <c r="W475" s="484"/>
      <c r="X475" s="484"/>
      <c r="Y475" s="484"/>
    </row>
    <row r="476">
      <c r="A476" s="226" t="s">
        <v>2045</v>
      </c>
      <c r="B476" s="484"/>
      <c r="C476" s="484"/>
      <c r="D476" s="484"/>
      <c r="E476" s="484"/>
      <c r="F476" s="484"/>
      <c r="G476" s="484"/>
      <c r="H476" s="484"/>
      <c r="I476" s="484"/>
      <c r="J476" s="484"/>
      <c r="K476" s="484"/>
      <c r="L476" s="200" t="s">
        <v>1547</v>
      </c>
      <c r="M476" s="484"/>
      <c r="N476" s="484"/>
      <c r="O476" s="484"/>
      <c r="P476" s="484"/>
      <c r="Q476" s="484"/>
      <c r="R476" s="484"/>
      <c r="S476" s="484"/>
      <c r="T476" s="484"/>
      <c r="U476" s="484"/>
      <c r="V476" s="484"/>
      <c r="W476" s="484"/>
      <c r="X476" s="484"/>
      <c r="Y476" s="484"/>
    </row>
    <row r="477">
      <c r="A477" s="226" t="s">
        <v>2100</v>
      </c>
      <c r="B477" s="484"/>
      <c r="C477" s="484"/>
      <c r="D477" s="484"/>
      <c r="E477" s="484"/>
      <c r="F477" s="484"/>
      <c r="G477" s="484"/>
      <c r="H477" s="484"/>
      <c r="I477" s="484"/>
      <c r="J477" s="484"/>
      <c r="K477" s="484"/>
      <c r="L477" s="200" t="s">
        <v>760</v>
      </c>
      <c r="M477" s="484"/>
      <c r="N477" s="484"/>
      <c r="O477" s="484"/>
      <c r="P477" s="484"/>
      <c r="Q477" s="484"/>
      <c r="R477" s="484"/>
      <c r="S477" s="484"/>
      <c r="T477" s="484"/>
      <c r="U477" s="484"/>
      <c r="V477" s="484"/>
      <c r="W477" s="484"/>
      <c r="X477" s="484"/>
      <c r="Y477" s="484"/>
    </row>
    <row r="478">
      <c r="A478" s="226" t="s">
        <v>111</v>
      </c>
      <c r="B478" s="484"/>
      <c r="C478" s="484"/>
      <c r="D478" s="484"/>
      <c r="E478" s="484"/>
      <c r="F478" s="484"/>
      <c r="G478" s="484"/>
      <c r="H478" s="484"/>
      <c r="I478" s="484"/>
      <c r="J478" s="484"/>
      <c r="K478" s="484"/>
      <c r="L478" s="200" t="s">
        <v>314</v>
      </c>
      <c r="M478" s="484"/>
      <c r="N478" s="484"/>
      <c r="O478" s="484"/>
      <c r="P478" s="484"/>
      <c r="Q478" s="484"/>
      <c r="R478" s="484"/>
      <c r="S478" s="484"/>
      <c r="T478" s="484"/>
      <c r="U478" s="484"/>
      <c r="V478" s="484"/>
      <c r="W478" s="484"/>
      <c r="X478" s="484"/>
      <c r="Y478" s="484"/>
    </row>
    <row r="479">
      <c r="A479" s="226" t="s">
        <v>166</v>
      </c>
      <c r="B479" s="484"/>
      <c r="C479" s="484"/>
      <c r="D479" s="484"/>
      <c r="E479" s="484"/>
      <c r="F479" s="484"/>
      <c r="G479" s="484"/>
      <c r="H479" s="484"/>
      <c r="I479" s="484"/>
      <c r="J479" s="484"/>
      <c r="K479" s="484"/>
      <c r="L479" s="200" t="s">
        <v>162</v>
      </c>
      <c r="M479" s="484"/>
      <c r="N479" s="484"/>
      <c r="O479" s="484"/>
      <c r="P479" s="484"/>
      <c r="Q479" s="484"/>
      <c r="R479" s="484"/>
      <c r="S479" s="484"/>
      <c r="T479" s="484"/>
      <c r="U479" s="484"/>
      <c r="V479" s="484"/>
      <c r="W479" s="484"/>
      <c r="X479" s="484"/>
      <c r="Y479" s="484"/>
    </row>
    <row r="480">
      <c r="A480" s="226" t="s">
        <v>195</v>
      </c>
      <c r="B480" s="484"/>
      <c r="C480" s="484"/>
      <c r="D480" s="484"/>
      <c r="E480" s="484"/>
      <c r="F480" s="484"/>
      <c r="G480" s="484"/>
      <c r="H480" s="484"/>
      <c r="I480" s="484"/>
      <c r="J480" s="484"/>
      <c r="K480" s="484"/>
      <c r="L480" s="425" t="s">
        <v>500</v>
      </c>
      <c r="M480" s="484"/>
      <c r="N480" s="484"/>
      <c r="O480" s="484"/>
      <c r="P480" s="484"/>
      <c r="Q480" s="484"/>
      <c r="R480" s="484"/>
      <c r="S480" s="484"/>
      <c r="T480" s="484"/>
      <c r="U480" s="484"/>
      <c r="V480" s="484"/>
      <c r="W480" s="484"/>
      <c r="X480" s="484"/>
      <c r="Y480" s="484"/>
    </row>
    <row r="481">
      <c r="A481" s="226" t="s">
        <v>195</v>
      </c>
      <c r="B481" s="484"/>
      <c r="C481" s="484"/>
      <c r="D481" s="484"/>
      <c r="E481" s="484"/>
      <c r="F481" s="484"/>
      <c r="G481" s="484"/>
      <c r="H481" s="484"/>
      <c r="I481" s="484"/>
      <c r="J481" s="484"/>
      <c r="K481" s="484"/>
      <c r="L481" s="425" t="s">
        <v>333</v>
      </c>
      <c r="M481" s="484"/>
      <c r="N481" s="484"/>
      <c r="O481" s="484"/>
      <c r="P481" s="484"/>
      <c r="Q481" s="484"/>
      <c r="R481" s="484"/>
      <c r="S481" s="484"/>
      <c r="T481" s="484"/>
      <c r="U481" s="484"/>
      <c r="V481" s="484"/>
      <c r="W481" s="484"/>
      <c r="X481" s="484"/>
      <c r="Y481" s="484"/>
    </row>
    <row r="482">
      <c r="A482" s="226" t="s">
        <v>195</v>
      </c>
      <c r="B482" s="484"/>
      <c r="C482" s="484"/>
      <c r="D482" s="484"/>
      <c r="E482" s="484"/>
      <c r="F482" s="484"/>
      <c r="G482" s="484"/>
      <c r="H482" s="484"/>
      <c r="I482" s="484"/>
      <c r="J482" s="484"/>
      <c r="K482" s="484"/>
      <c r="L482" s="425" t="s">
        <v>101</v>
      </c>
      <c r="M482" s="484"/>
      <c r="N482" s="484"/>
      <c r="O482" s="484"/>
      <c r="P482" s="484"/>
      <c r="Q482" s="484"/>
      <c r="R482" s="484"/>
      <c r="S482" s="484"/>
      <c r="T482" s="484"/>
      <c r="U482" s="484"/>
      <c r="V482" s="484"/>
      <c r="W482" s="484"/>
      <c r="X482" s="484"/>
      <c r="Y482" s="484"/>
    </row>
    <row r="483">
      <c r="A483" s="226" t="s">
        <v>195</v>
      </c>
      <c r="B483" s="484"/>
      <c r="C483" s="484"/>
      <c r="D483" s="484"/>
      <c r="E483" s="484"/>
      <c r="F483" s="484"/>
      <c r="G483" s="484"/>
      <c r="H483" s="484"/>
      <c r="I483" s="484"/>
      <c r="J483" s="484"/>
      <c r="K483" s="484"/>
      <c r="L483" s="425" t="s">
        <v>137</v>
      </c>
      <c r="M483" s="484"/>
      <c r="N483" s="484"/>
      <c r="O483" s="484"/>
      <c r="P483" s="484"/>
      <c r="Q483" s="484"/>
      <c r="R483" s="484"/>
      <c r="S483" s="484"/>
      <c r="T483" s="484"/>
      <c r="U483" s="484"/>
      <c r="V483" s="484"/>
      <c r="W483" s="484"/>
      <c r="X483" s="484"/>
      <c r="Y483" s="484"/>
    </row>
    <row r="484">
      <c r="A484" s="226" t="s">
        <v>148</v>
      </c>
      <c r="B484" s="484"/>
      <c r="C484" s="484"/>
      <c r="D484" s="484"/>
      <c r="E484" s="484"/>
      <c r="F484" s="484"/>
      <c r="G484" s="484"/>
      <c r="H484" s="484"/>
      <c r="I484" s="484"/>
      <c r="J484" s="484"/>
      <c r="K484" s="484"/>
      <c r="L484" s="428" t="s">
        <v>1586</v>
      </c>
      <c r="M484" s="484"/>
      <c r="N484" s="484"/>
      <c r="O484" s="484"/>
      <c r="P484" s="484"/>
      <c r="Q484" s="484"/>
      <c r="R484" s="484"/>
      <c r="S484" s="484"/>
      <c r="T484" s="484"/>
      <c r="U484" s="484"/>
      <c r="V484" s="484"/>
      <c r="W484" s="484"/>
      <c r="X484" s="484"/>
      <c r="Y484" s="484"/>
    </row>
    <row r="485">
      <c r="A485" s="226" t="s">
        <v>130</v>
      </c>
      <c r="B485" s="484"/>
      <c r="C485" s="484"/>
      <c r="D485" s="484"/>
      <c r="E485" s="484"/>
      <c r="F485" s="484"/>
      <c r="G485" s="484"/>
      <c r="H485" s="484"/>
      <c r="I485" s="484"/>
      <c r="J485" s="484"/>
      <c r="K485" s="484"/>
      <c r="L485" s="428" t="s">
        <v>1586</v>
      </c>
      <c r="M485" s="484"/>
      <c r="N485" s="484"/>
      <c r="O485" s="484"/>
      <c r="P485" s="484"/>
      <c r="Q485" s="484"/>
      <c r="R485" s="484"/>
      <c r="S485" s="484"/>
      <c r="T485" s="484"/>
      <c r="U485" s="484"/>
      <c r="V485" s="484"/>
      <c r="W485" s="484"/>
      <c r="X485" s="484"/>
      <c r="Y485" s="484"/>
    </row>
    <row r="486">
      <c r="A486" s="226" t="s">
        <v>1706</v>
      </c>
      <c r="B486" s="484"/>
      <c r="C486" s="484"/>
      <c r="D486" s="484"/>
      <c r="E486" s="484"/>
      <c r="F486" s="484"/>
      <c r="G486" s="484"/>
      <c r="H486" s="484"/>
      <c r="I486" s="484"/>
      <c r="J486" s="484"/>
      <c r="K486" s="484"/>
      <c r="L486" s="428" t="s">
        <v>424</v>
      </c>
      <c r="M486" s="484"/>
      <c r="N486" s="484"/>
      <c r="O486" s="484"/>
      <c r="P486" s="484"/>
      <c r="Q486" s="484"/>
      <c r="R486" s="484"/>
      <c r="S486" s="484"/>
      <c r="T486" s="484"/>
      <c r="U486" s="484"/>
      <c r="V486" s="484"/>
      <c r="W486" s="484"/>
      <c r="X486" s="484"/>
      <c r="Y486" s="484"/>
    </row>
    <row r="487">
      <c r="A487" s="226" t="s">
        <v>1994</v>
      </c>
      <c r="B487" s="484"/>
      <c r="C487" s="484"/>
      <c r="D487" s="484"/>
      <c r="E487" s="484"/>
      <c r="F487" s="484"/>
      <c r="G487" s="484"/>
      <c r="H487" s="484"/>
      <c r="I487" s="484"/>
      <c r="J487" s="484"/>
      <c r="K487" s="484"/>
      <c r="L487" s="428" t="s">
        <v>284</v>
      </c>
      <c r="M487" s="484"/>
      <c r="N487" s="484"/>
      <c r="O487" s="484"/>
      <c r="P487" s="484"/>
      <c r="Q487" s="484"/>
      <c r="R487" s="484"/>
      <c r="S487" s="484"/>
      <c r="T487" s="484"/>
      <c r="U487" s="484"/>
      <c r="V487" s="484"/>
      <c r="W487" s="484"/>
      <c r="X487" s="484"/>
      <c r="Y487" s="484"/>
    </row>
    <row r="488">
      <c r="A488" s="226" t="s">
        <v>2163</v>
      </c>
      <c r="B488" s="484"/>
      <c r="C488" s="484"/>
      <c r="D488" s="484"/>
      <c r="E488" s="484"/>
      <c r="F488" s="484"/>
      <c r="G488" s="484"/>
      <c r="H488" s="484"/>
      <c r="I488" s="484"/>
      <c r="J488" s="484"/>
      <c r="K488" s="484"/>
      <c r="L488" s="428" t="s">
        <v>600</v>
      </c>
      <c r="M488" s="484"/>
      <c r="N488" s="484"/>
      <c r="O488" s="484"/>
      <c r="P488" s="484"/>
      <c r="Q488" s="484"/>
      <c r="R488" s="484"/>
      <c r="S488" s="484"/>
      <c r="T488" s="484"/>
      <c r="U488" s="484"/>
      <c r="V488" s="484"/>
      <c r="W488" s="484"/>
      <c r="X488" s="484"/>
      <c r="Y488" s="484"/>
    </row>
    <row r="489">
      <c r="A489" s="226" t="s">
        <v>1041</v>
      </c>
      <c r="B489" s="484"/>
      <c r="C489" s="484"/>
      <c r="D489" s="484"/>
      <c r="E489" s="484"/>
      <c r="F489" s="484"/>
      <c r="G489" s="484"/>
      <c r="H489" s="484"/>
      <c r="I489" s="484"/>
      <c r="J489" s="484"/>
      <c r="K489" s="484"/>
      <c r="L489" s="428" t="s">
        <v>308</v>
      </c>
      <c r="M489" s="484"/>
      <c r="N489" s="484"/>
      <c r="O489" s="484"/>
      <c r="P489" s="484"/>
      <c r="Q489" s="484"/>
      <c r="R489" s="484"/>
      <c r="S489" s="484"/>
      <c r="T489" s="484"/>
      <c r="U489" s="484"/>
      <c r="V489" s="484"/>
      <c r="W489" s="484"/>
      <c r="X489" s="484"/>
      <c r="Y489" s="484"/>
    </row>
    <row r="490">
      <c r="A490" s="226" t="s">
        <v>366</v>
      </c>
      <c r="B490" s="484"/>
      <c r="C490" s="484"/>
      <c r="D490" s="484"/>
      <c r="E490" s="484"/>
      <c r="F490" s="484"/>
      <c r="G490" s="484"/>
      <c r="H490" s="484"/>
      <c r="I490" s="484"/>
      <c r="J490" s="484"/>
      <c r="K490" s="484"/>
      <c r="L490" s="428" t="s">
        <v>37</v>
      </c>
      <c r="M490" s="484"/>
      <c r="N490" s="484"/>
      <c r="O490" s="484"/>
      <c r="P490" s="484"/>
      <c r="Q490" s="484"/>
      <c r="R490" s="484"/>
      <c r="S490" s="484"/>
      <c r="T490" s="484"/>
      <c r="U490" s="484"/>
      <c r="V490" s="484"/>
      <c r="W490" s="484"/>
      <c r="X490" s="484"/>
      <c r="Y490" s="484"/>
    </row>
    <row r="491">
      <c r="A491" s="226" t="s">
        <v>2179</v>
      </c>
      <c r="B491" s="484"/>
      <c r="C491" s="484"/>
      <c r="D491" s="484"/>
      <c r="E491" s="484"/>
      <c r="F491" s="484"/>
      <c r="G491" s="484"/>
      <c r="H491" s="484"/>
      <c r="I491" s="484"/>
      <c r="J491" s="484"/>
      <c r="K491" s="484"/>
      <c r="L491" s="428" t="s">
        <v>1267</v>
      </c>
      <c r="M491" s="484"/>
      <c r="N491" s="484"/>
      <c r="O491" s="484"/>
      <c r="P491" s="484"/>
      <c r="Q491" s="484"/>
      <c r="R491" s="484"/>
      <c r="S491" s="484"/>
      <c r="T491" s="484"/>
      <c r="U491" s="484"/>
      <c r="V491" s="484"/>
      <c r="W491" s="484"/>
      <c r="X491" s="484"/>
      <c r="Y491" s="484"/>
    </row>
    <row r="492">
      <c r="A492" s="226" t="s">
        <v>741</v>
      </c>
      <c r="B492" s="484"/>
      <c r="C492" s="484"/>
      <c r="D492" s="484"/>
      <c r="E492" s="484"/>
      <c r="F492" s="484"/>
      <c r="G492" s="484"/>
      <c r="H492" s="484"/>
      <c r="I492" s="484"/>
      <c r="J492" s="484"/>
      <c r="K492" s="484"/>
      <c r="L492" s="428" t="s">
        <v>155</v>
      </c>
      <c r="M492" s="484"/>
      <c r="N492" s="484"/>
      <c r="O492" s="484"/>
      <c r="P492" s="484"/>
      <c r="Q492" s="484"/>
      <c r="R492" s="484"/>
      <c r="S492" s="484"/>
      <c r="T492" s="484"/>
      <c r="U492" s="484"/>
      <c r="V492" s="484"/>
      <c r="W492" s="484"/>
      <c r="X492" s="484"/>
      <c r="Y492" s="484"/>
    </row>
    <row r="493">
      <c r="A493" s="226" t="s">
        <v>141</v>
      </c>
      <c r="B493" s="484"/>
      <c r="C493" s="484"/>
      <c r="D493" s="484"/>
      <c r="E493" s="484"/>
      <c r="F493" s="484"/>
      <c r="G493" s="484"/>
      <c r="H493" s="484"/>
      <c r="I493" s="484"/>
      <c r="J493" s="484"/>
      <c r="K493" s="484"/>
      <c r="L493" s="428" t="s">
        <v>160</v>
      </c>
      <c r="M493" s="484"/>
      <c r="N493" s="484"/>
      <c r="O493" s="484"/>
      <c r="P493" s="484"/>
      <c r="Q493" s="484"/>
      <c r="R493" s="484"/>
      <c r="S493" s="484"/>
      <c r="T493" s="484"/>
      <c r="U493" s="484"/>
      <c r="V493" s="484"/>
      <c r="W493" s="484"/>
      <c r="X493" s="484"/>
      <c r="Y493" s="484"/>
    </row>
    <row r="494">
      <c r="A494" s="226" t="s">
        <v>2227</v>
      </c>
      <c r="B494" s="484"/>
      <c r="C494" s="484"/>
      <c r="D494" s="484"/>
      <c r="E494" s="484"/>
      <c r="F494" s="484"/>
      <c r="G494" s="484"/>
      <c r="H494" s="484"/>
      <c r="I494" s="484"/>
      <c r="J494" s="484"/>
      <c r="K494" s="484"/>
      <c r="L494" s="428" t="s">
        <v>385</v>
      </c>
      <c r="M494" s="484"/>
      <c r="N494" s="484"/>
      <c r="O494" s="484"/>
      <c r="P494" s="484"/>
      <c r="Q494" s="484"/>
      <c r="R494" s="484"/>
      <c r="S494" s="484"/>
      <c r="T494" s="484"/>
      <c r="U494" s="484"/>
      <c r="V494" s="484"/>
      <c r="W494" s="484"/>
      <c r="X494" s="484"/>
      <c r="Y494" s="484"/>
    </row>
    <row r="495">
      <c r="A495" s="226" t="s">
        <v>245</v>
      </c>
      <c r="B495" s="484"/>
      <c r="C495" s="484"/>
      <c r="D495" s="484"/>
      <c r="E495" s="484"/>
      <c r="F495" s="484"/>
      <c r="G495" s="484"/>
      <c r="H495" s="484"/>
      <c r="I495" s="484"/>
      <c r="J495" s="484"/>
      <c r="K495" s="484"/>
      <c r="L495" s="428" t="s">
        <v>586</v>
      </c>
      <c r="M495" s="484"/>
      <c r="N495" s="484"/>
      <c r="O495" s="484"/>
      <c r="P495" s="484"/>
      <c r="Q495" s="484"/>
      <c r="R495" s="484"/>
      <c r="S495" s="484"/>
      <c r="T495" s="484"/>
      <c r="U495" s="484"/>
      <c r="V495" s="484"/>
      <c r="W495" s="484"/>
      <c r="X495" s="484"/>
      <c r="Y495" s="484"/>
    </row>
    <row r="496">
      <c r="A496" s="226" t="s">
        <v>2239</v>
      </c>
      <c r="B496" s="484"/>
      <c r="C496" s="484"/>
      <c r="D496" s="484"/>
      <c r="E496" s="484"/>
      <c r="F496" s="484"/>
      <c r="G496" s="484"/>
      <c r="H496" s="484"/>
      <c r="I496" s="484"/>
      <c r="J496" s="484"/>
      <c r="K496" s="484"/>
      <c r="L496" s="428" t="s">
        <v>1645</v>
      </c>
      <c r="M496" s="484"/>
      <c r="N496" s="484"/>
      <c r="O496" s="484"/>
      <c r="P496" s="484"/>
      <c r="Q496" s="484"/>
      <c r="R496" s="484"/>
      <c r="S496" s="484"/>
      <c r="T496" s="484"/>
      <c r="U496" s="484"/>
      <c r="V496" s="484"/>
      <c r="W496" s="484"/>
      <c r="X496" s="484"/>
      <c r="Y496" s="484"/>
    </row>
    <row r="497">
      <c r="A497" s="226" t="s">
        <v>104</v>
      </c>
      <c r="B497" s="484"/>
      <c r="C497" s="484"/>
      <c r="D497" s="484"/>
      <c r="E497" s="484"/>
      <c r="F497" s="484"/>
      <c r="G497" s="484"/>
      <c r="H497" s="484"/>
      <c r="I497" s="484"/>
      <c r="J497" s="484"/>
      <c r="K497" s="484"/>
      <c r="L497" s="428" t="s">
        <v>374</v>
      </c>
      <c r="M497" s="484"/>
      <c r="N497" s="484"/>
      <c r="O497" s="484"/>
      <c r="P497" s="484"/>
      <c r="Q497" s="484"/>
      <c r="R497" s="484"/>
      <c r="S497" s="484"/>
      <c r="T497" s="484"/>
      <c r="U497" s="484"/>
      <c r="V497" s="484"/>
      <c r="W497" s="484"/>
      <c r="X497" s="484"/>
      <c r="Y497" s="484"/>
    </row>
    <row r="498">
      <c r="A498" s="226" t="s">
        <v>728</v>
      </c>
      <c r="B498" s="484"/>
      <c r="C498" s="484"/>
      <c r="D498" s="484"/>
      <c r="E498" s="484"/>
      <c r="F498" s="484"/>
      <c r="G498" s="484"/>
      <c r="H498" s="484"/>
      <c r="I498" s="484"/>
      <c r="J498" s="484"/>
      <c r="K498" s="484"/>
      <c r="L498" s="428" t="s">
        <v>195</v>
      </c>
      <c r="M498" s="484"/>
      <c r="N498" s="484"/>
      <c r="O498" s="484"/>
      <c r="P498" s="484"/>
      <c r="Q498" s="484"/>
      <c r="R498" s="484"/>
      <c r="S498" s="484"/>
      <c r="T498" s="484"/>
      <c r="U498" s="484"/>
      <c r="V498" s="484"/>
      <c r="W498" s="484"/>
      <c r="X498" s="484"/>
      <c r="Y498" s="484"/>
    </row>
    <row r="499">
      <c r="A499" s="226" t="s">
        <v>166</v>
      </c>
      <c r="B499" s="484"/>
      <c r="C499" s="484"/>
      <c r="D499" s="484"/>
      <c r="E499" s="484"/>
      <c r="F499" s="484"/>
      <c r="G499" s="484"/>
      <c r="H499" s="484"/>
      <c r="I499" s="484"/>
      <c r="J499" s="484"/>
      <c r="K499" s="484"/>
      <c r="L499" s="428" t="s">
        <v>1661</v>
      </c>
      <c r="M499" s="484"/>
      <c r="N499" s="484"/>
      <c r="O499" s="484"/>
      <c r="P499" s="484"/>
      <c r="Q499" s="484"/>
      <c r="R499" s="484"/>
      <c r="S499" s="484"/>
      <c r="T499" s="484"/>
      <c r="U499" s="484"/>
      <c r="V499" s="484"/>
      <c r="W499" s="484"/>
      <c r="X499" s="484"/>
      <c r="Y499" s="484"/>
    </row>
    <row r="500">
      <c r="A500" s="226" t="s">
        <v>2266</v>
      </c>
      <c r="B500" s="484"/>
      <c r="C500" s="484"/>
      <c r="D500" s="484"/>
      <c r="E500" s="484"/>
      <c r="F500" s="484"/>
      <c r="G500" s="484"/>
      <c r="H500" s="484"/>
      <c r="I500" s="484"/>
      <c r="J500" s="484"/>
      <c r="K500" s="484"/>
      <c r="L500" s="428" t="s">
        <v>1667</v>
      </c>
      <c r="M500" s="484"/>
      <c r="N500" s="484"/>
      <c r="O500" s="484"/>
      <c r="P500" s="484"/>
      <c r="Q500" s="484"/>
      <c r="R500" s="484"/>
      <c r="S500" s="484"/>
      <c r="T500" s="484"/>
      <c r="U500" s="484"/>
      <c r="V500" s="484"/>
      <c r="W500" s="484"/>
      <c r="X500" s="484"/>
      <c r="Y500" s="484"/>
    </row>
    <row r="501">
      <c r="A501" s="426" t="s">
        <v>117</v>
      </c>
      <c r="B501" s="484"/>
      <c r="C501" s="484"/>
      <c r="D501" s="484"/>
      <c r="E501" s="484"/>
      <c r="F501" s="484"/>
      <c r="G501" s="484"/>
      <c r="H501" s="484"/>
      <c r="I501" s="484"/>
      <c r="J501" s="484"/>
      <c r="K501" s="484"/>
      <c r="L501" s="428" t="s">
        <v>108</v>
      </c>
      <c r="M501" s="484"/>
      <c r="N501" s="484"/>
      <c r="O501" s="484"/>
      <c r="P501" s="484"/>
      <c r="Q501" s="484"/>
      <c r="R501" s="484"/>
      <c r="S501" s="484"/>
      <c r="T501" s="484"/>
      <c r="U501" s="484"/>
      <c r="V501" s="484"/>
      <c r="W501" s="484"/>
      <c r="X501" s="484"/>
      <c r="Y501" s="484"/>
    </row>
    <row r="502">
      <c r="A502" s="426" t="s">
        <v>1060</v>
      </c>
      <c r="B502" s="484"/>
      <c r="C502" s="484"/>
      <c r="D502" s="484"/>
      <c r="E502" s="484"/>
      <c r="F502" s="484"/>
      <c r="G502" s="484"/>
      <c r="H502" s="484"/>
      <c r="I502" s="484"/>
      <c r="J502" s="484"/>
      <c r="K502" s="484"/>
      <c r="L502" s="428" t="s">
        <v>117</v>
      </c>
      <c r="M502" s="484"/>
      <c r="N502" s="484"/>
      <c r="O502" s="484"/>
      <c r="P502" s="484"/>
      <c r="Q502" s="484"/>
      <c r="R502" s="484"/>
      <c r="S502" s="484"/>
      <c r="T502" s="484"/>
      <c r="U502" s="484"/>
      <c r="V502" s="484"/>
      <c r="W502" s="484"/>
      <c r="X502" s="484"/>
      <c r="Y502" s="484"/>
    </row>
    <row r="503">
      <c r="A503" s="534" t="s">
        <v>1224</v>
      </c>
      <c r="B503" s="484"/>
      <c r="C503" s="484"/>
      <c r="D503" s="484"/>
      <c r="E503" s="484"/>
      <c r="F503" s="484"/>
      <c r="G503" s="484"/>
      <c r="H503" s="484"/>
      <c r="I503" s="484"/>
      <c r="J503" s="484"/>
      <c r="K503" s="484"/>
      <c r="L503" s="428" t="s">
        <v>595</v>
      </c>
      <c r="M503" s="484"/>
      <c r="N503" s="484"/>
      <c r="O503" s="484"/>
      <c r="P503" s="484"/>
      <c r="Q503" s="484"/>
      <c r="R503" s="484"/>
      <c r="S503" s="484"/>
      <c r="T503" s="484"/>
      <c r="U503" s="484"/>
      <c r="V503" s="484"/>
      <c r="W503" s="484"/>
      <c r="X503" s="484"/>
      <c r="Y503" s="484"/>
    </row>
    <row r="504">
      <c r="A504" s="426" t="s">
        <v>516</v>
      </c>
      <c r="B504" s="484"/>
      <c r="C504" s="484"/>
      <c r="D504" s="484"/>
      <c r="E504" s="484"/>
      <c r="F504" s="484"/>
      <c r="G504" s="484"/>
      <c r="H504" s="484"/>
      <c r="I504" s="484"/>
      <c r="J504" s="484"/>
      <c r="K504" s="484"/>
      <c r="L504" s="428" t="s">
        <v>78</v>
      </c>
      <c r="M504" s="484"/>
      <c r="N504" s="484"/>
      <c r="O504" s="484"/>
      <c r="P504" s="484"/>
      <c r="Q504" s="484"/>
      <c r="R504" s="484"/>
      <c r="S504" s="484"/>
      <c r="T504" s="484"/>
      <c r="U504" s="484"/>
      <c r="V504" s="484"/>
      <c r="W504" s="484"/>
      <c r="X504" s="484"/>
      <c r="Y504" s="484"/>
    </row>
    <row r="505">
      <c r="A505" s="426" t="s">
        <v>155</v>
      </c>
      <c r="B505" s="484"/>
      <c r="C505" s="484"/>
      <c r="D505" s="484"/>
      <c r="E505" s="484"/>
      <c r="F505" s="484"/>
      <c r="G505" s="484"/>
      <c r="H505" s="484"/>
      <c r="I505" s="484"/>
      <c r="J505" s="484"/>
      <c r="K505" s="484"/>
      <c r="L505" s="428" t="s">
        <v>938</v>
      </c>
      <c r="M505" s="484"/>
      <c r="N505" s="484"/>
      <c r="O505" s="484"/>
      <c r="P505" s="484"/>
      <c r="Q505" s="484"/>
      <c r="R505" s="484"/>
      <c r="S505" s="484"/>
      <c r="T505" s="484"/>
      <c r="U505" s="484"/>
      <c r="V505" s="484"/>
      <c r="W505" s="484"/>
      <c r="X505" s="484"/>
      <c r="Y505" s="484"/>
    </row>
    <row r="506">
      <c r="A506" s="426" t="s">
        <v>160</v>
      </c>
      <c r="B506" s="484"/>
      <c r="C506" s="484"/>
      <c r="D506" s="484"/>
      <c r="E506" s="484"/>
      <c r="F506" s="484"/>
      <c r="G506" s="484"/>
      <c r="H506" s="484"/>
      <c r="I506" s="484"/>
      <c r="J506" s="484"/>
      <c r="K506" s="484"/>
      <c r="L506" s="428" t="s">
        <v>794</v>
      </c>
      <c r="M506" s="484"/>
      <c r="N506" s="484"/>
      <c r="O506" s="484"/>
      <c r="P506" s="484"/>
      <c r="Q506" s="484"/>
      <c r="R506" s="484"/>
      <c r="S506" s="484"/>
      <c r="T506" s="484"/>
      <c r="U506" s="484"/>
      <c r="V506" s="484"/>
      <c r="W506" s="484"/>
      <c r="X506" s="484"/>
      <c r="Y506" s="484"/>
    </row>
    <row r="507">
      <c r="A507" s="426" t="s">
        <v>1045</v>
      </c>
      <c r="B507" s="484"/>
      <c r="C507" s="484"/>
      <c r="D507" s="484"/>
      <c r="E507" s="484"/>
      <c r="F507" s="484"/>
      <c r="G507" s="484"/>
      <c r="H507" s="484"/>
      <c r="I507" s="484"/>
      <c r="J507" s="484"/>
      <c r="K507" s="484"/>
      <c r="L507" s="428" t="s">
        <v>117</v>
      </c>
      <c r="M507" s="484"/>
      <c r="N507" s="484"/>
      <c r="O507" s="484"/>
      <c r="P507" s="484"/>
      <c r="Q507" s="484"/>
      <c r="R507" s="484"/>
      <c r="S507" s="484"/>
      <c r="T507" s="484"/>
      <c r="U507" s="484"/>
      <c r="V507" s="484"/>
      <c r="W507" s="484"/>
      <c r="X507" s="484"/>
      <c r="Y507" s="484"/>
    </row>
    <row r="508">
      <c r="A508" s="426" t="s">
        <v>703</v>
      </c>
      <c r="B508" s="484"/>
      <c r="C508" s="484"/>
      <c r="D508" s="484"/>
      <c r="E508" s="484"/>
      <c r="F508" s="484"/>
      <c r="G508" s="484"/>
      <c r="H508" s="484"/>
      <c r="I508" s="484"/>
      <c r="J508" s="484"/>
      <c r="K508" s="484"/>
      <c r="L508" s="428" t="s">
        <v>85</v>
      </c>
      <c r="M508" s="484"/>
      <c r="N508" s="484"/>
      <c r="O508" s="484"/>
      <c r="P508" s="484"/>
      <c r="Q508" s="484"/>
      <c r="R508" s="484"/>
      <c r="S508" s="484"/>
      <c r="T508" s="484"/>
      <c r="U508" s="484"/>
      <c r="V508" s="484"/>
      <c r="W508" s="484"/>
      <c r="X508" s="484"/>
      <c r="Y508" s="484"/>
    </row>
    <row r="509">
      <c r="A509" s="426" t="s">
        <v>311</v>
      </c>
      <c r="B509" s="484"/>
      <c r="C509" s="484"/>
      <c r="D509" s="484"/>
      <c r="E509" s="484"/>
      <c r="F509" s="484"/>
      <c r="G509" s="484"/>
      <c r="H509" s="484"/>
      <c r="I509" s="484"/>
      <c r="J509" s="484"/>
      <c r="K509" s="484"/>
      <c r="L509" s="428" t="s">
        <v>1706</v>
      </c>
      <c r="M509" s="484"/>
      <c r="N509" s="484"/>
      <c r="O509" s="484"/>
      <c r="P509" s="484"/>
      <c r="Q509" s="484"/>
      <c r="R509" s="484"/>
      <c r="S509" s="484"/>
      <c r="T509" s="484"/>
      <c r="U509" s="484"/>
      <c r="V509" s="484"/>
      <c r="W509" s="484"/>
      <c r="X509" s="484"/>
      <c r="Y509" s="484"/>
    </row>
    <row r="510">
      <c r="A510" s="426" t="s">
        <v>586</v>
      </c>
      <c r="B510" s="484"/>
      <c r="C510" s="484"/>
      <c r="D510" s="484"/>
      <c r="E510" s="484"/>
      <c r="F510" s="484"/>
      <c r="G510" s="484"/>
      <c r="H510" s="484"/>
      <c r="I510" s="484"/>
      <c r="J510" s="484"/>
      <c r="K510" s="484"/>
      <c r="L510" s="428" t="s">
        <v>1712</v>
      </c>
      <c r="M510" s="484"/>
      <c r="N510" s="484"/>
      <c r="O510" s="484"/>
      <c r="P510" s="484"/>
      <c r="Q510" s="484"/>
      <c r="R510" s="484"/>
      <c r="S510" s="484"/>
      <c r="T510" s="484"/>
      <c r="U510" s="484"/>
      <c r="V510" s="484"/>
      <c r="W510" s="484"/>
      <c r="X510" s="484"/>
      <c r="Y510" s="484"/>
    </row>
    <row r="511">
      <c r="A511" s="426" t="s">
        <v>2351</v>
      </c>
      <c r="B511" s="484"/>
      <c r="C511" s="484"/>
      <c r="D511" s="484"/>
      <c r="E511" s="484"/>
      <c r="F511" s="484"/>
      <c r="G511" s="484"/>
      <c r="H511" s="484"/>
      <c r="I511" s="484"/>
      <c r="J511" s="484"/>
      <c r="K511" s="484"/>
      <c r="L511" s="428" t="s">
        <v>98</v>
      </c>
      <c r="M511" s="484"/>
      <c r="N511" s="484"/>
      <c r="O511" s="484"/>
      <c r="P511" s="484"/>
      <c r="Q511" s="484"/>
      <c r="R511" s="484"/>
      <c r="S511" s="484"/>
      <c r="T511" s="484"/>
      <c r="U511" s="484"/>
      <c r="V511" s="484"/>
      <c r="W511" s="484"/>
      <c r="X511" s="484"/>
      <c r="Y511" s="484"/>
    </row>
    <row r="512">
      <c r="A512" s="426" t="s">
        <v>697</v>
      </c>
      <c r="B512" s="484"/>
      <c r="C512" s="484"/>
      <c r="D512" s="484"/>
      <c r="E512" s="484"/>
      <c r="F512" s="484"/>
      <c r="G512" s="484"/>
      <c r="H512" s="484"/>
      <c r="I512" s="484"/>
      <c r="J512" s="484"/>
      <c r="K512" s="484"/>
      <c r="L512" s="428" t="s">
        <v>1586</v>
      </c>
      <c r="M512" s="484"/>
      <c r="N512" s="484"/>
      <c r="O512" s="484"/>
      <c r="P512" s="484"/>
      <c r="Q512" s="484"/>
      <c r="R512" s="484"/>
      <c r="S512" s="484"/>
      <c r="T512" s="484"/>
      <c r="U512" s="484"/>
      <c r="V512" s="484"/>
      <c r="W512" s="484"/>
      <c r="X512" s="484"/>
      <c r="Y512" s="484"/>
    </row>
    <row r="513">
      <c r="A513" s="426" t="s">
        <v>760</v>
      </c>
      <c r="B513" s="484"/>
      <c r="C513" s="484"/>
      <c r="D513" s="484"/>
      <c r="E513" s="484"/>
      <c r="F513" s="484"/>
      <c r="G513" s="484"/>
      <c r="H513" s="484"/>
      <c r="I513" s="484"/>
      <c r="J513" s="484"/>
      <c r="K513" s="484"/>
      <c r="L513" s="428" t="s">
        <v>1725</v>
      </c>
      <c r="M513" s="484"/>
      <c r="N513" s="484"/>
      <c r="O513" s="484"/>
      <c r="P513" s="484"/>
      <c r="Q513" s="484"/>
      <c r="R513" s="484"/>
      <c r="S513" s="484"/>
      <c r="T513" s="484"/>
      <c r="U513" s="484"/>
      <c r="V513" s="484"/>
      <c r="W513" s="484"/>
      <c r="X513" s="484"/>
      <c r="Y513" s="484"/>
    </row>
    <row r="514">
      <c r="A514" s="426" t="s">
        <v>2368</v>
      </c>
      <c r="B514" s="484"/>
      <c r="C514" s="484"/>
      <c r="D514" s="484"/>
      <c r="E514" s="484"/>
      <c r="F514" s="484"/>
      <c r="G514" s="484"/>
      <c r="H514" s="484"/>
      <c r="I514" s="484"/>
      <c r="J514" s="484"/>
      <c r="K514" s="484"/>
      <c r="L514" s="428" t="s">
        <v>1725</v>
      </c>
      <c r="M514" s="484"/>
      <c r="N514" s="484"/>
      <c r="O514" s="484"/>
      <c r="P514" s="484"/>
      <c r="Q514" s="484"/>
      <c r="R514" s="484"/>
      <c r="S514" s="484"/>
      <c r="T514" s="484"/>
      <c r="U514" s="484"/>
      <c r="V514" s="484"/>
      <c r="W514" s="484"/>
      <c r="X514" s="484"/>
      <c r="Y514" s="484"/>
    </row>
    <row r="515">
      <c r="A515" s="426" t="s">
        <v>720</v>
      </c>
      <c r="B515" s="484"/>
      <c r="C515" s="484"/>
      <c r="D515" s="484"/>
      <c r="E515" s="484"/>
      <c r="F515" s="484"/>
      <c r="G515" s="484"/>
      <c r="H515" s="484"/>
      <c r="I515" s="484"/>
      <c r="J515" s="484"/>
      <c r="K515" s="484"/>
      <c r="L515" s="428" t="s">
        <v>195</v>
      </c>
      <c r="M515" s="484"/>
      <c r="N515" s="484"/>
      <c r="O515" s="484"/>
      <c r="P515" s="484"/>
      <c r="Q515" s="484"/>
      <c r="R515" s="484"/>
      <c r="S515" s="484"/>
      <c r="T515" s="484"/>
      <c r="U515" s="484"/>
      <c r="V515" s="484"/>
      <c r="W515" s="484"/>
      <c r="X515" s="484"/>
      <c r="Y515" s="484"/>
    </row>
    <row r="516">
      <c r="A516" s="426" t="s">
        <v>512</v>
      </c>
      <c r="B516" s="484"/>
      <c r="C516" s="484"/>
      <c r="D516" s="484"/>
      <c r="E516" s="484"/>
      <c r="F516" s="484"/>
      <c r="G516" s="484"/>
      <c r="H516" s="484"/>
      <c r="I516" s="484"/>
      <c r="J516" s="484"/>
      <c r="K516" s="484"/>
      <c r="L516" s="428" t="s">
        <v>148</v>
      </c>
      <c r="M516" s="484"/>
      <c r="N516" s="484"/>
      <c r="O516" s="484"/>
      <c r="P516" s="484"/>
      <c r="Q516" s="484"/>
      <c r="R516" s="484"/>
      <c r="S516" s="484"/>
      <c r="T516" s="484"/>
      <c r="U516" s="484"/>
      <c r="V516" s="484"/>
      <c r="W516" s="484"/>
      <c r="X516" s="484"/>
      <c r="Y516" s="484"/>
    </row>
    <row r="517">
      <c r="A517" s="426" t="s">
        <v>2388</v>
      </c>
      <c r="B517" s="484"/>
      <c r="C517" s="484"/>
      <c r="D517" s="484"/>
      <c r="E517" s="484"/>
      <c r="F517" s="484"/>
      <c r="G517" s="484"/>
      <c r="H517" s="484"/>
      <c r="I517" s="484"/>
      <c r="J517" s="484"/>
      <c r="K517" s="484"/>
      <c r="L517" s="428" t="s">
        <v>1746</v>
      </c>
      <c r="M517" s="484"/>
      <c r="N517" s="484"/>
      <c r="O517" s="484"/>
      <c r="P517" s="484"/>
      <c r="Q517" s="484"/>
      <c r="R517" s="484"/>
      <c r="S517" s="484"/>
      <c r="T517" s="484"/>
      <c r="U517" s="484"/>
      <c r="V517" s="484"/>
      <c r="W517" s="484"/>
      <c r="X517" s="484"/>
      <c r="Y517" s="484"/>
    </row>
    <row r="518">
      <c r="A518" s="426" t="s">
        <v>1586</v>
      </c>
      <c r="B518" s="484"/>
      <c r="C518" s="484"/>
      <c r="D518" s="484"/>
      <c r="E518" s="484"/>
      <c r="F518" s="484"/>
      <c r="G518" s="484"/>
      <c r="H518" s="484"/>
      <c r="I518" s="484"/>
      <c r="J518" s="484"/>
      <c r="K518" s="484"/>
      <c r="L518" s="428" t="s">
        <v>1751</v>
      </c>
      <c r="M518" s="484"/>
      <c r="N518" s="484"/>
      <c r="O518" s="484"/>
      <c r="P518" s="484"/>
      <c r="Q518" s="484"/>
      <c r="R518" s="484"/>
      <c r="S518" s="484"/>
      <c r="T518" s="484"/>
      <c r="U518" s="484"/>
      <c r="V518" s="484"/>
      <c r="W518" s="484"/>
      <c r="X518" s="484"/>
      <c r="Y518" s="484"/>
    </row>
    <row r="519">
      <c r="A519" s="426" t="s">
        <v>1072</v>
      </c>
      <c r="B519" s="484"/>
      <c r="C519" s="484"/>
      <c r="D519" s="484"/>
      <c r="E519" s="484"/>
      <c r="F519" s="484"/>
      <c r="G519" s="484"/>
      <c r="H519" s="484"/>
      <c r="I519" s="484"/>
      <c r="J519" s="484"/>
      <c r="K519" s="484"/>
      <c r="L519" s="428" t="s">
        <v>1757</v>
      </c>
      <c r="M519" s="484"/>
      <c r="N519" s="484"/>
      <c r="O519" s="484"/>
      <c r="P519" s="484"/>
      <c r="Q519" s="484"/>
      <c r="R519" s="484"/>
      <c r="S519" s="484"/>
      <c r="T519" s="484"/>
      <c r="U519" s="484"/>
      <c r="V519" s="484"/>
      <c r="W519" s="484"/>
      <c r="X519" s="484"/>
      <c r="Y519" s="484"/>
    </row>
    <row r="520">
      <c r="A520" s="426" t="s">
        <v>1072</v>
      </c>
      <c r="B520" s="484"/>
      <c r="C520" s="484"/>
      <c r="D520" s="484"/>
      <c r="E520" s="484"/>
      <c r="F520" s="484"/>
      <c r="G520" s="484"/>
      <c r="H520" s="484"/>
      <c r="I520" s="484"/>
      <c r="J520" s="484"/>
      <c r="K520" s="484"/>
      <c r="L520" s="428" t="s">
        <v>1706</v>
      </c>
      <c r="M520" s="484"/>
      <c r="N520" s="484"/>
      <c r="O520" s="484"/>
      <c r="P520" s="484"/>
      <c r="Q520" s="484"/>
      <c r="R520" s="484"/>
      <c r="S520" s="484"/>
      <c r="T520" s="484"/>
      <c r="U520" s="484"/>
      <c r="V520" s="484"/>
      <c r="W520" s="484"/>
      <c r="X520" s="484"/>
      <c r="Y520" s="484"/>
    </row>
    <row r="521">
      <c r="A521" s="426" t="s">
        <v>325</v>
      </c>
      <c r="B521" s="484"/>
      <c r="C521" s="484"/>
      <c r="D521" s="484"/>
      <c r="E521" s="484"/>
      <c r="F521" s="484"/>
      <c r="G521" s="484"/>
      <c r="H521" s="484"/>
      <c r="I521" s="484"/>
      <c r="J521" s="484"/>
      <c r="K521" s="484"/>
      <c r="L521" s="428" t="s">
        <v>1706</v>
      </c>
      <c r="M521" s="484"/>
      <c r="N521" s="484"/>
      <c r="O521" s="484"/>
      <c r="P521" s="484"/>
      <c r="Q521" s="484"/>
      <c r="R521" s="484"/>
      <c r="S521" s="484"/>
      <c r="T521" s="484"/>
      <c r="U521" s="484"/>
      <c r="V521" s="484"/>
      <c r="W521" s="484"/>
      <c r="X521" s="484"/>
      <c r="Y521" s="484"/>
    </row>
    <row r="522">
      <c r="A522" s="426" t="s">
        <v>2428</v>
      </c>
      <c r="B522" s="484"/>
      <c r="C522" s="484"/>
      <c r="D522" s="484"/>
      <c r="E522" s="484"/>
      <c r="F522" s="484"/>
      <c r="G522" s="484"/>
      <c r="H522" s="484"/>
      <c r="I522" s="484"/>
      <c r="J522" s="484"/>
      <c r="K522" s="484"/>
      <c r="L522" s="428" t="s">
        <v>234</v>
      </c>
      <c r="M522" s="484"/>
      <c r="N522" s="484"/>
      <c r="O522" s="484"/>
      <c r="P522" s="484"/>
      <c r="Q522" s="484"/>
      <c r="R522" s="484"/>
      <c r="S522" s="484"/>
      <c r="T522" s="484"/>
      <c r="U522" s="484"/>
      <c r="V522" s="484"/>
      <c r="W522" s="484"/>
      <c r="X522" s="484"/>
      <c r="Y522" s="484"/>
    </row>
    <row r="523">
      <c r="A523" s="426" t="s">
        <v>925</v>
      </c>
      <c r="B523" s="484"/>
      <c r="C523" s="484"/>
      <c r="D523" s="484"/>
      <c r="E523" s="484"/>
      <c r="F523" s="484"/>
      <c r="G523" s="484"/>
      <c r="H523" s="484"/>
      <c r="I523" s="484"/>
      <c r="J523" s="484"/>
      <c r="K523" s="484"/>
      <c r="L523" s="428" t="s">
        <v>1772</v>
      </c>
      <c r="M523" s="484"/>
      <c r="N523" s="484"/>
      <c r="O523" s="484"/>
      <c r="P523" s="484"/>
      <c r="Q523" s="484"/>
      <c r="R523" s="484"/>
      <c r="S523" s="484"/>
      <c r="T523" s="484"/>
      <c r="U523" s="484"/>
      <c r="V523" s="484"/>
      <c r="W523" s="484"/>
      <c r="X523" s="484"/>
      <c r="Y523" s="484"/>
    </row>
    <row r="524">
      <c r="A524" s="426" t="s">
        <v>2205</v>
      </c>
      <c r="B524" s="484"/>
      <c r="C524" s="484"/>
      <c r="D524" s="484"/>
      <c r="E524" s="484"/>
      <c r="F524" s="484"/>
      <c r="G524" s="484"/>
      <c r="H524" s="484"/>
      <c r="I524" s="484"/>
      <c r="J524" s="484"/>
      <c r="K524" s="484"/>
      <c r="L524" s="428" t="s">
        <v>710</v>
      </c>
      <c r="M524" s="484"/>
      <c r="N524" s="484"/>
      <c r="O524" s="484"/>
      <c r="P524" s="484"/>
      <c r="Q524" s="484"/>
      <c r="R524" s="484"/>
      <c r="S524" s="484"/>
      <c r="T524" s="484"/>
      <c r="U524" s="484"/>
      <c r="V524" s="484"/>
      <c r="W524" s="484"/>
      <c r="X524" s="484"/>
      <c r="Y524" s="484"/>
    </row>
    <row r="525">
      <c r="A525" s="426" t="s">
        <v>276</v>
      </c>
      <c r="B525" s="484"/>
      <c r="C525" s="484"/>
      <c r="D525" s="484"/>
      <c r="E525" s="484"/>
      <c r="F525" s="484"/>
      <c r="G525" s="484"/>
      <c r="H525" s="484"/>
      <c r="I525" s="484"/>
      <c r="J525" s="484"/>
      <c r="K525" s="484"/>
      <c r="L525" s="428" t="s">
        <v>153</v>
      </c>
      <c r="M525" s="484"/>
      <c r="N525" s="484"/>
      <c r="O525" s="484"/>
      <c r="P525" s="484"/>
      <c r="Q525" s="484"/>
      <c r="R525" s="484"/>
      <c r="S525" s="484"/>
      <c r="T525" s="484"/>
      <c r="U525" s="484"/>
      <c r="V525" s="484"/>
      <c r="W525" s="484"/>
      <c r="X525" s="484"/>
      <c r="Y525" s="484"/>
    </row>
    <row r="526">
      <c r="A526" s="426" t="s">
        <v>276</v>
      </c>
      <c r="B526" s="484"/>
      <c r="C526" s="484"/>
      <c r="D526" s="484"/>
      <c r="E526" s="484"/>
      <c r="F526" s="484"/>
      <c r="G526" s="484"/>
      <c r="H526" s="484"/>
      <c r="I526" s="484"/>
      <c r="J526" s="484"/>
      <c r="K526" s="484"/>
      <c r="L526" s="428" t="s">
        <v>720</v>
      </c>
      <c r="M526" s="484"/>
      <c r="N526" s="484"/>
      <c r="O526" s="484"/>
      <c r="P526" s="484"/>
      <c r="Q526" s="484"/>
      <c r="R526" s="484"/>
      <c r="S526" s="484"/>
      <c r="T526" s="484"/>
      <c r="U526" s="484"/>
      <c r="V526" s="484"/>
      <c r="W526" s="484"/>
      <c r="X526" s="484"/>
      <c r="Y526" s="484"/>
    </row>
    <row r="527">
      <c r="A527" s="426" t="s">
        <v>461</v>
      </c>
      <c r="B527" s="484"/>
      <c r="C527" s="484"/>
      <c r="D527" s="484"/>
      <c r="E527" s="484"/>
      <c r="F527" s="484"/>
      <c r="G527" s="484"/>
      <c r="H527" s="484"/>
      <c r="I527" s="484"/>
      <c r="J527" s="484"/>
      <c r="K527" s="484"/>
      <c r="L527" s="428" t="s">
        <v>1045</v>
      </c>
      <c r="M527" s="484"/>
      <c r="N527" s="484"/>
      <c r="O527" s="484"/>
      <c r="P527" s="484"/>
      <c r="Q527" s="484"/>
      <c r="R527" s="484"/>
      <c r="S527" s="484"/>
      <c r="T527" s="484"/>
      <c r="U527" s="484"/>
      <c r="V527" s="484"/>
      <c r="W527" s="484"/>
      <c r="X527" s="484"/>
      <c r="Y527" s="484"/>
    </row>
    <row r="528">
      <c r="A528" s="426" t="s">
        <v>333</v>
      </c>
      <c r="B528" s="484"/>
      <c r="C528" s="484"/>
      <c r="D528" s="484"/>
      <c r="E528" s="484"/>
      <c r="F528" s="484"/>
      <c r="G528" s="484"/>
      <c r="H528" s="484"/>
      <c r="I528" s="484"/>
      <c r="J528" s="484"/>
      <c r="K528" s="484"/>
      <c r="L528" s="428" t="s">
        <v>209</v>
      </c>
      <c r="M528" s="484"/>
      <c r="N528" s="484"/>
      <c r="O528" s="484"/>
      <c r="P528" s="484"/>
      <c r="Q528" s="484"/>
      <c r="R528" s="484"/>
      <c r="S528" s="484"/>
      <c r="T528" s="484"/>
      <c r="U528" s="484"/>
      <c r="V528" s="484"/>
      <c r="W528" s="484"/>
      <c r="X528" s="484"/>
      <c r="Y528" s="484"/>
    </row>
    <row r="529">
      <c r="A529" s="426" t="s">
        <v>366</v>
      </c>
      <c r="B529" s="484"/>
      <c r="C529" s="484"/>
      <c r="D529" s="484"/>
      <c r="E529" s="484"/>
      <c r="F529" s="484"/>
      <c r="G529" s="484"/>
      <c r="H529" s="484"/>
      <c r="I529" s="484"/>
      <c r="J529" s="484"/>
      <c r="K529" s="484"/>
      <c r="L529" s="428" t="s">
        <v>1318</v>
      </c>
      <c r="M529" s="484"/>
      <c r="N529" s="484"/>
      <c r="O529" s="484"/>
      <c r="P529" s="484"/>
      <c r="Q529" s="484"/>
      <c r="R529" s="484"/>
      <c r="S529" s="484"/>
      <c r="T529" s="484"/>
      <c r="U529" s="484"/>
      <c r="V529" s="484"/>
      <c r="W529" s="484"/>
      <c r="X529" s="484"/>
      <c r="Y529" s="484"/>
    </row>
    <row r="530">
      <c r="A530" s="426" t="s">
        <v>245</v>
      </c>
      <c r="B530" s="484"/>
      <c r="C530" s="484"/>
      <c r="D530" s="484"/>
      <c r="E530" s="484"/>
      <c r="F530" s="484"/>
      <c r="G530" s="484"/>
      <c r="H530" s="484"/>
      <c r="I530" s="484"/>
      <c r="J530" s="484"/>
      <c r="K530" s="484"/>
      <c r="L530" s="428" t="s">
        <v>201</v>
      </c>
      <c r="M530" s="484"/>
      <c r="N530" s="484"/>
      <c r="O530" s="484"/>
      <c r="P530" s="484"/>
      <c r="Q530" s="484"/>
      <c r="R530" s="484"/>
      <c r="S530" s="484"/>
      <c r="T530" s="484"/>
      <c r="U530" s="484"/>
      <c r="V530" s="484"/>
      <c r="W530" s="484"/>
      <c r="X530" s="484"/>
      <c r="Y530" s="484"/>
    </row>
    <row r="531">
      <c r="A531" s="426" t="s">
        <v>639</v>
      </c>
      <c r="B531" s="484"/>
      <c r="C531" s="484"/>
      <c r="D531" s="484"/>
      <c r="E531" s="484"/>
      <c r="F531" s="484"/>
      <c r="G531" s="484"/>
      <c r="H531" s="484"/>
      <c r="I531" s="484"/>
      <c r="J531" s="484"/>
      <c r="K531" s="484"/>
      <c r="L531" s="428" t="s">
        <v>240</v>
      </c>
      <c r="M531" s="484"/>
      <c r="N531" s="484"/>
      <c r="O531" s="484"/>
      <c r="P531" s="484"/>
      <c r="Q531" s="484"/>
      <c r="R531" s="484"/>
      <c r="S531" s="484"/>
      <c r="T531" s="484"/>
      <c r="U531" s="484"/>
      <c r="V531" s="484"/>
      <c r="W531" s="484"/>
      <c r="X531" s="484"/>
      <c r="Y531" s="484"/>
    </row>
    <row r="532">
      <c r="A532" s="426" t="s">
        <v>201</v>
      </c>
      <c r="B532" s="484"/>
      <c r="C532" s="484"/>
      <c r="D532" s="484"/>
      <c r="E532" s="484"/>
      <c r="F532" s="484"/>
      <c r="G532" s="484"/>
      <c r="H532" s="484"/>
      <c r="I532" s="484"/>
      <c r="J532" s="484"/>
      <c r="K532" s="484"/>
      <c r="L532" s="428" t="s">
        <v>715</v>
      </c>
      <c r="M532" s="484"/>
      <c r="N532" s="484"/>
      <c r="O532" s="484"/>
      <c r="P532" s="484"/>
      <c r="Q532" s="484"/>
      <c r="R532" s="484"/>
      <c r="S532" s="484"/>
      <c r="T532" s="484"/>
      <c r="U532" s="484"/>
      <c r="V532" s="484"/>
      <c r="W532" s="484"/>
      <c r="X532" s="484"/>
      <c r="Y532" s="484"/>
    </row>
    <row r="533">
      <c r="A533" s="426" t="s">
        <v>2492</v>
      </c>
      <c r="B533" s="484"/>
      <c r="C533" s="484"/>
      <c r="D533" s="484"/>
      <c r="E533" s="484"/>
      <c r="F533" s="484"/>
      <c r="G533" s="484"/>
      <c r="H533" s="484"/>
      <c r="I533" s="484"/>
      <c r="J533" s="484"/>
      <c r="K533" s="484"/>
      <c r="L533" s="428" t="s">
        <v>368</v>
      </c>
      <c r="M533" s="484"/>
      <c r="N533" s="484"/>
      <c r="O533" s="484"/>
      <c r="P533" s="484"/>
      <c r="Q533" s="484"/>
      <c r="R533" s="484"/>
      <c r="S533" s="484"/>
      <c r="T533" s="484"/>
      <c r="U533" s="484"/>
      <c r="V533" s="484"/>
      <c r="W533" s="484"/>
      <c r="X533" s="484"/>
      <c r="Y533" s="484"/>
    </row>
    <row r="534">
      <c r="A534" s="426" t="s">
        <v>162</v>
      </c>
      <c r="B534" s="484"/>
      <c r="C534" s="484"/>
      <c r="D534" s="484"/>
      <c r="E534" s="484"/>
      <c r="F534" s="484"/>
      <c r="G534" s="484"/>
      <c r="H534" s="484"/>
      <c r="I534" s="484"/>
      <c r="J534" s="484"/>
      <c r="K534" s="484"/>
      <c r="L534" s="428" t="s">
        <v>78</v>
      </c>
      <c r="M534" s="484"/>
      <c r="N534" s="484"/>
      <c r="O534" s="484"/>
      <c r="P534" s="484"/>
      <c r="Q534" s="484"/>
      <c r="R534" s="484"/>
      <c r="S534" s="484"/>
      <c r="T534" s="484"/>
      <c r="U534" s="484"/>
      <c r="V534" s="484"/>
      <c r="W534" s="484"/>
      <c r="X534" s="484"/>
      <c r="Y534" s="484"/>
    </row>
    <row r="535">
      <c r="A535" s="426" t="s">
        <v>2524</v>
      </c>
      <c r="B535" s="484"/>
      <c r="C535" s="484"/>
      <c r="D535" s="484"/>
      <c r="E535" s="484"/>
      <c r="F535" s="484"/>
      <c r="G535" s="484"/>
      <c r="H535" s="484"/>
      <c r="I535" s="484"/>
      <c r="J535" s="484"/>
      <c r="K535" s="484"/>
      <c r="L535" s="428" t="s">
        <v>600</v>
      </c>
      <c r="M535" s="484"/>
      <c r="N535" s="484"/>
      <c r="O535" s="484"/>
      <c r="P535" s="484"/>
      <c r="Q535" s="484"/>
      <c r="R535" s="484"/>
      <c r="S535" s="484"/>
      <c r="T535" s="484"/>
      <c r="U535" s="484"/>
      <c r="V535" s="484"/>
      <c r="W535" s="484"/>
      <c r="X535" s="484"/>
      <c r="Y535" s="484"/>
    </row>
    <row r="536">
      <c r="A536" s="426" t="s">
        <v>574</v>
      </c>
      <c r="B536" s="484"/>
      <c r="C536" s="484"/>
      <c r="D536" s="484"/>
      <c r="E536" s="484"/>
      <c r="F536" s="484"/>
      <c r="G536" s="484"/>
      <c r="H536" s="484"/>
      <c r="I536" s="484"/>
      <c r="J536" s="484"/>
      <c r="K536" s="484"/>
      <c r="L536" s="428" t="s">
        <v>234</v>
      </c>
      <c r="M536" s="484"/>
      <c r="N536" s="484"/>
      <c r="O536" s="484"/>
      <c r="P536" s="484"/>
      <c r="Q536" s="484"/>
      <c r="R536" s="484"/>
      <c r="S536" s="484"/>
      <c r="T536" s="484"/>
      <c r="U536" s="484"/>
      <c r="V536" s="484"/>
      <c r="W536" s="484"/>
      <c r="X536" s="484"/>
      <c r="Y536" s="484"/>
    </row>
    <row r="537">
      <c r="A537" s="426" t="s">
        <v>1994</v>
      </c>
      <c r="B537" s="484"/>
      <c r="C537" s="484"/>
      <c r="D537" s="484"/>
      <c r="E537" s="484"/>
      <c r="F537" s="484"/>
      <c r="G537" s="484"/>
      <c r="H537" s="484"/>
      <c r="I537" s="484"/>
      <c r="J537" s="484"/>
      <c r="K537" s="484"/>
      <c r="L537" s="428" t="s">
        <v>333</v>
      </c>
      <c r="M537" s="484"/>
      <c r="N537" s="484"/>
      <c r="O537" s="484"/>
      <c r="P537" s="484"/>
      <c r="Q537" s="484"/>
      <c r="R537" s="484"/>
      <c r="S537" s="484"/>
      <c r="T537" s="484"/>
      <c r="U537" s="484"/>
      <c r="V537" s="484"/>
      <c r="W537" s="484"/>
      <c r="X537" s="484"/>
      <c r="Y537" s="484"/>
    </row>
    <row r="538">
      <c r="A538" s="426" t="s">
        <v>333</v>
      </c>
      <c r="B538" s="484"/>
      <c r="C538" s="484"/>
      <c r="D538" s="484"/>
      <c r="E538" s="484"/>
      <c r="F538" s="484"/>
      <c r="G538" s="484"/>
      <c r="H538" s="484"/>
      <c r="I538" s="484"/>
      <c r="J538" s="484"/>
      <c r="K538" s="484"/>
      <c r="L538" s="428" t="s">
        <v>104</v>
      </c>
      <c r="M538" s="484"/>
      <c r="N538" s="484"/>
      <c r="O538" s="484"/>
      <c r="P538" s="484"/>
      <c r="Q538" s="484"/>
      <c r="R538" s="484"/>
      <c r="S538" s="484"/>
      <c r="T538" s="484"/>
      <c r="U538" s="484"/>
      <c r="V538" s="484"/>
      <c r="W538" s="484"/>
      <c r="X538" s="484"/>
      <c r="Y538" s="484"/>
    </row>
    <row r="539">
      <c r="A539" s="426" t="s">
        <v>2359</v>
      </c>
      <c r="B539" s="484"/>
      <c r="C539" s="484"/>
      <c r="D539" s="484"/>
      <c r="E539" s="484"/>
      <c r="F539" s="484"/>
      <c r="G539" s="484"/>
      <c r="H539" s="484"/>
      <c r="I539" s="484"/>
      <c r="J539" s="484"/>
      <c r="K539" s="484"/>
      <c r="L539" s="428" t="s">
        <v>104</v>
      </c>
      <c r="M539" s="484"/>
      <c r="N539" s="484"/>
      <c r="O539" s="484"/>
      <c r="P539" s="484"/>
      <c r="Q539" s="484"/>
      <c r="R539" s="484"/>
      <c r="S539" s="484"/>
      <c r="T539" s="484"/>
      <c r="U539" s="484"/>
      <c r="V539" s="484"/>
      <c r="W539" s="484"/>
      <c r="X539" s="484"/>
      <c r="Y539" s="484"/>
    </row>
    <row r="540">
      <c r="A540" s="426" t="s">
        <v>2266</v>
      </c>
      <c r="B540" s="484"/>
      <c r="C540" s="484"/>
      <c r="D540" s="484"/>
      <c r="E540" s="484"/>
      <c r="F540" s="484"/>
      <c r="G540" s="484"/>
      <c r="H540" s="484"/>
      <c r="I540" s="484"/>
      <c r="J540" s="484"/>
      <c r="K540" s="484"/>
      <c r="L540" s="428" t="s">
        <v>104</v>
      </c>
      <c r="M540" s="484"/>
      <c r="N540" s="484"/>
      <c r="O540" s="484"/>
      <c r="P540" s="484"/>
      <c r="Q540" s="484"/>
      <c r="R540" s="484"/>
      <c r="S540" s="484"/>
      <c r="T540" s="484"/>
      <c r="U540" s="484"/>
      <c r="V540" s="484"/>
      <c r="W540" s="484"/>
      <c r="X540" s="484"/>
      <c r="Y540" s="484"/>
    </row>
    <row r="541">
      <c r="A541" s="426" t="s">
        <v>237</v>
      </c>
      <c r="B541" s="484"/>
      <c r="C541" s="484"/>
      <c r="D541" s="484"/>
      <c r="E541" s="484"/>
      <c r="F541" s="484"/>
      <c r="G541" s="484"/>
      <c r="H541" s="484"/>
      <c r="I541" s="484"/>
      <c r="J541" s="484"/>
      <c r="K541" s="484"/>
      <c r="L541" s="428" t="s">
        <v>675</v>
      </c>
      <c r="M541" s="484"/>
      <c r="N541" s="484"/>
      <c r="O541" s="484"/>
      <c r="P541" s="484"/>
      <c r="Q541" s="484"/>
      <c r="R541" s="484"/>
      <c r="S541" s="484"/>
      <c r="T541" s="484"/>
      <c r="U541" s="484"/>
      <c r="V541" s="484"/>
      <c r="W541" s="484"/>
      <c r="X541" s="484"/>
      <c r="Y541" s="484"/>
    </row>
    <row r="542">
      <c r="A542" s="426" t="s">
        <v>237</v>
      </c>
      <c r="B542" s="484"/>
      <c r="C542" s="484"/>
      <c r="D542" s="484"/>
      <c r="E542" s="484"/>
      <c r="F542" s="484"/>
      <c r="G542" s="484"/>
      <c r="H542" s="484"/>
      <c r="I542" s="484"/>
      <c r="J542" s="484"/>
      <c r="K542" s="484"/>
      <c r="L542" s="428" t="s">
        <v>431</v>
      </c>
      <c r="M542" s="484"/>
      <c r="N542" s="484"/>
      <c r="O542" s="484"/>
      <c r="P542" s="484"/>
      <c r="Q542" s="484"/>
      <c r="R542" s="484"/>
      <c r="S542" s="484"/>
      <c r="T542" s="484"/>
      <c r="U542" s="484"/>
      <c r="V542" s="484"/>
      <c r="W542" s="484"/>
      <c r="X542" s="484"/>
      <c r="Y542" s="484"/>
    </row>
    <row r="543">
      <c r="A543" s="426" t="s">
        <v>78</v>
      </c>
      <c r="B543" s="484"/>
      <c r="C543" s="484"/>
      <c r="D543" s="484"/>
      <c r="E543" s="484"/>
      <c r="F543" s="484"/>
      <c r="G543" s="484"/>
      <c r="H543" s="484"/>
      <c r="I543" s="484"/>
      <c r="J543" s="484"/>
      <c r="K543" s="484"/>
      <c r="L543" s="428" t="s">
        <v>1869</v>
      </c>
      <c r="M543" s="484"/>
      <c r="N543" s="484"/>
      <c r="O543" s="484"/>
      <c r="P543" s="484"/>
      <c r="Q543" s="484"/>
      <c r="R543" s="484"/>
      <c r="S543" s="484"/>
      <c r="T543" s="484"/>
      <c r="U543" s="484"/>
      <c r="V543" s="484"/>
      <c r="W543" s="484"/>
      <c r="X543" s="484"/>
      <c r="Y543" s="484"/>
    </row>
    <row r="544">
      <c r="A544" s="426" t="s">
        <v>1406</v>
      </c>
      <c r="B544" s="484"/>
      <c r="C544" s="484"/>
      <c r="D544" s="484"/>
      <c r="E544" s="484"/>
      <c r="F544" s="484"/>
      <c r="G544" s="484"/>
      <c r="H544" s="484"/>
      <c r="I544" s="484"/>
      <c r="J544" s="484"/>
      <c r="K544" s="484"/>
      <c r="L544" s="428" t="s">
        <v>314</v>
      </c>
      <c r="M544" s="484"/>
      <c r="N544" s="484"/>
      <c r="O544" s="484"/>
      <c r="P544" s="484"/>
      <c r="Q544" s="484"/>
      <c r="R544" s="484"/>
      <c r="S544" s="484"/>
      <c r="T544" s="484"/>
      <c r="U544" s="484"/>
      <c r="V544" s="484"/>
      <c r="W544" s="484"/>
      <c r="X544" s="484"/>
      <c r="Y544" s="484"/>
    </row>
    <row r="545">
      <c r="A545" s="426" t="s">
        <v>710</v>
      </c>
      <c r="B545" s="484"/>
      <c r="C545" s="484"/>
      <c r="D545" s="484"/>
      <c r="E545" s="484"/>
      <c r="F545" s="484"/>
      <c r="G545" s="484"/>
      <c r="H545" s="484"/>
      <c r="I545" s="484"/>
      <c r="J545" s="484"/>
      <c r="K545" s="484"/>
      <c r="L545" s="428" t="s">
        <v>1025</v>
      </c>
      <c r="M545" s="484"/>
      <c r="N545" s="484"/>
      <c r="O545" s="484"/>
      <c r="P545" s="484"/>
      <c r="Q545" s="484"/>
      <c r="R545" s="484"/>
      <c r="S545" s="484"/>
      <c r="T545" s="484"/>
      <c r="U545" s="484"/>
      <c r="V545" s="484"/>
      <c r="W545" s="484"/>
      <c r="X545" s="484"/>
      <c r="Y545" s="484"/>
    </row>
    <row r="546">
      <c r="A546" s="426" t="s">
        <v>1242</v>
      </c>
      <c r="B546" s="484"/>
      <c r="C546" s="484"/>
      <c r="D546" s="484"/>
      <c r="E546" s="484"/>
      <c r="F546" s="484"/>
      <c r="G546" s="484"/>
      <c r="H546" s="484"/>
      <c r="I546" s="484"/>
      <c r="J546" s="484"/>
      <c r="K546" s="484"/>
      <c r="L546" s="428" t="s">
        <v>231</v>
      </c>
      <c r="M546" s="484"/>
      <c r="N546" s="484"/>
      <c r="O546" s="484"/>
      <c r="P546" s="484"/>
      <c r="Q546" s="484"/>
      <c r="R546" s="484"/>
      <c r="S546" s="484"/>
      <c r="T546" s="484"/>
      <c r="U546" s="484"/>
      <c r="V546" s="484"/>
      <c r="W546" s="484"/>
      <c r="X546" s="484"/>
      <c r="Y546" s="484"/>
    </row>
    <row r="547">
      <c r="A547" s="426" t="s">
        <v>760</v>
      </c>
      <c r="B547" s="484"/>
      <c r="C547" s="484"/>
      <c r="D547" s="484"/>
      <c r="E547" s="484"/>
      <c r="F547" s="484"/>
      <c r="G547" s="484"/>
      <c r="H547" s="484"/>
      <c r="I547" s="484"/>
      <c r="J547" s="484"/>
      <c r="K547" s="484"/>
      <c r="L547" s="428" t="s">
        <v>424</v>
      </c>
      <c r="M547" s="484"/>
      <c r="N547" s="484"/>
      <c r="O547" s="484"/>
      <c r="P547" s="484"/>
      <c r="Q547" s="484"/>
      <c r="R547" s="484"/>
      <c r="S547" s="484"/>
      <c r="T547" s="484"/>
      <c r="U547" s="484"/>
      <c r="V547" s="484"/>
      <c r="W547" s="484"/>
      <c r="X547" s="484"/>
      <c r="Y547" s="484"/>
    </row>
    <row r="548">
      <c r="A548" s="426" t="s">
        <v>1116</v>
      </c>
      <c r="B548" s="484"/>
      <c r="C548" s="484"/>
      <c r="D548" s="484"/>
      <c r="E548" s="484"/>
      <c r="F548" s="484"/>
      <c r="G548" s="484"/>
      <c r="H548" s="484"/>
      <c r="I548" s="484"/>
      <c r="J548" s="484"/>
      <c r="K548" s="484"/>
      <c r="L548" s="428" t="s">
        <v>385</v>
      </c>
      <c r="M548" s="484"/>
      <c r="N548" s="484"/>
      <c r="O548" s="484"/>
      <c r="P548" s="484"/>
      <c r="Q548" s="484"/>
      <c r="R548" s="484"/>
      <c r="S548" s="484"/>
      <c r="T548" s="484"/>
      <c r="U548" s="484"/>
      <c r="V548" s="484"/>
      <c r="W548" s="484"/>
      <c r="X548" s="484"/>
      <c r="Y548" s="484"/>
    </row>
    <row r="549">
      <c r="A549" s="426" t="s">
        <v>1041</v>
      </c>
      <c r="B549" s="484"/>
      <c r="C549" s="484"/>
      <c r="D549" s="484"/>
      <c r="E549" s="484"/>
      <c r="F549" s="484"/>
      <c r="G549" s="484"/>
      <c r="H549" s="484"/>
      <c r="I549" s="484"/>
      <c r="J549" s="484"/>
      <c r="K549" s="484"/>
      <c r="L549" s="428" t="s">
        <v>382</v>
      </c>
      <c r="M549" s="484"/>
      <c r="N549" s="484"/>
      <c r="O549" s="484"/>
      <c r="P549" s="484"/>
      <c r="Q549" s="484"/>
      <c r="R549" s="484"/>
      <c r="S549" s="484"/>
      <c r="T549" s="484"/>
      <c r="U549" s="484"/>
      <c r="V549" s="484"/>
      <c r="W549" s="484"/>
      <c r="X549" s="484"/>
      <c r="Y549" s="484"/>
    </row>
    <row r="550">
      <c r="A550" s="426" t="s">
        <v>2239</v>
      </c>
      <c r="B550" s="484"/>
      <c r="C550" s="484"/>
      <c r="D550" s="484"/>
      <c r="E550" s="484"/>
      <c r="F550" s="484"/>
      <c r="G550" s="484"/>
      <c r="H550" s="484"/>
      <c r="I550" s="484"/>
      <c r="J550" s="484"/>
      <c r="K550" s="484"/>
      <c r="L550" s="428" t="s">
        <v>171</v>
      </c>
      <c r="M550" s="484"/>
      <c r="N550" s="484"/>
      <c r="O550" s="484"/>
      <c r="P550" s="484"/>
      <c r="Q550" s="484"/>
      <c r="R550" s="484"/>
      <c r="S550" s="484"/>
      <c r="T550" s="484"/>
      <c r="U550" s="484"/>
      <c r="V550" s="484"/>
      <c r="W550" s="484"/>
      <c r="X550" s="484"/>
      <c r="Y550" s="484"/>
    </row>
    <row r="551">
      <c r="A551" s="426" t="s">
        <v>153</v>
      </c>
      <c r="B551" s="484"/>
      <c r="C551" s="484"/>
      <c r="D551" s="484"/>
      <c r="E551" s="484"/>
      <c r="F551" s="484"/>
      <c r="G551" s="484"/>
      <c r="H551" s="484"/>
      <c r="I551" s="484"/>
      <c r="J551" s="484"/>
      <c r="K551" s="484"/>
      <c r="L551" s="428" t="s">
        <v>1902</v>
      </c>
      <c r="M551" s="484"/>
      <c r="N551" s="484"/>
      <c r="O551" s="484"/>
      <c r="P551" s="484"/>
      <c r="Q551" s="484"/>
      <c r="R551" s="484"/>
      <c r="S551" s="484"/>
      <c r="T551" s="484"/>
      <c r="U551" s="484"/>
      <c r="V551" s="484"/>
      <c r="W551" s="484"/>
      <c r="X551" s="484"/>
      <c r="Y551" s="484"/>
    </row>
    <row r="552">
      <c r="A552" s="426" t="s">
        <v>416</v>
      </c>
      <c r="B552" s="484"/>
      <c r="C552" s="484"/>
      <c r="D552" s="484"/>
      <c r="E552" s="484"/>
      <c r="F552" s="484"/>
      <c r="G552" s="484"/>
      <c r="H552" s="484"/>
      <c r="I552" s="484"/>
      <c r="J552" s="484"/>
      <c r="K552" s="484"/>
      <c r="L552" s="428" t="s">
        <v>209</v>
      </c>
      <c r="M552" s="484"/>
      <c r="N552" s="484"/>
      <c r="O552" s="484"/>
      <c r="P552" s="484"/>
      <c r="Q552" s="484"/>
      <c r="R552" s="484"/>
      <c r="S552" s="484"/>
      <c r="T552" s="484"/>
      <c r="U552" s="484"/>
      <c r="V552" s="484"/>
      <c r="W552" s="484"/>
      <c r="X552" s="484"/>
      <c r="Y552" s="484"/>
    </row>
    <row r="553">
      <c r="A553" s="426" t="s">
        <v>416</v>
      </c>
      <c r="B553" s="484"/>
      <c r="C553" s="484"/>
      <c r="D553" s="484"/>
      <c r="E553" s="484"/>
      <c r="F553" s="484"/>
      <c r="G553" s="484"/>
      <c r="H553" s="484"/>
      <c r="I553" s="484"/>
      <c r="J553" s="484"/>
      <c r="K553" s="484"/>
      <c r="L553" s="428" t="s">
        <v>148</v>
      </c>
      <c r="M553" s="484"/>
      <c r="N553" s="484"/>
      <c r="O553" s="484"/>
      <c r="P553" s="484"/>
      <c r="Q553" s="484"/>
      <c r="R553" s="484"/>
      <c r="S553" s="484"/>
      <c r="T553" s="484"/>
      <c r="U553" s="484"/>
      <c r="V553" s="484"/>
      <c r="W553" s="484"/>
      <c r="X553" s="484"/>
      <c r="Y553" s="484"/>
    </row>
    <row r="554">
      <c r="A554" s="426" t="s">
        <v>416</v>
      </c>
      <c r="B554" s="484"/>
      <c r="C554" s="484"/>
      <c r="D554" s="484"/>
      <c r="E554" s="484"/>
      <c r="F554" s="484"/>
      <c r="G554" s="484"/>
      <c r="H554" s="484"/>
      <c r="I554" s="484"/>
      <c r="J554" s="484"/>
      <c r="K554" s="484"/>
      <c r="L554" s="428" t="s">
        <v>1242</v>
      </c>
      <c r="M554" s="484"/>
      <c r="N554" s="484"/>
      <c r="O554" s="484"/>
      <c r="P554" s="484"/>
      <c r="Q554" s="484"/>
      <c r="R554" s="484"/>
      <c r="S554" s="484"/>
      <c r="T554" s="484"/>
      <c r="U554" s="484"/>
      <c r="V554" s="484"/>
      <c r="W554" s="484"/>
      <c r="X554" s="484"/>
      <c r="Y554" s="484"/>
    </row>
    <row r="555">
      <c r="A555" s="426" t="s">
        <v>416</v>
      </c>
      <c r="B555" s="484"/>
      <c r="C555" s="484"/>
      <c r="D555" s="484"/>
      <c r="E555" s="484"/>
      <c r="F555" s="484"/>
      <c r="G555" s="484"/>
      <c r="H555" s="484"/>
      <c r="I555" s="484"/>
      <c r="J555" s="484"/>
      <c r="K555" s="484"/>
      <c r="L555" s="428" t="s">
        <v>150</v>
      </c>
      <c r="M555" s="484"/>
      <c r="N555" s="484"/>
      <c r="O555" s="484"/>
      <c r="P555" s="484"/>
      <c r="Q555" s="484"/>
      <c r="R555" s="484"/>
      <c r="S555" s="484"/>
      <c r="T555" s="484"/>
      <c r="U555" s="484"/>
      <c r="V555" s="484"/>
      <c r="W555" s="484"/>
      <c r="X555" s="484"/>
      <c r="Y555" s="484"/>
    </row>
    <row r="556">
      <c r="A556" s="426" t="s">
        <v>715</v>
      </c>
      <c r="B556" s="484"/>
      <c r="C556" s="484"/>
      <c r="D556" s="484"/>
      <c r="E556" s="484"/>
      <c r="F556" s="484"/>
      <c r="G556" s="484"/>
      <c r="H556" s="484"/>
      <c r="I556" s="484"/>
      <c r="J556" s="484"/>
      <c r="K556" s="484"/>
      <c r="L556" s="428" t="s">
        <v>600</v>
      </c>
      <c r="M556" s="484"/>
      <c r="N556" s="484"/>
      <c r="O556" s="484"/>
      <c r="P556" s="484"/>
      <c r="Q556" s="484"/>
      <c r="R556" s="484"/>
      <c r="S556" s="484"/>
      <c r="T556" s="484"/>
      <c r="U556" s="484"/>
      <c r="V556" s="484"/>
      <c r="W556" s="484"/>
      <c r="X556" s="484"/>
      <c r="Y556" s="484"/>
    </row>
    <row r="557">
      <c r="A557" s="426" t="s">
        <v>314</v>
      </c>
      <c r="B557" s="484"/>
      <c r="C557" s="484"/>
      <c r="D557" s="484"/>
      <c r="E557" s="484"/>
      <c r="F557" s="484"/>
      <c r="G557" s="484"/>
      <c r="H557" s="484"/>
      <c r="I557" s="484"/>
      <c r="J557" s="484"/>
      <c r="K557" s="484"/>
      <c r="L557" s="428" t="s">
        <v>188</v>
      </c>
      <c r="M557" s="484"/>
      <c r="N557" s="484"/>
      <c r="O557" s="484"/>
      <c r="P557" s="484"/>
      <c r="Q557" s="484"/>
      <c r="R557" s="484"/>
      <c r="S557" s="484"/>
      <c r="T557" s="484"/>
      <c r="U557" s="484"/>
      <c r="V557" s="484"/>
      <c r="W557" s="484"/>
      <c r="X557" s="484"/>
      <c r="Y557" s="484"/>
    </row>
    <row r="558">
      <c r="A558" s="484"/>
      <c r="B558" s="484"/>
      <c r="C558" s="484"/>
      <c r="D558" s="484"/>
      <c r="E558" s="484"/>
      <c r="F558" s="484"/>
      <c r="G558" s="484"/>
      <c r="H558" s="484"/>
      <c r="I558" s="484"/>
      <c r="J558" s="484"/>
      <c r="K558" s="484"/>
      <c r="L558" s="428" t="s">
        <v>1931</v>
      </c>
      <c r="M558" s="484"/>
      <c r="N558" s="484"/>
      <c r="O558" s="484"/>
      <c r="P558" s="484"/>
      <c r="Q558" s="484"/>
      <c r="R558" s="484"/>
      <c r="S558" s="484"/>
      <c r="T558" s="484"/>
      <c r="U558" s="484"/>
      <c r="V558" s="484"/>
      <c r="W558" s="484"/>
      <c r="X558" s="484"/>
      <c r="Y558" s="484"/>
    </row>
    <row r="559">
      <c r="A559" s="484"/>
      <c r="B559" s="484"/>
      <c r="C559" s="484"/>
      <c r="D559" s="484"/>
      <c r="E559" s="484"/>
      <c r="F559" s="484"/>
      <c r="G559" s="484"/>
      <c r="H559" s="484"/>
      <c r="I559" s="484"/>
      <c r="J559" s="484"/>
      <c r="K559" s="484"/>
      <c r="L559" s="428" t="s">
        <v>650</v>
      </c>
      <c r="M559" s="484"/>
      <c r="N559" s="484"/>
      <c r="O559" s="484"/>
      <c r="P559" s="484"/>
      <c r="Q559" s="484"/>
      <c r="R559" s="484"/>
      <c r="S559" s="484"/>
      <c r="T559" s="484"/>
      <c r="U559" s="484"/>
      <c r="V559" s="484"/>
      <c r="W559" s="484"/>
      <c r="X559" s="484"/>
      <c r="Y559" s="484"/>
    </row>
    <row r="560">
      <c r="A560" s="484"/>
      <c r="B560" s="484"/>
      <c r="C560" s="484"/>
      <c r="D560" s="484"/>
      <c r="E560" s="484"/>
      <c r="F560" s="484"/>
      <c r="G560" s="484"/>
      <c r="H560" s="484"/>
      <c r="I560" s="484"/>
      <c r="J560" s="484"/>
      <c r="K560" s="484"/>
      <c r="L560" s="428" t="s">
        <v>697</v>
      </c>
      <c r="M560" s="484"/>
      <c r="N560" s="484"/>
      <c r="O560" s="484"/>
      <c r="P560" s="484"/>
      <c r="Q560" s="484"/>
      <c r="R560" s="484"/>
      <c r="S560" s="484"/>
      <c r="T560" s="484"/>
      <c r="U560" s="484"/>
      <c r="V560" s="484"/>
      <c r="W560" s="484"/>
      <c r="X560" s="484"/>
      <c r="Y560" s="484"/>
    </row>
    <row r="561">
      <c r="A561" s="484"/>
      <c r="B561" s="484"/>
      <c r="C561" s="484"/>
      <c r="D561" s="484"/>
      <c r="E561" s="484"/>
      <c r="F561" s="484"/>
      <c r="G561" s="484"/>
      <c r="H561" s="484"/>
      <c r="I561" s="484"/>
      <c r="J561" s="484"/>
      <c r="K561" s="484"/>
      <c r="L561" s="428" t="s">
        <v>516</v>
      </c>
      <c r="M561" s="484"/>
      <c r="N561" s="484"/>
      <c r="O561" s="484"/>
      <c r="P561" s="484"/>
      <c r="Q561" s="484"/>
      <c r="R561" s="484"/>
      <c r="S561" s="484"/>
      <c r="T561" s="484"/>
      <c r="U561" s="484"/>
      <c r="V561" s="484"/>
      <c r="W561" s="484"/>
      <c r="X561" s="484"/>
      <c r="Y561" s="484"/>
    </row>
    <row r="562">
      <c r="A562" s="484"/>
      <c r="B562" s="484"/>
      <c r="C562" s="484"/>
      <c r="D562" s="484"/>
      <c r="E562" s="484"/>
      <c r="F562" s="484"/>
      <c r="G562" s="484"/>
      <c r="H562" s="484"/>
      <c r="I562" s="484"/>
      <c r="J562" s="484"/>
      <c r="K562" s="484"/>
      <c r="L562" s="428" t="s">
        <v>123</v>
      </c>
      <c r="M562" s="484"/>
      <c r="N562" s="484"/>
      <c r="O562" s="484"/>
      <c r="P562" s="484"/>
      <c r="Q562" s="484"/>
      <c r="R562" s="484"/>
      <c r="S562" s="484"/>
      <c r="T562" s="484"/>
      <c r="U562" s="484"/>
      <c r="V562" s="484"/>
      <c r="W562" s="484"/>
      <c r="X562" s="484"/>
      <c r="Y562" s="484"/>
    </row>
    <row r="563">
      <c r="A563" s="484"/>
      <c r="B563" s="484"/>
      <c r="C563" s="484"/>
      <c r="D563" s="484"/>
      <c r="E563" s="484"/>
      <c r="F563" s="484"/>
      <c r="G563" s="484"/>
      <c r="H563" s="484"/>
      <c r="I563" s="484"/>
      <c r="J563" s="484"/>
      <c r="K563" s="484"/>
      <c r="L563" s="428" t="s">
        <v>1284</v>
      </c>
      <c r="M563" s="484"/>
      <c r="N563" s="484"/>
      <c r="O563" s="484"/>
      <c r="P563" s="484"/>
      <c r="Q563" s="484"/>
      <c r="R563" s="484"/>
      <c r="S563" s="484"/>
      <c r="T563" s="484"/>
      <c r="U563" s="484"/>
      <c r="V563" s="484"/>
      <c r="W563" s="484"/>
      <c r="X563" s="484"/>
      <c r="Y563" s="484"/>
    </row>
    <row r="564">
      <c r="A564" s="484"/>
      <c r="B564" s="484"/>
      <c r="C564" s="484"/>
      <c r="D564" s="484"/>
      <c r="E564" s="484"/>
      <c r="F564" s="484"/>
      <c r="G564" s="484"/>
      <c r="H564" s="484"/>
      <c r="I564" s="484"/>
      <c r="J564" s="484"/>
      <c r="K564" s="484"/>
      <c r="L564" s="428" t="s">
        <v>311</v>
      </c>
      <c r="M564" s="484"/>
      <c r="N564" s="484"/>
      <c r="O564" s="484"/>
      <c r="P564" s="484"/>
      <c r="Q564" s="484"/>
      <c r="R564" s="484"/>
      <c r="S564" s="484"/>
      <c r="T564" s="484"/>
      <c r="U564" s="484"/>
      <c r="V564" s="484"/>
      <c r="W564" s="484"/>
      <c r="X564" s="484"/>
      <c r="Y564" s="484"/>
    </row>
    <row r="565">
      <c r="A565" s="484"/>
      <c r="B565" s="484"/>
      <c r="C565" s="484"/>
      <c r="D565" s="484"/>
      <c r="E565" s="484"/>
      <c r="F565" s="484"/>
      <c r="G565" s="484"/>
      <c r="H565" s="484"/>
      <c r="I565" s="484"/>
      <c r="J565" s="484"/>
      <c r="K565" s="484"/>
      <c r="L565" s="428" t="s">
        <v>385</v>
      </c>
      <c r="M565" s="484"/>
      <c r="N565" s="484"/>
      <c r="O565" s="484"/>
      <c r="P565" s="484"/>
      <c r="Q565" s="484"/>
      <c r="R565" s="484"/>
      <c r="S565" s="484"/>
      <c r="T565" s="484"/>
      <c r="U565" s="484"/>
      <c r="V565" s="484"/>
      <c r="W565" s="484"/>
      <c r="X565" s="484"/>
      <c r="Y565" s="484"/>
    </row>
    <row r="566">
      <c r="A566" s="484"/>
      <c r="B566" s="484"/>
      <c r="C566" s="484"/>
      <c r="D566" s="484"/>
      <c r="E566" s="484"/>
      <c r="F566" s="484"/>
      <c r="G566" s="484"/>
      <c r="H566" s="484"/>
      <c r="I566" s="484"/>
      <c r="J566" s="484"/>
      <c r="K566" s="484"/>
      <c r="L566" s="428" t="s">
        <v>436</v>
      </c>
      <c r="M566" s="484"/>
      <c r="N566" s="484"/>
      <c r="O566" s="484"/>
      <c r="P566" s="484"/>
      <c r="Q566" s="484"/>
      <c r="R566" s="484"/>
      <c r="S566" s="484"/>
      <c r="T566" s="484"/>
      <c r="U566" s="484"/>
      <c r="V566" s="484"/>
      <c r="W566" s="484"/>
      <c r="X566" s="484"/>
      <c r="Y566" s="484"/>
    </row>
    <row r="567">
      <c r="A567" s="484"/>
      <c r="B567" s="484"/>
      <c r="C567" s="484"/>
      <c r="D567" s="484"/>
      <c r="E567" s="484"/>
      <c r="F567" s="484"/>
      <c r="G567" s="484"/>
      <c r="H567" s="484"/>
      <c r="I567" s="484"/>
      <c r="J567" s="484"/>
      <c r="K567" s="484"/>
      <c r="L567" s="428" t="s">
        <v>130</v>
      </c>
      <c r="M567" s="484"/>
      <c r="N567" s="484"/>
      <c r="O567" s="484"/>
      <c r="P567" s="484"/>
      <c r="Q567" s="484"/>
      <c r="R567" s="484"/>
      <c r="S567" s="484"/>
      <c r="T567" s="484"/>
      <c r="U567" s="484"/>
      <c r="V567" s="484"/>
      <c r="W567" s="484"/>
      <c r="X567" s="484"/>
      <c r="Y567" s="484"/>
    </row>
    <row r="568">
      <c r="A568" s="484"/>
      <c r="B568" s="484"/>
      <c r="C568" s="484"/>
      <c r="D568" s="484"/>
      <c r="E568" s="484"/>
      <c r="F568" s="484"/>
      <c r="G568" s="484"/>
      <c r="H568" s="484"/>
      <c r="I568" s="484"/>
      <c r="J568" s="484"/>
      <c r="K568" s="484"/>
      <c r="L568" s="428" t="s">
        <v>193</v>
      </c>
      <c r="M568" s="484"/>
      <c r="N568" s="484"/>
      <c r="O568" s="484"/>
      <c r="P568" s="484"/>
      <c r="Q568" s="484"/>
      <c r="R568" s="484"/>
      <c r="S568" s="484"/>
      <c r="T568" s="484"/>
      <c r="U568" s="484"/>
      <c r="V568" s="484"/>
      <c r="W568" s="484"/>
      <c r="X568" s="484"/>
      <c r="Y568" s="484"/>
    </row>
    <row r="569">
      <c r="A569" s="484"/>
      <c r="B569" s="484"/>
      <c r="C569" s="484"/>
      <c r="D569" s="484"/>
      <c r="E569" s="484"/>
      <c r="F569" s="484"/>
      <c r="G569" s="484"/>
      <c r="H569" s="484"/>
      <c r="I569" s="484"/>
      <c r="J569" s="484"/>
      <c r="K569" s="484"/>
      <c r="L569" s="428" t="s">
        <v>323</v>
      </c>
      <c r="M569" s="484"/>
      <c r="N569" s="484"/>
      <c r="O569" s="484"/>
      <c r="P569" s="484"/>
      <c r="Q569" s="484"/>
      <c r="R569" s="484"/>
      <c r="S569" s="484"/>
      <c r="T569" s="484"/>
      <c r="U569" s="484"/>
      <c r="V569" s="484"/>
      <c r="W569" s="484"/>
      <c r="X569" s="484"/>
      <c r="Y569" s="484"/>
    </row>
    <row r="570">
      <c r="A570" s="484"/>
      <c r="B570" s="484"/>
      <c r="C570" s="484"/>
      <c r="D570" s="484"/>
      <c r="E570" s="484"/>
      <c r="F570" s="484"/>
      <c r="G570" s="484"/>
      <c r="H570" s="484"/>
      <c r="I570" s="484"/>
      <c r="J570" s="484"/>
      <c r="K570" s="484"/>
      <c r="L570" s="428" t="s">
        <v>64</v>
      </c>
      <c r="M570" s="484"/>
      <c r="N570" s="484"/>
      <c r="O570" s="484"/>
      <c r="P570" s="484"/>
      <c r="Q570" s="484"/>
      <c r="R570" s="484"/>
      <c r="S570" s="484"/>
      <c r="T570" s="484"/>
      <c r="U570" s="484"/>
      <c r="V570" s="484"/>
      <c r="W570" s="484"/>
      <c r="X570" s="484"/>
      <c r="Y570" s="484"/>
    </row>
    <row r="571">
      <c r="A571" s="484"/>
      <c r="B571" s="484"/>
      <c r="C571" s="484"/>
      <c r="D571" s="484"/>
      <c r="E571" s="484"/>
      <c r="F571" s="484"/>
      <c r="G571" s="484"/>
      <c r="H571" s="484"/>
      <c r="I571" s="484"/>
      <c r="J571" s="484"/>
      <c r="K571" s="484"/>
      <c r="L571" s="428" t="s">
        <v>323</v>
      </c>
      <c r="M571" s="484"/>
      <c r="N571" s="484"/>
      <c r="O571" s="484"/>
      <c r="P571" s="484"/>
      <c r="Q571" s="484"/>
      <c r="R571" s="484"/>
      <c r="S571" s="484"/>
      <c r="T571" s="484"/>
      <c r="U571" s="484"/>
      <c r="V571" s="484"/>
      <c r="W571" s="484"/>
      <c r="X571" s="484"/>
      <c r="Y571" s="484"/>
    </row>
    <row r="572">
      <c r="A572" s="484"/>
      <c r="B572" s="484"/>
      <c r="C572" s="484"/>
      <c r="D572" s="484"/>
      <c r="E572" s="484"/>
      <c r="F572" s="484"/>
      <c r="G572" s="484"/>
      <c r="H572" s="484"/>
      <c r="I572" s="484"/>
      <c r="J572" s="484"/>
      <c r="K572" s="484"/>
      <c r="L572" s="428" t="s">
        <v>123</v>
      </c>
      <c r="M572" s="484"/>
      <c r="N572" s="484"/>
      <c r="O572" s="484"/>
      <c r="P572" s="484"/>
      <c r="Q572" s="484"/>
      <c r="R572" s="484"/>
      <c r="S572" s="484"/>
      <c r="T572" s="484"/>
      <c r="U572" s="484"/>
      <c r="V572" s="484"/>
      <c r="W572" s="484"/>
      <c r="X572" s="484"/>
      <c r="Y572" s="484"/>
    </row>
    <row r="573">
      <c r="A573" s="484"/>
      <c r="B573" s="484"/>
      <c r="C573" s="484"/>
      <c r="D573" s="484"/>
      <c r="E573" s="484"/>
      <c r="F573" s="484"/>
      <c r="G573" s="484"/>
      <c r="H573" s="484"/>
      <c r="I573" s="484"/>
      <c r="J573" s="484"/>
      <c r="K573" s="484"/>
      <c r="L573" s="428" t="s">
        <v>494</v>
      </c>
      <c r="M573" s="484"/>
      <c r="N573" s="484"/>
      <c r="O573" s="484"/>
      <c r="P573" s="484"/>
      <c r="Q573" s="484"/>
      <c r="R573" s="484"/>
      <c r="S573" s="484"/>
      <c r="T573" s="484"/>
      <c r="U573" s="484"/>
      <c r="V573" s="484"/>
      <c r="W573" s="484"/>
      <c r="X573" s="484"/>
      <c r="Y573" s="484"/>
    </row>
    <row r="574">
      <c r="A574" s="484"/>
      <c r="B574" s="484"/>
      <c r="C574" s="484"/>
      <c r="D574" s="484"/>
      <c r="E574" s="484"/>
      <c r="F574" s="484"/>
      <c r="G574" s="484"/>
      <c r="H574" s="484"/>
      <c r="I574" s="484"/>
      <c r="J574" s="484"/>
      <c r="K574" s="484"/>
      <c r="L574" s="428" t="s">
        <v>1990</v>
      </c>
      <c r="M574" s="484"/>
      <c r="N574" s="484"/>
      <c r="O574" s="484"/>
      <c r="P574" s="484"/>
      <c r="Q574" s="484"/>
      <c r="R574" s="484"/>
      <c r="S574" s="484"/>
      <c r="T574" s="484"/>
      <c r="U574" s="484"/>
      <c r="V574" s="484"/>
      <c r="W574" s="484"/>
      <c r="X574" s="484"/>
      <c r="Y574" s="484"/>
    </row>
    <row r="575">
      <c r="A575" s="484"/>
      <c r="B575" s="484"/>
      <c r="C575" s="484"/>
      <c r="D575" s="484"/>
      <c r="E575" s="484"/>
      <c r="F575" s="484"/>
      <c r="G575" s="484"/>
      <c r="H575" s="484"/>
      <c r="I575" s="484"/>
      <c r="J575" s="484"/>
      <c r="K575" s="484"/>
      <c r="L575" s="428" t="s">
        <v>1994</v>
      </c>
      <c r="M575" s="484"/>
      <c r="N575" s="484"/>
      <c r="O575" s="484"/>
      <c r="P575" s="484"/>
      <c r="Q575" s="484"/>
      <c r="R575" s="484"/>
      <c r="S575" s="484"/>
      <c r="T575" s="484"/>
      <c r="U575" s="484"/>
      <c r="V575" s="484"/>
      <c r="W575" s="484"/>
      <c r="X575" s="484"/>
      <c r="Y575" s="484"/>
    </row>
    <row r="576">
      <c r="A576" s="484"/>
      <c r="B576" s="484"/>
      <c r="C576" s="484"/>
      <c r="D576" s="484"/>
      <c r="E576" s="484"/>
      <c r="F576" s="484"/>
      <c r="G576" s="484"/>
      <c r="H576" s="484"/>
      <c r="I576" s="484"/>
      <c r="J576" s="484"/>
      <c r="K576" s="484"/>
      <c r="L576" s="428" t="s">
        <v>1994</v>
      </c>
      <c r="M576" s="484"/>
      <c r="N576" s="484"/>
      <c r="O576" s="484"/>
      <c r="P576" s="484"/>
      <c r="Q576" s="484"/>
      <c r="R576" s="484"/>
      <c r="S576" s="484"/>
      <c r="T576" s="484"/>
      <c r="U576" s="484"/>
      <c r="V576" s="484"/>
      <c r="W576" s="484"/>
      <c r="X576" s="484"/>
      <c r="Y576" s="484"/>
    </row>
    <row r="577">
      <c r="A577" s="484"/>
      <c r="B577" s="484"/>
      <c r="C577" s="484"/>
      <c r="D577" s="484"/>
      <c r="E577" s="484"/>
      <c r="F577" s="484"/>
      <c r="G577" s="484"/>
      <c r="H577" s="484"/>
      <c r="I577" s="484"/>
      <c r="J577" s="484"/>
      <c r="K577" s="484"/>
      <c r="L577" s="428" t="s">
        <v>237</v>
      </c>
      <c r="M577" s="484"/>
      <c r="N577" s="484"/>
      <c r="O577" s="484"/>
      <c r="P577" s="484"/>
      <c r="Q577" s="484"/>
      <c r="R577" s="484"/>
      <c r="S577" s="484"/>
      <c r="T577" s="484"/>
      <c r="U577" s="484"/>
      <c r="V577" s="484"/>
      <c r="W577" s="484"/>
      <c r="X577" s="484"/>
      <c r="Y577" s="484"/>
    </row>
    <row r="578">
      <c r="A578" s="484"/>
      <c r="B578" s="484"/>
      <c r="C578" s="484"/>
      <c r="D578" s="484"/>
      <c r="E578" s="484"/>
      <c r="F578" s="484"/>
      <c r="G578" s="484"/>
      <c r="H578" s="484"/>
      <c r="I578" s="484"/>
      <c r="J578" s="484"/>
      <c r="K578" s="484"/>
      <c r="L578" s="428" t="s">
        <v>123</v>
      </c>
      <c r="M578" s="484"/>
      <c r="N578" s="484"/>
      <c r="O578" s="484"/>
      <c r="P578" s="484"/>
      <c r="Q578" s="484"/>
      <c r="R578" s="484"/>
      <c r="S578" s="484"/>
      <c r="T578" s="484"/>
      <c r="U578" s="484"/>
      <c r="V578" s="484"/>
      <c r="W578" s="484"/>
      <c r="X578" s="484"/>
      <c r="Y578" s="484"/>
    </row>
    <row r="579">
      <c r="A579" s="484"/>
      <c r="B579" s="484"/>
      <c r="C579" s="484"/>
      <c r="D579" s="484"/>
      <c r="E579" s="484"/>
      <c r="F579" s="484"/>
      <c r="G579" s="484"/>
      <c r="H579" s="484"/>
      <c r="I579" s="484"/>
      <c r="J579" s="484"/>
      <c r="K579" s="484"/>
      <c r="L579" s="428" t="s">
        <v>104</v>
      </c>
      <c r="M579" s="484"/>
      <c r="N579" s="484"/>
      <c r="O579" s="484"/>
      <c r="P579" s="484"/>
      <c r="Q579" s="484"/>
      <c r="R579" s="484"/>
      <c r="S579" s="484"/>
      <c r="T579" s="484"/>
      <c r="U579" s="484"/>
      <c r="V579" s="484"/>
      <c r="W579" s="484"/>
      <c r="X579" s="484"/>
      <c r="Y579" s="484"/>
    </row>
    <row r="580">
      <c r="A580" s="484"/>
      <c r="B580" s="484"/>
      <c r="C580" s="484"/>
      <c r="D580" s="484"/>
      <c r="E580" s="484"/>
      <c r="F580" s="484"/>
      <c r="G580" s="484"/>
      <c r="H580" s="484"/>
      <c r="I580" s="484"/>
      <c r="J580" s="484"/>
      <c r="K580" s="484"/>
      <c r="L580" s="428" t="s">
        <v>219</v>
      </c>
      <c r="M580" s="484"/>
      <c r="N580" s="484"/>
      <c r="O580" s="484"/>
      <c r="P580" s="484"/>
      <c r="Q580" s="484"/>
      <c r="R580" s="484"/>
      <c r="S580" s="484"/>
      <c r="T580" s="484"/>
      <c r="U580" s="484"/>
      <c r="V580" s="484"/>
      <c r="W580" s="484"/>
      <c r="X580" s="484"/>
      <c r="Y580" s="484"/>
    </row>
    <row r="581">
      <c r="A581" s="484"/>
      <c r="B581" s="484"/>
      <c r="C581" s="484"/>
      <c r="D581" s="484"/>
      <c r="E581" s="484"/>
      <c r="F581" s="484"/>
      <c r="G581" s="484"/>
      <c r="H581" s="484"/>
      <c r="I581" s="484"/>
      <c r="J581" s="484"/>
      <c r="K581" s="484"/>
      <c r="L581" s="428" t="s">
        <v>1539</v>
      </c>
      <c r="M581" s="484"/>
      <c r="N581" s="484"/>
      <c r="O581" s="484"/>
      <c r="P581" s="484"/>
      <c r="Q581" s="484"/>
      <c r="R581" s="484"/>
      <c r="S581" s="484"/>
      <c r="T581" s="484"/>
      <c r="U581" s="484"/>
      <c r="V581" s="484"/>
      <c r="W581" s="484"/>
      <c r="X581" s="484"/>
      <c r="Y581" s="484"/>
    </row>
    <row r="582">
      <c r="A582" s="484"/>
      <c r="B582" s="484"/>
      <c r="C582" s="484"/>
      <c r="D582" s="484"/>
      <c r="E582" s="484"/>
      <c r="F582" s="484"/>
      <c r="G582" s="484"/>
      <c r="H582" s="484"/>
      <c r="I582" s="484"/>
      <c r="J582" s="484"/>
      <c r="K582" s="484"/>
      <c r="L582" s="428" t="s">
        <v>487</v>
      </c>
      <c r="M582" s="484"/>
      <c r="N582" s="484"/>
      <c r="O582" s="484"/>
      <c r="P582" s="484"/>
      <c r="Q582" s="484"/>
      <c r="R582" s="484"/>
      <c r="S582" s="484"/>
      <c r="T582" s="484"/>
      <c r="U582" s="484"/>
      <c r="V582" s="484"/>
      <c r="W582" s="484"/>
      <c r="X582" s="484"/>
      <c r="Y582" s="484"/>
    </row>
    <row r="583">
      <c r="A583" s="484"/>
      <c r="B583" s="484"/>
      <c r="C583" s="484"/>
      <c r="D583" s="484"/>
      <c r="E583" s="484"/>
      <c r="F583" s="484"/>
      <c r="G583" s="484"/>
      <c r="H583" s="484"/>
      <c r="I583" s="484"/>
      <c r="J583" s="484"/>
      <c r="K583" s="484"/>
      <c r="L583" s="428" t="s">
        <v>123</v>
      </c>
      <c r="M583" s="484"/>
      <c r="N583" s="484"/>
      <c r="O583" s="484"/>
      <c r="P583" s="484"/>
      <c r="Q583" s="484"/>
      <c r="R583" s="484"/>
      <c r="S583" s="484"/>
      <c r="T583" s="484"/>
      <c r="U583" s="484"/>
      <c r="V583" s="484"/>
      <c r="W583" s="484"/>
      <c r="X583" s="484"/>
      <c r="Y583" s="484"/>
    </row>
    <row r="584">
      <c r="A584" s="484"/>
      <c r="B584" s="484"/>
      <c r="C584" s="484"/>
      <c r="D584" s="484"/>
      <c r="E584" s="484"/>
      <c r="F584" s="484"/>
      <c r="G584" s="484"/>
      <c r="H584" s="484"/>
      <c r="I584" s="484"/>
      <c r="J584" s="484"/>
      <c r="K584" s="484"/>
      <c r="L584" s="428" t="s">
        <v>760</v>
      </c>
      <c r="M584" s="484"/>
      <c r="N584" s="484"/>
      <c r="O584" s="484"/>
      <c r="P584" s="484"/>
      <c r="Q584" s="484"/>
      <c r="R584" s="484"/>
      <c r="S584" s="484"/>
      <c r="T584" s="484"/>
      <c r="U584" s="484"/>
      <c r="V584" s="484"/>
      <c r="W584" s="484"/>
      <c r="X584" s="484"/>
      <c r="Y584" s="484"/>
    </row>
    <row r="585">
      <c r="A585" s="484"/>
      <c r="B585" s="484"/>
      <c r="C585" s="484"/>
      <c r="D585" s="484"/>
      <c r="E585" s="484"/>
      <c r="F585" s="484"/>
      <c r="G585" s="484"/>
      <c r="H585" s="484"/>
      <c r="I585" s="484"/>
      <c r="J585" s="484"/>
      <c r="K585" s="484"/>
      <c r="L585" s="428" t="s">
        <v>333</v>
      </c>
      <c r="M585" s="484"/>
      <c r="N585" s="484"/>
      <c r="O585" s="484"/>
      <c r="P585" s="484"/>
      <c r="Q585" s="484"/>
      <c r="R585" s="484"/>
      <c r="S585" s="484"/>
      <c r="T585" s="484"/>
      <c r="U585" s="484"/>
      <c r="V585" s="484"/>
      <c r="W585" s="484"/>
      <c r="X585" s="484"/>
      <c r="Y585" s="484"/>
    </row>
    <row r="586">
      <c r="A586" s="484"/>
      <c r="B586" s="484"/>
      <c r="C586" s="484"/>
      <c r="D586" s="484"/>
      <c r="E586" s="484"/>
      <c r="F586" s="484"/>
      <c r="G586" s="484"/>
      <c r="H586" s="484"/>
      <c r="I586" s="484"/>
      <c r="J586" s="484"/>
      <c r="K586" s="484"/>
      <c r="L586" s="428" t="s">
        <v>117</v>
      </c>
      <c r="M586" s="484"/>
      <c r="N586" s="484"/>
      <c r="O586" s="484"/>
      <c r="P586" s="484"/>
      <c r="Q586" s="484"/>
      <c r="R586" s="484"/>
      <c r="S586" s="484"/>
      <c r="T586" s="484"/>
      <c r="U586" s="484"/>
      <c r="V586" s="484"/>
      <c r="W586" s="484"/>
      <c r="X586" s="484"/>
      <c r="Y586" s="484"/>
    </row>
    <row r="587">
      <c r="A587" s="484"/>
      <c r="B587" s="484"/>
      <c r="C587" s="484"/>
      <c r="D587" s="484"/>
      <c r="E587" s="484"/>
      <c r="F587" s="484"/>
      <c r="G587" s="484"/>
      <c r="H587" s="484"/>
      <c r="I587" s="484"/>
      <c r="J587" s="484"/>
      <c r="K587" s="484"/>
      <c r="L587" s="428" t="s">
        <v>715</v>
      </c>
      <c r="M587" s="484"/>
      <c r="N587" s="484"/>
      <c r="O587" s="484"/>
      <c r="P587" s="484"/>
      <c r="Q587" s="484"/>
      <c r="R587" s="484"/>
      <c r="S587" s="484"/>
      <c r="T587" s="484"/>
      <c r="U587" s="484"/>
      <c r="V587" s="484"/>
      <c r="W587" s="484"/>
      <c r="X587" s="484"/>
      <c r="Y587" s="484"/>
    </row>
    <row r="588">
      <c r="A588" s="484"/>
      <c r="B588" s="484"/>
      <c r="C588" s="484"/>
      <c r="D588" s="484"/>
      <c r="E588" s="484"/>
      <c r="F588" s="484"/>
      <c r="G588" s="484"/>
      <c r="H588" s="484"/>
      <c r="I588" s="484"/>
      <c r="J588" s="484"/>
      <c r="K588" s="484"/>
      <c r="L588" s="428" t="s">
        <v>1280</v>
      </c>
      <c r="M588" s="484"/>
      <c r="N588" s="484"/>
      <c r="O588" s="484"/>
      <c r="P588" s="484"/>
      <c r="Q588" s="484"/>
      <c r="R588" s="484"/>
      <c r="S588" s="484"/>
      <c r="T588" s="484"/>
      <c r="U588" s="484"/>
      <c r="V588" s="484"/>
      <c r="W588" s="484"/>
      <c r="X588" s="484"/>
      <c r="Y588" s="484"/>
    </row>
    <row r="589">
      <c r="A589" s="484"/>
      <c r="B589" s="484"/>
      <c r="C589" s="484"/>
      <c r="D589" s="484"/>
      <c r="E589" s="484"/>
      <c r="F589" s="484"/>
      <c r="G589" s="484"/>
      <c r="H589" s="484"/>
      <c r="I589" s="484"/>
      <c r="J589" s="484"/>
      <c r="K589" s="484"/>
      <c r="L589" s="428" t="s">
        <v>333</v>
      </c>
      <c r="M589" s="484"/>
      <c r="N589" s="484"/>
      <c r="O589" s="484"/>
      <c r="P589" s="484"/>
      <c r="Q589" s="484"/>
      <c r="R589" s="484"/>
      <c r="S589" s="484"/>
      <c r="T589" s="484"/>
      <c r="U589" s="484"/>
      <c r="V589" s="484"/>
      <c r="W589" s="484"/>
      <c r="X589" s="484"/>
      <c r="Y589" s="484"/>
    </row>
    <row r="590">
      <c r="A590" s="484"/>
      <c r="B590" s="484"/>
      <c r="C590" s="484"/>
      <c r="D590" s="484"/>
      <c r="E590" s="484"/>
      <c r="F590" s="484"/>
      <c r="G590" s="484"/>
      <c r="H590" s="484"/>
      <c r="I590" s="484"/>
      <c r="J590" s="484"/>
      <c r="K590" s="484"/>
      <c r="L590" s="428" t="s">
        <v>2045</v>
      </c>
      <c r="M590" s="484"/>
      <c r="N590" s="484"/>
      <c r="O590" s="484"/>
      <c r="P590" s="484"/>
      <c r="Q590" s="484"/>
      <c r="R590" s="484"/>
      <c r="S590" s="484"/>
      <c r="T590" s="484"/>
      <c r="U590" s="484"/>
      <c r="V590" s="484"/>
      <c r="W590" s="484"/>
      <c r="X590" s="484"/>
      <c r="Y590" s="484"/>
    </row>
    <row r="591">
      <c r="A591" s="484"/>
      <c r="B591" s="484"/>
      <c r="C591" s="484"/>
      <c r="D591" s="484"/>
      <c r="E591" s="484"/>
      <c r="F591" s="484"/>
      <c r="G591" s="484"/>
      <c r="H591" s="484"/>
      <c r="I591" s="484"/>
      <c r="J591" s="484"/>
      <c r="K591" s="484"/>
      <c r="L591" s="428" t="s">
        <v>2045</v>
      </c>
      <c r="M591" s="484"/>
      <c r="N591" s="484"/>
      <c r="O591" s="484"/>
      <c r="P591" s="484"/>
      <c r="Q591" s="484"/>
      <c r="R591" s="484"/>
      <c r="S591" s="484"/>
      <c r="T591" s="484"/>
      <c r="U591" s="484"/>
      <c r="V591" s="484"/>
      <c r="W591" s="484"/>
      <c r="X591" s="484"/>
      <c r="Y591" s="484"/>
    </row>
    <row r="592">
      <c r="A592" s="484"/>
      <c r="B592" s="484"/>
      <c r="C592" s="484"/>
      <c r="D592" s="484"/>
      <c r="E592" s="484"/>
      <c r="F592" s="484"/>
      <c r="G592" s="484"/>
      <c r="H592" s="484"/>
      <c r="I592" s="484"/>
      <c r="J592" s="484"/>
      <c r="K592" s="484"/>
      <c r="L592" s="428" t="s">
        <v>2045</v>
      </c>
      <c r="M592" s="484"/>
      <c r="N592" s="484"/>
      <c r="O592" s="484"/>
      <c r="P592" s="484"/>
      <c r="Q592" s="484"/>
      <c r="R592" s="484"/>
      <c r="S592" s="484"/>
      <c r="T592" s="484"/>
      <c r="U592" s="484"/>
      <c r="V592" s="484"/>
      <c r="W592" s="484"/>
      <c r="X592" s="484"/>
      <c r="Y592" s="484"/>
    </row>
    <row r="593">
      <c r="A593" s="484"/>
      <c r="B593" s="484"/>
      <c r="C593" s="484"/>
      <c r="D593" s="484"/>
      <c r="E593" s="484"/>
      <c r="F593" s="484"/>
      <c r="G593" s="484"/>
      <c r="H593" s="484"/>
      <c r="I593" s="484"/>
      <c r="J593" s="484"/>
      <c r="K593" s="484"/>
      <c r="L593" s="428" t="s">
        <v>272</v>
      </c>
      <c r="M593" s="484"/>
      <c r="N593" s="484"/>
      <c r="O593" s="484"/>
      <c r="P593" s="484"/>
      <c r="Q593" s="484"/>
      <c r="R593" s="484"/>
      <c r="S593" s="484"/>
      <c r="T593" s="484"/>
      <c r="U593" s="484"/>
      <c r="V593" s="484"/>
      <c r="W593" s="484"/>
      <c r="X593" s="484"/>
      <c r="Y593" s="484"/>
    </row>
    <row r="594">
      <c r="A594" s="484"/>
      <c r="B594" s="484"/>
      <c r="C594" s="484"/>
      <c r="D594" s="484"/>
      <c r="E594" s="484"/>
      <c r="F594" s="484"/>
      <c r="G594" s="484"/>
      <c r="H594" s="484"/>
      <c r="I594" s="484"/>
      <c r="J594" s="484"/>
      <c r="K594" s="484"/>
      <c r="L594" s="428" t="s">
        <v>368</v>
      </c>
      <c r="M594" s="484"/>
      <c r="N594" s="484"/>
      <c r="O594" s="484"/>
      <c r="P594" s="484"/>
      <c r="Q594" s="484"/>
      <c r="R594" s="484"/>
      <c r="S594" s="484"/>
      <c r="T594" s="484"/>
      <c r="U594" s="484"/>
      <c r="V594" s="484"/>
      <c r="W594" s="484"/>
      <c r="X594" s="484"/>
      <c r="Y594" s="484"/>
    </row>
    <row r="595">
      <c r="A595" s="484"/>
      <c r="B595" s="484"/>
      <c r="C595" s="484"/>
      <c r="D595" s="484"/>
      <c r="E595" s="484"/>
      <c r="F595" s="484"/>
      <c r="G595" s="484"/>
      <c r="H595" s="484"/>
      <c r="I595" s="484"/>
      <c r="J595" s="484"/>
      <c r="K595" s="484"/>
      <c r="L595" s="428" t="s">
        <v>697</v>
      </c>
      <c r="M595" s="484"/>
      <c r="N595" s="484"/>
      <c r="O595" s="484"/>
      <c r="P595" s="484"/>
      <c r="Q595" s="484"/>
      <c r="R595" s="484"/>
      <c r="S595" s="484"/>
      <c r="T595" s="484"/>
      <c r="U595" s="484"/>
      <c r="V595" s="484"/>
      <c r="W595" s="484"/>
      <c r="X595" s="484"/>
      <c r="Y595" s="484"/>
    </row>
    <row r="596">
      <c r="A596" s="484"/>
      <c r="B596" s="484"/>
      <c r="C596" s="484"/>
      <c r="D596" s="484"/>
      <c r="E596" s="484"/>
      <c r="F596" s="484"/>
      <c r="G596" s="484"/>
      <c r="H596" s="484"/>
      <c r="I596" s="484"/>
      <c r="J596" s="484"/>
      <c r="K596" s="484"/>
      <c r="L596" s="428" t="s">
        <v>245</v>
      </c>
      <c r="M596" s="484"/>
      <c r="N596" s="484"/>
      <c r="O596" s="484"/>
      <c r="P596" s="484"/>
      <c r="Q596" s="484"/>
      <c r="R596" s="484"/>
      <c r="S596" s="484"/>
      <c r="T596" s="484"/>
      <c r="U596" s="484"/>
      <c r="V596" s="484"/>
      <c r="W596" s="484"/>
      <c r="X596" s="484"/>
      <c r="Y596" s="484"/>
    </row>
    <row r="597">
      <c r="A597" s="484"/>
      <c r="B597" s="484"/>
      <c r="C597" s="484"/>
      <c r="D597" s="484"/>
      <c r="E597" s="484"/>
      <c r="F597" s="484"/>
      <c r="G597" s="484"/>
      <c r="H597" s="484"/>
      <c r="I597" s="484"/>
      <c r="J597" s="484"/>
      <c r="K597" s="484"/>
      <c r="L597" s="428" t="s">
        <v>245</v>
      </c>
      <c r="M597" s="484"/>
      <c r="N597" s="484"/>
      <c r="O597" s="484"/>
      <c r="P597" s="484"/>
      <c r="Q597" s="484"/>
      <c r="R597" s="484"/>
      <c r="S597" s="484"/>
      <c r="T597" s="484"/>
      <c r="U597" s="484"/>
      <c r="V597" s="484"/>
      <c r="W597" s="484"/>
      <c r="X597" s="484"/>
      <c r="Y597" s="484"/>
    </row>
    <row r="598">
      <c r="A598" s="484"/>
      <c r="B598" s="484"/>
      <c r="C598" s="484"/>
      <c r="D598" s="484"/>
      <c r="E598" s="484"/>
      <c r="F598" s="484"/>
      <c r="G598" s="484"/>
      <c r="H598" s="484"/>
      <c r="I598" s="484"/>
      <c r="J598" s="484"/>
      <c r="K598" s="484"/>
      <c r="L598" s="428" t="s">
        <v>141</v>
      </c>
      <c r="M598" s="484"/>
      <c r="N598" s="484"/>
      <c r="O598" s="484"/>
      <c r="P598" s="484"/>
      <c r="Q598" s="484"/>
      <c r="R598" s="484"/>
      <c r="S598" s="484"/>
      <c r="T598" s="484"/>
      <c r="U598" s="484"/>
      <c r="V598" s="484"/>
      <c r="W598" s="484"/>
      <c r="X598" s="484"/>
      <c r="Y598" s="484"/>
    </row>
    <row r="599">
      <c r="A599" s="484"/>
      <c r="B599" s="484"/>
      <c r="C599" s="484"/>
      <c r="D599" s="484"/>
      <c r="E599" s="484"/>
      <c r="F599" s="484"/>
      <c r="G599" s="484"/>
      <c r="H599" s="484"/>
      <c r="I599" s="484"/>
      <c r="J599" s="484"/>
      <c r="K599" s="484"/>
      <c r="L599" s="428" t="s">
        <v>431</v>
      </c>
      <c r="M599" s="484"/>
      <c r="N599" s="484"/>
      <c r="O599" s="484"/>
      <c r="P599" s="484"/>
      <c r="Q599" s="484"/>
      <c r="R599" s="484"/>
      <c r="S599" s="484"/>
      <c r="T599" s="484"/>
      <c r="U599" s="484"/>
      <c r="V599" s="484"/>
      <c r="W599" s="484"/>
      <c r="X599" s="484"/>
      <c r="Y599" s="484"/>
    </row>
    <row r="600">
      <c r="A600" s="484"/>
      <c r="B600" s="484"/>
      <c r="C600" s="484"/>
      <c r="D600" s="484"/>
      <c r="E600" s="484"/>
      <c r="F600" s="484"/>
      <c r="G600" s="484"/>
      <c r="H600" s="484"/>
      <c r="I600" s="484"/>
      <c r="J600" s="484"/>
      <c r="K600" s="484"/>
      <c r="L600" s="428" t="s">
        <v>130</v>
      </c>
      <c r="M600" s="484"/>
      <c r="N600" s="484"/>
      <c r="O600" s="484"/>
      <c r="P600" s="484"/>
      <c r="Q600" s="484"/>
      <c r="R600" s="484"/>
      <c r="S600" s="484"/>
      <c r="T600" s="484"/>
      <c r="U600" s="484"/>
      <c r="V600" s="484"/>
      <c r="W600" s="484"/>
      <c r="X600" s="484"/>
      <c r="Y600" s="484"/>
    </row>
    <row r="601">
      <c r="A601" s="484"/>
      <c r="B601" s="484"/>
      <c r="C601" s="484"/>
      <c r="D601" s="484"/>
      <c r="E601" s="484"/>
      <c r="F601" s="484"/>
      <c r="G601" s="484"/>
      <c r="H601" s="484"/>
      <c r="I601" s="484"/>
      <c r="J601" s="484"/>
      <c r="K601" s="484"/>
      <c r="L601" s="428" t="s">
        <v>148</v>
      </c>
      <c r="M601" s="484"/>
      <c r="N601" s="484"/>
      <c r="O601" s="484"/>
      <c r="P601" s="484"/>
      <c r="Q601" s="484"/>
      <c r="R601" s="484"/>
      <c r="S601" s="484"/>
      <c r="T601" s="484"/>
      <c r="U601" s="484"/>
      <c r="V601" s="484"/>
      <c r="W601" s="484"/>
      <c r="X601" s="484"/>
      <c r="Y601" s="484"/>
    </row>
    <row r="602">
      <c r="A602" s="484"/>
      <c r="B602" s="484"/>
      <c r="C602" s="484"/>
      <c r="D602" s="484"/>
      <c r="E602" s="484"/>
      <c r="F602" s="484"/>
      <c r="G602" s="484"/>
      <c r="H602" s="484"/>
      <c r="I602" s="484"/>
      <c r="J602" s="484"/>
      <c r="K602" s="484"/>
      <c r="L602" s="428" t="s">
        <v>104</v>
      </c>
      <c r="M602" s="484"/>
      <c r="N602" s="484"/>
      <c r="O602" s="484"/>
      <c r="P602" s="484"/>
      <c r="Q602" s="484"/>
      <c r="R602" s="484"/>
      <c r="S602" s="484"/>
      <c r="T602" s="484"/>
      <c r="U602" s="484"/>
      <c r="V602" s="484"/>
      <c r="W602" s="484"/>
      <c r="X602" s="484"/>
      <c r="Y602" s="484"/>
    </row>
    <row r="603">
      <c r="A603" s="484"/>
      <c r="B603" s="484"/>
      <c r="C603" s="484"/>
      <c r="D603" s="484"/>
      <c r="E603" s="484"/>
      <c r="F603" s="484"/>
      <c r="G603" s="484"/>
      <c r="H603" s="484"/>
      <c r="I603" s="484"/>
      <c r="J603" s="484"/>
      <c r="K603" s="484"/>
      <c r="L603" s="428" t="s">
        <v>1322</v>
      </c>
      <c r="M603" s="484"/>
      <c r="N603" s="484"/>
      <c r="O603" s="484"/>
      <c r="P603" s="484"/>
      <c r="Q603" s="484"/>
      <c r="R603" s="484"/>
      <c r="S603" s="484"/>
      <c r="T603" s="484"/>
      <c r="U603" s="484"/>
      <c r="V603" s="484"/>
      <c r="W603" s="484"/>
      <c r="X603" s="484"/>
      <c r="Y603" s="484"/>
    </row>
    <row r="604">
      <c r="A604" s="484"/>
      <c r="B604" s="484"/>
      <c r="C604" s="484"/>
      <c r="D604" s="484"/>
      <c r="E604" s="484"/>
      <c r="F604" s="484"/>
      <c r="G604" s="484"/>
      <c r="H604" s="484"/>
      <c r="I604" s="484"/>
      <c r="J604" s="484"/>
      <c r="K604" s="484"/>
      <c r="L604" s="428" t="s">
        <v>1213</v>
      </c>
      <c r="M604" s="484"/>
      <c r="N604" s="484"/>
      <c r="O604" s="484"/>
      <c r="P604" s="484"/>
      <c r="Q604" s="484"/>
      <c r="R604" s="484"/>
      <c r="S604" s="484"/>
      <c r="T604" s="484"/>
      <c r="U604" s="484"/>
      <c r="V604" s="484"/>
      <c r="W604" s="484"/>
      <c r="X604" s="484"/>
      <c r="Y604" s="484"/>
    </row>
    <row r="605">
      <c r="A605" s="484"/>
      <c r="B605" s="484"/>
      <c r="C605" s="484"/>
      <c r="D605" s="484"/>
      <c r="E605" s="484"/>
      <c r="F605" s="484"/>
      <c r="G605" s="484"/>
      <c r="H605" s="484"/>
      <c r="I605" s="484"/>
      <c r="J605" s="484"/>
      <c r="K605" s="484"/>
      <c r="L605" s="428" t="s">
        <v>2045</v>
      </c>
      <c r="M605" s="484"/>
      <c r="N605" s="484"/>
      <c r="O605" s="484"/>
      <c r="P605" s="484"/>
      <c r="Q605" s="484"/>
      <c r="R605" s="484"/>
      <c r="S605" s="484"/>
      <c r="T605" s="484"/>
      <c r="U605" s="484"/>
      <c r="V605" s="484"/>
      <c r="W605" s="484"/>
      <c r="X605" s="484"/>
      <c r="Y605" s="484"/>
    </row>
    <row r="606">
      <c r="A606" s="484"/>
      <c r="B606" s="484"/>
      <c r="C606" s="484"/>
      <c r="D606" s="484"/>
      <c r="E606" s="484"/>
      <c r="F606" s="484"/>
      <c r="G606" s="484"/>
      <c r="H606" s="484"/>
      <c r="I606" s="484"/>
      <c r="J606" s="484"/>
      <c r="K606" s="484"/>
      <c r="L606" s="428" t="s">
        <v>2100</v>
      </c>
      <c r="M606" s="484"/>
      <c r="N606" s="484"/>
      <c r="O606" s="484"/>
      <c r="P606" s="484"/>
      <c r="Q606" s="484"/>
      <c r="R606" s="484"/>
      <c r="S606" s="484"/>
      <c r="T606" s="484"/>
      <c r="U606" s="484"/>
      <c r="V606" s="484"/>
      <c r="W606" s="484"/>
      <c r="X606" s="484"/>
      <c r="Y606" s="484"/>
    </row>
    <row r="607">
      <c r="A607" s="484"/>
      <c r="B607" s="484"/>
      <c r="C607" s="484"/>
      <c r="D607" s="484"/>
      <c r="E607" s="484"/>
      <c r="F607" s="484"/>
      <c r="G607" s="484"/>
      <c r="H607" s="484"/>
      <c r="I607" s="484"/>
      <c r="J607" s="484"/>
      <c r="K607" s="484"/>
      <c r="L607" s="428" t="s">
        <v>111</v>
      </c>
      <c r="M607" s="484"/>
      <c r="N607" s="484"/>
      <c r="O607" s="484"/>
      <c r="P607" s="484"/>
      <c r="Q607" s="484"/>
      <c r="R607" s="484"/>
      <c r="S607" s="484"/>
      <c r="T607" s="484"/>
      <c r="U607" s="484"/>
      <c r="V607" s="484"/>
      <c r="W607" s="484"/>
      <c r="X607" s="484"/>
      <c r="Y607" s="484"/>
    </row>
    <row r="608">
      <c r="A608" s="484"/>
      <c r="B608" s="484"/>
      <c r="C608" s="484"/>
      <c r="D608" s="484"/>
      <c r="E608" s="484"/>
      <c r="F608" s="484"/>
      <c r="G608" s="484"/>
      <c r="H608" s="484"/>
      <c r="I608" s="484"/>
      <c r="J608" s="484"/>
      <c r="K608" s="484"/>
      <c r="L608" s="428" t="s">
        <v>166</v>
      </c>
      <c r="M608" s="484"/>
      <c r="N608" s="484"/>
      <c r="O608" s="484"/>
      <c r="P608" s="484"/>
      <c r="Q608" s="484"/>
      <c r="R608" s="484"/>
      <c r="S608" s="484"/>
      <c r="T608" s="484"/>
      <c r="U608" s="484"/>
      <c r="V608" s="484"/>
      <c r="W608" s="484"/>
      <c r="X608" s="484"/>
      <c r="Y608" s="484"/>
    </row>
    <row r="609">
      <c r="A609" s="484"/>
      <c r="B609" s="484"/>
      <c r="C609" s="484"/>
      <c r="D609" s="484"/>
      <c r="E609" s="484"/>
      <c r="F609" s="484"/>
      <c r="G609" s="484"/>
      <c r="H609" s="484"/>
      <c r="I609" s="484"/>
      <c r="J609" s="484"/>
      <c r="K609" s="484"/>
      <c r="L609" s="428" t="s">
        <v>195</v>
      </c>
      <c r="M609" s="484"/>
      <c r="N609" s="484"/>
      <c r="O609" s="484"/>
      <c r="P609" s="484"/>
      <c r="Q609" s="484"/>
      <c r="R609" s="484"/>
      <c r="S609" s="484"/>
      <c r="T609" s="484"/>
      <c r="U609" s="484"/>
      <c r="V609" s="484"/>
      <c r="W609" s="484"/>
      <c r="X609" s="484"/>
      <c r="Y609" s="484"/>
    </row>
    <row r="610">
      <c r="A610" s="484"/>
      <c r="B610" s="484"/>
      <c r="C610" s="484"/>
      <c r="D610" s="484"/>
      <c r="E610" s="484"/>
      <c r="F610" s="484"/>
      <c r="G610" s="484"/>
      <c r="H610" s="484"/>
      <c r="I610" s="484"/>
      <c r="J610" s="484"/>
      <c r="K610" s="484"/>
      <c r="L610" s="428" t="s">
        <v>195</v>
      </c>
      <c r="M610" s="484"/>
      <c r="N610" s="484"/>
      <c r="O610" s="484"/>
      <c r="P610" s="484"/>
      <c r="Q610" s="484"/>
      <c r="R610" s="484"/>
      <c r="S610" s="484"/>
      <c r="T610" s="484"/>
      <c r="U610" s="484"/>
      <c r="V610" s="484"/>
      <c r="W610" s="484"/>
      <c r="X610" s="484"/>
      <c r="Y610" s="484"/>
    </row>
    <row r="611">
      <c r="A611" s="484"/>
      <c r="B611" s="484"/>
      <c r="C611" s="484"/>
      <c r="D611" s="484"/>
      <c r="E611" s="484"/>
      <c r="F611" s="484"/>
      <c r="G611" s="484"/>
      <c r="H611" s="484"/>
      <c r="I611" s="484"/>
      <c r="J611" s="484"/>
      <c r="K611" s="484"/>
      <c r="L611" s="428" t="s">
        <v>195</v>
      </c>
      <c r="M611" s="484"/>
      <c r="N611" s="484"/>
      <c r="O611" s="484"/>
      <c r="P611" s="484"/>
      <c r="Q611" s="484"/>
      <c r="R611" s="484"/>
      <c r="S611" s="484"/>
      <c r="T611" s="484"/>
      <c r="U611" s="484"/>
      <c r="V611" s="484"/>
      <c r="W611" s="484"/>
      <c r="X611" s="484"/>
      <c r="Y611" s="484"/>
    </row>
    <row r="612">
      <c r="A612" s="484"/>
      <c r="B612" s="484"/>
      <c r="C612" s="484"/>
      <c r="D612" s="484"/>
      <c r="E612" s="484"/>
      <c r="F612" s="484"/>
      <c r="G612" s="484"/>
      <c r="H612" s="484"/>
      <c r="I612" s="484"/>
      <c r="J612" s="484"/>
      <c r="K612" s="484"/>
      <c r="L612" s="428" t="s">
        <v>195</v>
      </c>
      <c r="M612" s="484"/>
      <c r="N612" s="484"/>
      <c r="O612" s="484"/>
      <c r="P612" s="484"/>
      <c r="Q612" s="484"/>
      <c r="R612" s="484"/>
      <c r="S612" s="484"/>
      <c r="T612" s="484"/>
      <c r="U612" s="484"/>
      <c r="V612" s="484"/>
      <c r="W612" s="484"/>
      <c r="X612" s="484"/>
      <c r="Y612" s="484"/>
    </row>
    <row r="613">
      <c r="A613" s="484"/>
      <c r="B613" s="484"/>
      <c r="C613" s="484"/>
      <c r="D613" s="484"/>
      <c r="E613" s="484"/>
      <c r="F613" s="484"/>
      <c r="G613" s="484"/>
      <c r="H613" s="484"/>
      <c r="I613" s="484"/>
      <c r="J613" s="484"/>
      <c r="K613" s="484"/>
      <c r="L613" s="428" t="s">
        <v>382</v>
      </c>
      <c r="M613" s="484"/>
      <c r="N613" s="484"/>
      <c r="O613" s="484"/>
      <c r="P613" s="484"/>
      <c r="Q613" s="484"/>
      <c r="R613" s="484"/>
      <c r="S613" s="484"/>
      <c r="T613" s="484"/>
      <c r="U613" s="484"/>
      <c r="V613" s="484"/>
      <c r="W613" s="484"/>
      <c r="X613" s="484"/>
      <c r="Y613" s="484"/>
    </row>
    <row r="614">
      <c r="A614" s="484"/>
      <c r="B614" s="484"/>
      <c r="C614" s="484"/>
      <c r="D614" s="484"/>
      <c r="E614" s="484"/>
      <c r="F614" s="484"/>
      <c r="G614" s="484"/>
      <c r="H614" s="484"/>
      <c r="I614" s="484"/>
      <c r="J614" s="484"/>
      <c r="K614" s="484"/>
      <c r="L614" s="428" t="s">
        <v>986</v>
      </c>
      <c r="M614" s="484"/>
      <c r="N614" s="484"/>
      <c r="O614" s="484"/>
      <c r="P614" s="484"/>
      <c r="Q614" s="484"/>
      <c r="R614" s="484"/>
      <c r="S614" s="484"/>
      <c r="T614" s="484"/>
      <c r="U614" s="484"/>
      <c r="V614" s="484"/>
      <c r="W614" s="484"/>
      <c r="X614" s="484"/>
      <c r="Y614" s="484"/>
    </row>
    <row r="615">
      <c r="A615" s="484"/>
      <c r="B615" s="484"/>
      <c r="C615" s="484"/>
      <c r="D615" s="484"/>
      <c r="E615" s="484"/>
      <c r="F615" s="484"/>
      <c r="G615" s="484"/>
      <c r="H615" s="484"/>
      <c r="I615" s="484"/>
      <c r="J615" s="484"/>
      <c r="K615" s="484"/>
      <c r="L615" s="428" t="s">
        <v>148</v>
      </c>
      <c r="M615" s="484"/>
      <c r="N615" s="484"/>
      <c r="O615" s="484"/>
      <c r="P615" s="484"/>
      <c r="Q615" s="484"/>
      <c r="R615" s="484"/>
      <c r="S615" s="484"/>
      <c r="T615" s="484"/>
      <c r="U615" s="484"/>
      <c r="V615" s="484"/>
      <c r="W615" s="484"/>
      <c r="X615" s="484"/>
      <c r="Y615" s="484"/>
    </row>
    <row r="616">
      <c r="A616" s="484"/>
      <c r="B616" s="484"/>
      <c r="C616" s="484"/>
      <c r="D616" s="484"/>
      <c r="E616" s="484"/>
      <c r="F616" s="484"/>
      <c r="G616" s="484"/>
      <c r="H616" s="484"/>
      <c r="I616" s="484"/>
      <c r="J616" s="484"/>
      <c r="K616" s="484"/>
      <c r="L616" s="428" t="s">
        <v>130</v>
      </c>
      <c r="M616" s="484"/>
      <c r="N616" s="484"/>
      <c r="O616" s="484"/>
      <c r="P616" s="484"/>
      <c r="Q616" s="484"/>
      <c r="R616" s="484"/>
      <c r="S616" s="484"/>
      <c r="T616" s="484"/>
      <c r="U616" s="484"/>
      <c r="V616" s="484"/>
      <c r="W616" s="484"/>
      <c r="X616" s="484"/>
      <c r="Y616" s="484"/>
    </row>
    <row r="617">
      <c r="A617" s="484"/>
      <c r="B617" s="484"/>
      <c r="C617" s="484"/>
      <c r="D617" s="484"/>
      <c r="E617" s="484"/>
      <c r="F617" s="484"/>
      <c r="G617" s="484"/>
      <c r="H617" s="484"/>
      <c r="I617" s="484"/>
      <c r="J617" s="484"/>
      <c r="K617" s="484"/>
      <c r="L617" s="428" t="s">
        <v>1706</v>
      </c>
      <c r="M617" s="484"/>
      <c r="N617" s="484"/>
      <c r="O617" s="484"/>
      <c r="P617" s="484"/>
      <c r="Q617" s="484"/>
      <c r="R617" s="484"/>
      <c r="S617" s="484"/>
      <c r="T617" s="484"/>
      <c r="U617" s="484"/>
      <c r="V617" s="484"/>
      <c r="W617" s="484"/>
      <c r="X617" s="484"/>
      <c r="Y617" s="484"/>
    </row>
    <row r="618">
      <c r="A618" s="484"/>
      <c r="B618" s="484"/>
      <c r="C618" s="484"/>
      <c r="D618" s="484"/>
      <c r="E618" s="484"/>
      <c r="F618" s="484"/>
      <c r="G618" s="484"/>
      <c r="H618" s="484"/>
      <c r="I618" s="484"/>
      <c r="J618" s="484"/>
      <c r="K618" s="484"/>
      <c r="L618" s="428" t="s">
        <v>1060</v>
      </c>
      <c r="M618" s="484"/>
      <c r="N618" s="484"/>
      <c r="O618" s="484"/>
      <c r="P618" s="484"/>
      <c r="Q618" s="484"/>
      <c r="R618" s="484"/>
      <c r="S618" s="484"/>
      <c r="T618" s="484"/>
      <c r="U618" s="484"/>
      <c r="V618" s="484"/>
      <c r="W618" s="484"/>
      <c r="X618" s="484"/>
      <c r="Y618" s="484"/>
    </row>
    <row r="619">
      <c r="A619" s="484"/>
      <c r="B619" s="484"/>
      <c r="C619" s="484"/>
      <c r="D619" s="484"/>
      <c r="E619" s="484"/>
      <c r="F619" s="484"/>
      <c r="G619" s="484"/>
      <c r="H619" s="484"/>
      <c r="I619" s="484"/>
      <c r="J619" s="484"/>
      <c r="K619" s="484"/>
      <c r="L619" s="428" t="s">
        <v>1994</v>
      </c>
      <c r="M619" s="484"/>
      <c r="N619" s="484"/>
      <c r="O619" s="484"/>
      <c r="P619" s="484"/>
      <c r="Q619" s="484"/>
      <c r="R619" s="484"/>
      <c r="S619" s="484"/>
      <c r="T619" s="484"/>
      <c r="U619" s="484"/>
      <c r="V619" s="484"/>
      <c r="W619" s="484"/>
      <c r="X619" s="484"/>
      <c r="Y619" s="484"/>
    </row>
    <row r="620">
      <c r="A620" s="484"/>
      <c r="B620" s="484"/>
      <c r="C620" s="484"/>
      <c r="D620" s="484"/>
      <c r="E620" s="484"/>
      <c r="F620" s="484"/>
      <c r="G620" s="484"/>
      <c r="H620" s="484"/>
      <c r="I620" s="484"/>
      <c r="J620" s="484"/>
      <c r="K620" s="484"/>
      <c r="L620" s="428" t="s">
        <v>1041</v>
      </c>
      <c r="M620" s="484"/>
      <c r="N620" s="484"/>
      <c r="O620" s="484"/>
      <c r="P620" s="484"/>
      <c r="Q620" s="484"/>
      <c r="R620" s="484"/>
      <c r="S620" s="484"/>
      <c r="T620" s="484"/>
      <c r="U620" s="484"/>
      <c r="V620" s="484"/>
      <c r="W620" s="484"/>
      <c r="X620" s="484"/>
      <c r="Y620" s="484"/>
    </row>
    <row r="621">
      <c r="A621" s="484"/>
      <c r="B621" s="484"/>
      <c r="C621" s="484"/>
      <c r="D621" s="484"/>
      <c r="E621" s="484"/>
      <c r="F621" s="484"/>
      <c r="G621" s="484"/>
      <c r="H621" s="484"/>
      <c r="I621" s="484"/>
      <c r="J621" s="484"/>
      <c r="K621" s="484"/>
      <c r="L621" s="428" t="s">
        <v>366</v>
      </c>
      <c r="M621" s="484"/>
      <c r="N621" s="484"/>
      <c r="O621" s="484"/>
      <c r="P621" s="484"/>
      <c r="Q621" s="484"/>
      <c r="R621" s="484"/>
      <c r="S621" s="484"/>
      <c r="T621" s="484"/>
      <c r="U621" s="484"/>
      <c r="V621" s="484"/>
      <c r="W621" s="484"/>
      <c r="X621" s="484"/>
      <c r="Y621" s="484"/>
    </row>
    <row r="622">
      <c r="A622" s="484"/>
      <c r="B622" s="484"/>
      <c r="C622" s="484"/>
      <c r="D622" s="484"/>
      <c r="E622" s="484"/>
      <c r="F622" s="484"/>
      <c r="G622" s="484"/>
      <c r="H622" s="484"/>
      <c r="I622" s="484"/>
      <c r="J622" s="484"/>
      <c r="K622" s="484"/>
      <c r="L622" s="428" t="s">
        <v>2179</v>
      </c>
      <c r="M622" s="484"/>
      <c r="N622" s="484"/>
      <c r="O622" s="484"/>
      <c r="P622" s="484"/>
      <c r="Q622" s="484"/>
      <c r="R622" s="484"/>
      <c r="S622" s="484"/>
      <c r="T622" s="484"/>
      <c r="U622" s="484"/>
      <c r="V622" s="484"/>
      <c r="W622" s="484"/>
      <c r="X622" s="484"/>
      <c r="Y622" s="484"/>
    </row>
    <row r="623">
      <c r="A623" s="484"/>
      <c r="B623" s="484"/>
      <c r="C623" s="484"/>
      <c r="D623" s="484"/>
      <c r="E623" s="484"/>
      <c r="F623" s="484"/>
      <c r="G623" s="484"/>
      <c r="H623" s="484"/>
      <c r="I623" s="484"/>
      <c r="J623" s="484"/>
      <c r="K623" s="484"/>
      <c r="L623" s="428" t="s">
        <v>134</v>
      </c>
      <c r="M623" s="484"/>
      <c r="N623" s="484"/>
      <c r="O623" s="484"/>
      <c r="P623" s="484"/>
      <c r="Q623" s="484"/>
      <c r="R623" s="484"/>
      <c r="S623" s="484"/>
      <c r="T623" s="484"/>
      <c r="U623" s="484"/>
      <c r="V623" s="484"/>
      <c r="W623" s="484"/>
      <c r="X623" s="484"/>
      <c r="Y623" s="484"/>
    </row>
    <row r="624">
      <c r="A624" s="484"/>
      <c r="B624" s="484"/>
      <c r="C624" s="484"/>
      <c r="D624" s="484"/>
      <c r="E624" s="484"/>
      <c r="F624" s="484"/>
      <c r="G624" s="484"/>
      <c r="H624" s="484"/>
      <c r="I624" s="484"/>
      <c r="J624" s="484"/>
      <c r="K624" s="484"/>
      <c r="L624" s="428" t="s">
        <v>1072</v>
      </c>
      <c r="M624" s="484"/>
      <c r="N624" s="484"/>
      <c r="O624" s="484"/>
      <c r="P624" s="484"/>
      <c r="Q624" s="484"/>
      <c r="R624" s="484"/>
      <c r="S624" s="484"/>
      <c r="T624" s="484"/>
      <c r="U624" s="484"/>
      <c r="V624" s="484"/>
      <c r="W624" s="484"/>
      <c r="X624" s="484"/>
      <c r="Y624" s="484"/>
    </row>
    <row r="625">
      <c r="A625" s="484"/>
      <c r="B625" s="484"/>
      <c r="C625" s="484"/>
      <c r="D625" s="484"/>
      <c r="E625" s="484"/>
      <c r="F625" s="484"/>
      <c r="G625" s="484"/>
      <c r="H625" s="484"/>
      <c r="I625" s="484"/>
      <c r="J625" s="484"/>
      <c r="K625" s="484"/>
      <c r="L625" s="428" t="s">
        <v>1366</v>
      </c>
      <c r="M625" s="484"/>
      <c r="N625" s="484"/>
      <c r="O625" s="484"/>
      <c r="P625" s="484"/>
      <c r="Q625" s="484"/>
      <c r="R625" s="484"/>
      <c r="S625" s="484"/>
      <c r="T625" s="484"/>
      <c r="U625" s="484"/>
      <c r="V625" s="484"/>
      <c r="W625" s="484"/>
      <c r="X625" s="484"/>
      <c r="Y625" s="484"/>
    </row>
    <row r="626">
      <c r="A626" s="484"/>
      <c r="B626" s="484"/>
      <c r="C626" s="484"/>
      <c r="D626" s="484"/>
      <c r="E626" s="484"/>
      <c r="F626" s="484"/>
      <c r="G626" s="484"/>
      <c r="H626" s="484"/>
      <c r="I626" s="484"/>
      <c r="J626" s="484"/>
      <c r="K626" s="484"/>
      <c r="L626" s="428" t="s">
        <v>500</v>
      </c>
      <c r="M626" s="484"/>
      <c r="N626" s="484"/>
      <c r="O626" s="484"/>
      <c r="P626" s="484"/>
      <c r="Q626" s="484"/>
      <c r="R626" s="484"/>
      <c r="S626" s="484"/>
      <c r="T626" s="484"/>
      <c r="U626" s="484"/>
      <c r="V626" s="484"/>
      <c r="W626" s="484"/>
      <c r="X626" s="484"/>
      <c r="Y626" s="484"/>
    </row>
    <row r="627">
      <c r="A627" s="484"/>
      <c r="B627" s="484"/>
      <c r="C627" s="484"/>
      <c r="D627" s="484"/>
      <c r="E627" s="484"/>
      <c r="F627" s="484"/>
      <c r="G627" s="484"/>
      <c r="H627" s="484"/>
      <c r="I627" s="484"/>
      <c r="J627" s="484"/>
      <c r="K627" s="484"/>
      <c r="L627" s="428" t="s">
        <v>2179</v>
      </c>
      <c r="M627" s="484"/>
      <c r="N627" s="484"/>
      <c r="O627" s="484"/>
      <c r="P627" s="484"/>
      <c r="Q627" s="484"/>
      <c r="R627" s="484"/>
      <c r="S627" s="484"/>
      <c r="T627" s="484"/>
      <c r="U627" s="484"/>
      <c r="V627" s="484"/>
      <c r="W627" s="484"/>
      <c r="X627" s="484"/>
      <c r="Y627" s="484"/>
    </row>
    <row r="628">
      <c r="A628" s="484"/>
      <c r="B628" s="484"/>
      <c r="C628" s="484"/>
      <c r="D628" s="484"/>
      <c r="E628" s="484"/>
      <c r="F628" s="484"/>
      <c r="G628" s="484"/>
      <c r="H628" s="484"/>
      <c r="I628" s="484"/>
      <c r="J628" s="484"/>
      <c r="K628" s="484"/>
      <c r="L628" s="428" t="s">
        <v>741</v>
      </c>
      <c r="M628" s="484"/>
      <c r="N628" s="484"/>
      <c r="O628" s="484"/>
      <c r="P628" s="484"/>
      <c r="Q628" s="484"/>
      <c r="R628" s="484"/>
      <c r="S628" s="484"/>
      <c r="T628" s="484"/>
      <c r="U628" s="484"/>
      <c r="V628" s="484"/>
      <c r="W628" s="484"/>
      <c r="X628" s="484"/>
      <c r="Y628" s="484"/>
    </row>
    <row r="629">
      <c r="A629" s="484"/>
      <c r="B629" s="484"/>
      <c r="C629" s="484"/>
      <c r="D629" s="484"/>
      <c r="E629" s="484"/>
      <c r="F629" s="484"/>
      <c r="G629" s="484"/>
      <c r="H629" s="484"/>
      <c r="I629" s="484"/>
      <c r="J629" s="484"/>
      <c r="K629" s="484"/>
      <c r="L629" s="428" t="s">
        <v>2205</v>
      </c>
      <c r="M629" s="484"/>
      <c r="N629" s="484"/>
      <c r="O629" s="484"/>
      <c r="P629" s="484"/>
      <c r="Q629" s="484"/>
      <c r="R629" s="484"/>
      <c r="S629" s="484"/>
      <c r="T629" s="484"/>
      <c r="U629" s="484"/>
      <c r="V629" s="484"/>
      <c r="W629" s="484"/>
      <c r="X629" s="484"/>
      <c r="Y629" s="484"/>
    </row>
    <row r="630">
      <c r="A630" s="484"/>
      <c r="B630" s="484"/>
      <c r="C630" s="484"/>
      <c r="D630" s="484"/>
      <c r="E630" s="484"/>
      <c r="F630" s="484"/>
      <c r="G630" s="484"/>
      <c r="H630" s="484"/>
      <c r="I630" s="484"/>
      <c r="J630" s="484"/>
      <c r="K630" s="484"/>
      <c r="L630" s="428" t="s">
        <v>574</v>
      </c>
      <c r="M630" s="484"/>
      <c r="N630" s="484"/>
      <c r="O630" s="484"/>
      <c r="P630" s="484"/>
      <c r="Q630" s="484"/>
      <c r="R630" s="484"/>
      <c r="S630" s="484"/>
      <c r="T630" s="484"/>
      <c r="U630" s="484"/>
      <c r="V630" s="484"/>
      <c r="W630" s="484"/>
      <c r="X630" s="484"/>
      <c r="Y630" s="484"/>
    </row>
    <row r="631">
      <c r="A631" s="484"/>
      <c r="B631" s="484"/>
      <c r="C631" s="484"/>
      <c r="D631" s="484"/>
      <c r="E631" s="484"/>
      <c r="F631" s="484"/>
      <c r="G631" s="484"/>
      <c r="H631" s="484"/>
      <c r="I631" s="484"/>
      <c r="J631" s="484"/>
      <c r="K631" s="484"/>
      <c r="L631" s="428" t="s">
        <v>141</v>
      </c>
      <c r="M631" s="484"/>
      <c r="N631" s="484"/>
      <c r="O631" s="484"/>
      <c r="P631" s="484"/>
      <c r="Q631" s="484"/>
      <c r="R631" s="484"/>
      <c r="S631" s="484"/>
      <c r="T631" s="484"/>
      <c r="U631" s="484"/>
      <c r="V631" s="484"/>
      <c r="W631" s="484"/>
      <c r="X631" s="484"/>
      <c r="Y631" s="484"/>
    </row>
    <row r="632">
      <c r="A632" s="484"/>
      <c r="B632" s="484"/>
      <c r="C632" s="484"/>
      <c r="D632" s="484"/>
      <c r="E632" s="484"/>
      <c r="F632" s="484"/>
      <c r="G632" s="484"/>
      <c r="H632" s="484"/>
      <c r="I632" s="484"/>
      <c r="J632" s="484"/>
      <c r="K632" s="484"/>
      <c r="L632" s="428" t="s">
        <v>771</v>
      </c>
      <c r="M632" s="484"/>
      <c r="N632" s="484"/>
      <c r="O632" s="484"/>
      <c r="P632" s="484"/>
      <c r="Q632" s="484"/>
      <c r="R632" s="484"/>
      <c r="S632" s="484"/>
      <c r="T632" s="484"/>
      <c r="U632" s="484"/>
      <c r="V632" s="484"/>
      <c r="W632" s="484"/>
      <c r="X632" s="484"/>
      <c r="Y632" s="484"/>
    </row>
    <row r="633">
      <c r="A633" s="484"/>
      <c r="B633" s="484"/>
      <c r="C633" s="484"/>
      <c r="D633" s="484"/>
      <c r="E633" s="484"/>
      <c r="F633" s="484"/>
      <c r="G633" s="484"/>
      <c r="H633" s="484"/>
      <c r="I633" s="484"/>
      <c r="J633" s="484"/>
      <c r="K633" s="484"/>
      <c r="L633" s="428" t="s">
        <v>2227</v>
      </c>
      <c r="M633" s="484"/>
      <c r="N633" s="484"/>
      <c r="O633" s="484"/>
      <c r="P633" s="484"/>
      <c r="Q633" s="484"/>
      <c r="R633" s="484"/>
      <c r="S633" s="484"/>
      <c r="T633" s="484"/>
      <c r="U633" s="484"/>
      <c r="V633" s="484"/>
      <c r="W633" s="484"/>
      <c r="X633" s="484"/>
      <c r="Y633" s="484"/>
    </row>
    <row r="634">
      <c r="A634" s="484"/>
      <c r="B634" s="484"/>
      <c r="C634" s="484"/>
      <c r="D634" s="484"/>
      <c r="E634" s="484"/>
      <c r="F634" s="484"/>
      <c r="G634" s="484"/>
      <c r="H634" s="484"/>
      <c r="I634" s="484"/>
      <c r="J634" s="484"/>
      <c r="K634" s="484"/>
      <c r="L634" s="428" t="s">
        <v>245</v>
      </c>
      <c r="M634" s="484"/>
      <c r="N634" s="484"/>
      <c r="O634" s="484"/>
      <c r="P634" s="484"/>
      <c r="Q634" s="484"/>
      <c r="R634" s="484"/>
      <c r="S634" s="484"/>
      <c r="T634" s="484"/>
      <c r="U634" s="484"/>
      <c r="V634" s="484"/>
      <c r="W634" s="484"/>
      <c r="X634" s="484"/>
      <c r="Y634" s="484"/>
    </row>
    <row r="635">
      <c r="A635" s="484"/>
      <c r="B635" s="484"/>
      <c r="C635" s="484"/>
      <c r="D635" s="484"/>
      <c r="E635" s="484"/>
      <c r="F635" s="484"/>
      <c r="G635" s="484"/>
      <c r="H635" s="484"/>
      <c r="I635" s="484"/>
      <c r="J635" s="484"/>
      <c r="K635" s="484"/>
      <c r="L635" s="428" t="s">
        <v>1586</v>
      </c>
      <c r="M635" s="484"/>
      <c r="N635" s="484"/>
      <c r="O635" s="484"/>
      <c r="P635" s="484"/>
      <c r="Q635" s="484"/>
      <c r="R635" s="484"/>
      <c r="S635" s="484"/>
      <c r="T635" s="484"/>
      <c r="U635" s="484"/>
      <c r="V635" s="484"/>
      <c r="W635" s="484"/>
      <c r="X635" s="484"/>
      <c r="Y635" s="484"/>
    </row>
    <row r="636">
      <c r="A636" s="484"/>
      <c r="B636" s="484"/>
      <c r="C636" s="484"/>
      <c r="D636" s="484"/>
      <c r="E636" s="484"/>
      <c r="F636" s="484"/>
      <c r="G636" s="484"/>
      <c r="H636" s="484"/>
      <c r="I636" s="484"/>
      <c r="J636" s="484"/>
      <c r="K636" s="484"/>
      <c r="L636" s="428" t="s">
        <v>2239</v>
      </c>
      <c r="M636" s="484"/>
      <c r="N636" s="484"/>
      <c r="O636" s="484"/>
      <c r="P636" s="484"/>
      <c r="Q636" s="484"/>
      <c r="R636" s="484"/>
      <c r="S636" s="484"/>
      <c r="T636" s="484"/>
      <c r="U636" s="484"/>
      <c r="V636" s="484"/>
      <c r="W636" s="484"/>
      <c r="X636" s="484"/>
      <c r="Y636" s="484"/>
    </row>
    <row r="637">
      <c r="A637" s="484"/>
      <c r="B637" s="484"/>
      <c r="C637" s="484"/>
      <c r="D637" s="484"/>
      <c r="E637" s="484"/>
      <c r="F637" s="484"/>
      <c r="G637" s="484"/>
      <c r="H637" s="484"/>
      <c r="I637" s="484"/>
      <c r="J637" s="484"/>
      <c r="K637" s="484"/>
      <c r="L637" s="428" t="s">
        <v>2239</v>
      </c>
      <c r="M637" s="484"/>
      <c r="N637" s="484"/>
      <c r="O637" s="484"/>
      <c r="P637" s="484"/>
      <c r="Q637" s="484"/>
      <c r="R637" s="484"/>
      <c r="S637" s="484"/>
      <c r="T637" s="484"/>
      <c r="U637" s="484"/>
      <c r="V637" s="484"/>
      <c r="W637" s="484"/>
      <c r="X637" s="484"/>
      <c r="Y637" s="484"/>
    </row>
    <row r="638">
      <c r="A638" s="484"/>
      <c r="B638" s="484"/>
      <c r="C638" s="484"/>
      <c r="D638" s="484"/>
      <c r="E638" s="484"/>
      <c r="F638" s="484"/>
      <c r="G638" s="484"/>
      <c r="H638" s="484"/>
      <c r="I638" s="484"/>
      <c r="J638" s="484"/>
      <c r="K638" s="484"/>
      <c r="L638" s="428" t="s">
        <v>104</v>
      </c>
      <c r="M638" s="484"/>
      <c r="N638" s="484"/>
      <c r="O638" s="484"/>
      <c r="P638" s="484"/>
      <c r="Q638" s="484"/>
      <c r="R638" s="484"/>
      <c r="S638" s="484"/>
      <c r="T638" s="484"/>
      <c r="U638" s="484"/>
      <c r="V638" s="484"/>
      <c r="W638" s="484"/>
      <c r="X638" s="484"/>
      <c r="Y638" s="484"/>
    </row>
    <row r="639">
      <c r="A639" s="484"/>
      <c r="B639" s="484"/>
      <c r="C639" s="484"/>
      <c r="D639" s="484"/>
      <c r="E639" s="484"/>
      <c r="F639" s="484"/>
      <c r="G639" s="484"/>
      <c r="H639" s="484"/>
      <c r="I639" s="484"/>
      <c r="J639" s="484"/>
      <c r="K639" s="484"/>
      <c r="L639" s="428" t="s">
        <v>2251</v>
      </c>
      <c r="M639" s="484"/>
      <c r="N639" s="484"/>
      <c r="O639" s="484"/>
      <c r="P639" s="484"/>
      <c r="Q639" s="484"/>
      <c r="R639" s="484"/>
      <c r="S639" s="484"/>
      <c r="T639" s="484"/>
      <c r="U639" s="484"/>
      <c r="V639" s="484"/>
      <c r="W639" s="484"/>
      <c r="X639" s="484"/>
      <c r="Y639" s="484"/>
    </row>
    <row r="640">
      <c r="A640" s="484"/>
      <c r="B640" s="484"/>
      <c r="C640" s="484"/>
      <c r="D640" s="484"/>
      <c r="E640" s="484"/>
      <c r="F640" s="484"/>
      <c r="G640" s="484"/>
      <c r="H640" s="484"/>
      <c r="I640" s="484"/>
      <c r="J640" s="484"/>
      <c r="K640" s="484"/>
      <c r="L640" s="428" t="s">
        <v>728</v>
      </c>
      <c r="M640" s="484"/>
      <c r="N640" s="484"/>
      <c r="O640" s="484"/>
      <c r="P640" s="484"/>
      <c r="Q640" s="484"/>
      <c r="R640" s="484"/>
      <c r="S640" s="484"/>
      <c r="T640" s="484"/>
      <c r="U640" s="484"/>
      <c r="V640" s="484"/>
      <c r="W640" s="484"/>
      <c r="X640" s="484"/>
      <c r="Y640" s="484"/>
    </row>
    <row r="641">
      <c r="A641" s="484"/>
      <c r="B641" s="484"/>
      <c r="C641" s="484"/>
      <c r="D641" s="484"/>
      <c r="E641" s="484"/>
      <c r="F641" s="484"/>
      <c r="G641" s="484"/>
      <c r="H641" s="484"/>
      <c r="I641" s="484"/>
      <c r="J641" s="484"/>
      <c r="K641" s="484"/>
      <c r="L641" s="428" t="s">
        <v>2260</v>
      </c>
      <c r="M641" s="484"/>
      <c r="N641" s="484"/>
      <c r="O641" s="484"/>
      <c r="P641" s="484"/>
      <c r="Q641" s="484"/>
      <c r="R641" s="484"/>
      <c r="S641" s="484"/>
      <c r="T641" s="484"/>
      <c r="U641" s="484"/>
      <c r="V641" s="484"/>
      <c r="W641" s="484"/>
      <c r="X641" s="484"/>
      <c r="Y641" s="484"/>
    </row>
    <row r="642">
      <c r="A642" s="484"/>
      <c r="B642" s="484"/>
      <c r="C642" s="484"/>
      <c r="D642" s="484"/>
      <c r="E642" s="484"/>
      <c r="F642" s="484"/>
      <c r="G642" s="484"/>
      <c r="H642" s="484"/>
      <c r="I642" s="484"/>
      <c r="J642" s="484"/>
      <c r="K642" s="484"/>
      <c r="L642" s="428" t="s">
        <v>166</v>
      </c>
      <c r="M642" s="484"/>
      <c r="N642" s="484"/>
      <c r="O642" s="484"/>
      <c r="P642" s="484"/>
      <c r="Q642" s="484"/>
      <c r="R642" s="484"/>
      <c r="S642" s="484"/>
      <c r="T642" s="484"/>
      <c r="U642" s="484"/>
      <c r="V642" s="484"/>
      <c r="W642" s="484"/>
      <c r="X642" s="484"/>
      <c r="Y642" s="484"/>
    </row>
    <row r="643">
      <c r="A643" s="484"/>
      <c r="B643" s="484"/>
      <c r="C643" s="484"/>
      <c r="D643" s="484"/>
      <c r="E643" s="484"/>
      <c r="F643" s="484"/>
      <c r="G643" s="484"/>
      <c r="H643" s="484"/>
      <c r="I643" s="484"/>
      <c r="J643" s="484"/>
      <c r="K643" s="484"/>
      <c r="L643" s="428" t="s">
        <v>2266</v>
      </c>
      <c r="M643" s="484"/>
      <c r="N643" s="484"/>
      <c r="O643" s="484"/>
      <c r="P643" s="484"/>
      <c r="Q643" s="484"/>
      <c r="R643" s="484"/>
      <c r="S643" s="484"/>
      <c r="T643" s="484"/>
      <c r="U643" s="484"/>
      <c r="V643" s="484"/>
      <c r="W643" s="484"/>
      <c r="X643" s="484"/>
      <c r="Y643" s="484"/>
    </row>
    <row r="644">
      <c r="A644" s="484"/>
      <c r="B644" s="484"/>
      <c r="C644" s="484"/>
      <c r="D644" s="484"/>
      <c r="E644" s="484"/>
      <c r="F644" s="484"/>
      <c r="G644" s="484"/>
      <c r="H644" s="484"/>
      <c r="I644" s="484"/>
      <c r="J644" s="484"/>
      <c r="K644" s="484"/>
      <c r="L644" s="428" t="s">
        <v>794</v>
      </c>
      <c r="M644" s="484"/>
      <c r="N644" s="484"/>
      <c r="O644" s="484"/>
      <c r="P644" s="484"/>
      <c r="Q644" s="484"/>
      <c r="R644" s="484"/>
      <c r="S644" s="484"/>
      <c r="T644" s="484"/>
      <c r="U644" s="484"/>
      <c r="V644" s="484"/>
      <c r="W644" s="484"/>
      <c r="X644" s="484"/>
      <c r="Y644" s="484"/>
    </row>
    <row r="645">
      <c r="A645" s="484"/>
      <c r="B645" s="484"/>
      <c r="C645" s="484"/>
      <c r="D645" s="484"/>
      <c r="E645" s="484"/>
      <c r="F645" s="484"/>
      <c r="G645" s="484"/>
      <c r="H645" s="484"/>
      <c r="I645" s="484"/>
      <c r="J645" s="484"/>
      <c r="K645" s="484"/>
      <c r="L645" s="428" t="s">
        <v>368</v>
      </c>
      <c r="M645" s="484"/>
      <c r="N645" s="484"/>
      <c r="O645" s="484"/>
      <c r="P645" s="484"/>
      <c r="Q645" s="484"/>
      <c r="R645" s="484"/>
      <c r="S645" s="484"/>
      <c r="T645" s="484"/>
      <c r="U645" s="484"/>
      <c r="V645" s="484"/>
      <c r="W645" s="484"/>
      <c r="X645" s="484"/>
      <c r="Y645" s="484"/>
    </row>
    <row r="646">
      <c r="A646" s="484"/>
      <c r="B646" s="484"/>
      <c r="C646" s="484"/>
      <c r="D646" s="484"/>
      <c r="E646" s="484"/>
      <c r="F646" s="484"/>
      <c r="G646" s="484"/>
      <c r="H646" s="484"/>
      <c r="I646" s="484"/>
      <c r="J646" s="484"/>
      <c r="K646" s="484"/>
      <c r="L646" s="428" t="s">
        <v>600</v>
      </c>
      <c r="M646" s="484"/>
      <c r="N646" s="484"/>
      <c r="O646" s="484"/>
      <c r="P646" s="484"/>
      <c r="Q646" s="484"/>
      <c r="R646" s="484"/>
      <c r="S646" s="484"/>
      <c r="T646" s="484"/>
      <c r="U646" s="484"/>
      <c r="V646" s="484"/>
      <c r="W646" s="484"/>
      <c r="X646" s="484"/>
      <c r="Y646" s="484"/>
    </row>
    <row r="647">
      <c r="A647" s="484"/>
      <c r="B647" s="484"/>
      <c r="C647" s="484"/>
      <c r="D647" s="484"/>
      <c r="E647" s="484"/>
      <c r="F647" s="484"/>
      <c r="G647" s="484"/>
      <c r="H647" s="484"/>
      <c r="I647" s="484"/>
      <c r="J647" s="484"/>
      <c r="K647" s="484"/>
      <c r="L647" s="428" t="s">
        <v>357</v>
      </c>
      <c r="M647" s="484"/>
      <c r="N647" s="484"/>
      <c r="O647" s="484"/>
      <c r="P647" s="484"/>
      <c r="Q647" s="484"/>
      <c r="R647" s="484"/>
      <c r="S647" s="484"/>
      <c r="T647" s="484"/>
      <c r="U647" s="484"/>
      <c r="V647" s="484"/>
      <c r="W647" s="484"/>
      <c r="X647" s="484"/>
      <c r="Y647" s="484"/>
    </row>
    <row r="648">
      <c r="A648" s="484"/>
      <c r="B648" s="484"/>
      <c r="C648" s="484"/>
      <c r="D648" s="484"/>
      <c r="E648" s="484"/>
      <c r="F648" s="484"/>
      <c r="G648" s="484"/>
      <c r="H648" s="484"/>
      <c r="I648" s="484"/>
      <c r="J648" s="484"/>
      <c r="K648" s="484"/>
      <c r="L648" s="428" t="s">
        <v>117</v>
      </c>
      <c r="M648" s="484"/>
      <c r="N648" s="484"/>
      <c r="O648" s="484"/>
      <c r="P648" s="484"/>
      <c r="Q648" s="484"/>
      <c r="R648" s="484"/>
      <c r="S648" s="484"/>
      <c r="T648" s="484"/>
      <c r="U648" s="484"/>
      <c r="V648" s="484"/>
      <c r="W648" s="484"/>
      <c r="X648" s="484"/>
      <c r="Y648" s="484"/>
    </row>
    <row r="649">
      <c r="A649" s="484"/>
      <c r="B649" s="484"/>
      <c r="C649" s="484"/>
      <c r="D649" s="484"/>
      <c r="E649" s="484"/>
      <c r="F649" s="484"/>
      <c r="G649" s="484"/>
      <c r="H649" s="484"/>
      <c r="I649" s="484"/>
      <c r="J649" s="484"/>
      <c r="K649" s="484"/>
      <c r="L649" s="428" t="s">
        <v>1060</v>
      </c>
      <c r="M649" s="484"/>
      <c r="N649" s="484"/>
      <c r="O649" s="484"/>
      <c r="P649" s="484"/>
      <c r="Q649" s="484"/>
      <c r="R649" s="484"/>
      <c r="S649" s="484"/>
      <c r="T649" s="484"/>
      <c r="U649" s="484"/>
      <c r="V649" s="484"/>
      <c r="W649" s="484"/>
      <c r="X649" s="484"/>
      <c r="Y649" s="484"/>
    </row>
    <row r="650">
      <c r="A650" s="484"/>
      <c r="B650" s="484"/>
      <c r="C650" s="484"/>
      <c r="D650" s="484"/>
      <c r="E650" s="484"/>
      <c r="F650" s="484"/>
      <c r="G650" s="484"/>
      <c r="H650" s="484"/>
      <c r="I650" s="484"/>
      <c r="J650" s="484"/>
      <c r="K650" s="484"/>
      <c r="L650" s="428" t="s">
        <v>134</v>
      </c>
      <c r="M650" s="484"/>
      <c r="N650" s="484"/>
      <c r="O650" s="484"/>
      <c r="P650" s="484"/>
      <c r="Q650" s="484"/>
      <c r="R650" s="484"/>
      <c r="S650" s="484"/>
      <c r="T650" s="484"/>
      <c r="U650" s="484"/>
      <c r="V650" s="484"/>
      <c r="W650" s="484"/>
      <c r="X650" s="484"/>
      <c r="Y650" s="484"/>
    </row>
    <row r="651">
      <c r="A651" s="484"/>
      <c r="B651" s="484"/>
      <c r="C651" s="484"/>
      <c r="D651" s="484"/>
      <c r="E651" s="484"/>
      <c r="F651" s="484"/>
      <c r="G651" s="484"/>
      <c r="H651" s="484"/>
      <c r="I651" s="484"/>
      <c r="J651" s="484"/>
      <c r="K651" s="484"/>
      <c r="L651" s="428" t="s">
        <v>134</v>
      </c>
      <c r="M651" s="484"/>
      <c r="N651" s="484"/>
      <c r="O651" s="484"/>
      <c r="P651" s="484"/>
      <c r="Q651" s="484"/>
      <c r="R651" s="484"/>
      <c r="S651" s="484"/>
      <c r="T651" s="484"/>
      <c r="U651" s="484"/>
      <c r="V651" s="484"/>
      <c r="W651" s="484"/>
      <c r="X651" s="484"/>
      <c r="Y651" s="484"/>
    </row>
    <row r="652">
      <c r="A652" s="484"/>
      <c r="B652" s="484"/>
      <c r="C652" s="484"/>
      <c r="D652" s="484"/>
      <c r="E652" s="484"/>
      <c r="F652" s="484"/>
      <c r="G652" s="484"/>
      <c r="H652" s="484"/>
      <c r="I652" s="484"/>
      <c r="J652" s="484"/>
      <c r="K652" s="484"/>
      <c r="L652" s="535" t="s">
        <v>1224</v>
      </c>
      <c r="M652" s="484"/>
      <c r="N652" s="484"/>
      <c r="O652" s="484"/>
      <c r="P652" s="484"/>
      <c r="Q652" s="484"/>
      <c r="R652" s="484"/>
      <c r="S652" s="484"/>
      <c r="T652" s="484"/>
      <c r="U652" s="484"/>
      <c r="V652" s="484"/>
      <c r="W652" s="484"/>
      <c r="X652" s="484"/>
      <c r="Y652" s="484"/>
    </row>
    <row r="653">
      <c r="A653" s="484"/>
      <c r="B653" s="484"/>
      <c r="C653" s="484"/>
      <c r="D653" s="484"/>
      <c r="E653" s="484"/>
      <c r="F653" s="484"/>
      <c r="G653" s="484"/>
      <c r="H653" s="484"/>
      <c r="I653" s="484"/>
      <c r="J653" s="484"/>
      <c r="K653" s="484"/>
      <c r="L653" s="428" t="s">
        <v>516</v>
      </c>
      <c r="M653" s="484"/>
      <c r="N653" s="484"/>
      <c r="O653" s="484"/>
      <c r="P653" s="484"/>
      <c r="Q653" s="484"/>
      <c r="R653" s="484"/>
      <c r="S653" s="484"/>
      <c r="T653" s="484"/>
      <c r="U653" s="484"/>
      <c r="V653" s="484"/>
      <c r="W653" s="484"/>
      <c r="X653" s="484"/>
      <c r="Y653" s="484"/>
    </row>
    <row r="654">
      <c r="A654" s="484"/>
      <c r="B654" s="484"/>
      <c r="C654" s="484"/>
      <c r="D654" s="484"/>
      <c r="E654" s="484"/>
      <c r="F654" s="484"/>
      <c r="G654" s="484"/>
      <c r="H654" s="484"/>
      <c r="I654" s="484"/>
      <c r="J654" s="484"/>
      <c r="K654" s="484"/>
      <c r="L654" s="428" t="s">
        <v>728</v>
      </c>
      <c r="M654" s="484"/>
      <c r="N654" s="484"/>
      <c r="O654" s="484"/>
      <c r="P654" s="484"/>
      <c r="Q654" s="484"/>
      <c r="R654" s="484"/>
      <c r="S654" s="484"/>
      <c r="T654" s="484"/>
      <c r="U654" s="484"/>
      <c r="V654" s="484"/>
      <c r="W654" s="484"/>
      <c r="X654" s="484"/>
      <c r="Y654" s="484"/>
    </row>
    <row r="655">
      <c r="A655" s="484"/>
      <c r="B655" s="484"/>
      <c r="C655" s="484"/>
      <c r="D655" s="484"/>
      <c r="E655" s="484"/>
      <c r="F655" s="484"/>
      <c r="G655" s="484"/>
      <c r="H655" s="484"/>
      <c r="I655" s="484"/>
      <c r="J655" s="484"/>
      <c r="K655" s="484"/>
      <c r="L655" s="428" t="s">
        <v>2316</v>
      </c>
      <c r="M655" s="484"/>
      <c r="N655" s="484"/>
      <c r="O655" s="484"/>
      <c r="P655" s="484"/>
      <c r="Q655" s="484"/>
      <c r="R655" s="484"/>
      <c r="S655" s="484"/>
      <c r="T655" s="484"/>
      <c r="U655" s="484"/>
      <c r="V655" s="484"/>
      <c r="W655" s="484"/>
      <c r="X655" s="484"/>
      <c r="Y655" s="484"/>
    </row>
    <row r="656">
      <c r="A656" s="484"/>
      <c r="B656" s="484"/>
      <c r="C656" s="484"/>
      <c r="D656" s="484"/>
      <c r="E656" s="484"/>
      <c r="F656" s="484"/>
      <c r="G656" s="484"/>
      <c r="H656" s="484"/>
      <c r="I656" s="484"/>
      <c r="J656" s="484"/>
      <c r="K656" s="484"/>
      <c r="L656" s="428" t="s">
        <v>155</v>
      </c>
      <c r="M656" s="484"/>
      <c r="N656" s="484"/>
      <c r="O656" s="484"/>
      <c r="P656" s="484"/>
      <c r="Q656" s="484"/>
      <c r="R656" s="484"/>
      <c r="S656" s="484"/>
      <c r="T656" s="484"/>
      <c r="U656" s="484"/>
      <c r="V656" s="484"/>
      <c r="W656" s="484"/>
      <c r="X656" s="484"/>
      <c r="Y656" s="484"/>
    </row>
    <row r="657">
      <c r="A657" s="484"/>
      <c r="B657" s="484"/>
      <c r="C657" s="484"/>
      <c r="D657" s="484"/>
      <c r="E657" s="484"/>
      <c r="F657" s="484"/>
      <c r="G657" s="484"/>
      <c r="H657" s="484"/>
      <c r="I657" s="484"/>
      <c r="J657" s="484"/>
      <c r="K657" s="484"/>
      <c r="L657" s="428" t="s">
        <v>160</v>
      </c>
      <c r="M657" s="484"/>
      <c r="N657" s="484"/>
      <c r="O657" s="484"/>
      <c r="P657" s="484"/>
      <c r="Q657" s="484"/>
      <c r="R657" s="484"/>
      <c r="S657" s="484"/>
      <c r="T657" s="484"/>
      <c r="U657" s="484"/>
      <c r="V657" s="484"/>
      <c r="W657" s="484"/>
      <c r="X657" s="484"/>
      <c r="Y657" s="484"/>
    </row>
    <row r="658">
      <c r="A658" s="484"/>
      <c r="B658" s="484"/>
      <c r="C658" s="484"/>
      <c r="D658" s="484"/>
      <c r="E658" s="484"/>
      <c r="F658" s="484"/>
      <c r="G658" s="484"/>
      <c r="H658" s="484"/>
      <c r="I658" s="484"/>
      <c r="J658" s="484"/>
      <c r="K658" s="484"/>
      <c r="L658" s="428" t="s">
        <v>1045</v>
      </c>
      <c r="M658" s="484"/>
      <c r="N658" s="484"/>
      <c r="O658" s="484"/>
      <c r="P658" s="484"/>
      <c r="Q658" s="484"/>
      <c r="R658" s="484"/>
      <c r="S658" s="484"/>
      <c r="T658" s="484"/>
      <c r="U658" s="484"/>
      <c r="V658" s="484"/>
      <c r="W658" s="484"/>
      <c r="X658" s="484"/>
      <c r="Y658" s="484"/>
    </row>
    <row r="659">
      <c r="A659" s="484"/>
      <c r="B659" s="484"/>
      <c r="C659" s="484"/>
      <c r="D659" s="484"/>
      <c r="E659" s="484"/>
      <c r="F659" s="484"/>
      <c r="G659" s="484"/>
      <c r="H659" s="484"/>
      <c r="I659" s="484"/>
      <c r="J659" s="484"/>
      <c r="K659" s="484"/>
      <c r="L659" s="428" t="s">
        <v>703</v>
      </c>
      <c r="M659" s="484"/>
      <c r="N659" s="484"/>
      <c r="O659" s="484"/>
      <c r="P659" s="484"/>
      <c r="Q659" s="484"/>
      <c r="R659" s="484"/>
      <c r="S659" s="484"/>
      <c r="T659" s="484"/>
      <c r="U659" s="484"/>
      <c r="V659" s="484"/>
      <c r="W659" s="484"/>
      <c r="X659" s="484"/>
      <c r="Y659" s="484"/>
    </row>
    <row r="660">
      <c r="A660" s="484"/>
      <c r="B660" s="484"/>
      <c r="C660" s="484"/>
      <c r="D660" s="484"/>
      <c r="E660" s="484"/>
      <c r="F660" s="484"/>
      <c r="G660" s="484"/>
      <c r="H660" s="484"/>
      <c r="I660" s="484"/>
      <c r="J660" s="484"/>
      <c r="K660" s="484"/>
      <c r="L660" s="428" t="s">
        <v>243</v>
      </c>
      <c r="M660" s="484"/>
      <c r="N660" s="484"/>
      <c r="O660" s="484"/>
      <c r="P660" s="484"/>
      <c r="Q660" s="484"/>
      <c r="R660" s="484"/>
      <c r="S660" s="484"/>
      <c r="T660" s="484"/>
      <c r="U660" s="484"/>
      <c r="V660" s="484"/>
      <c r="W660" s="484"/>
      <c r="X660" s="484"/>
      <c r="Y660" s="484"/>
    </row>
    <row r="661">
      <c r="A661" s="484"/>
      <c r="B661" s="484"/>
      <c r="C661" s="484"/>
      <c r="D661" s="484"/>
      <c r="E661" s="484"/>
      <c r="F661" s="484"/>
      <c r="G661" s="484"/>
      <c r="H661" s="484"/>
      <c r="I661" s="484"/>
      <c r="J661" s="484"/>
      <c r="K661" s="484"/>
      <c r="L661" s="428" t="s">
        <v>311</v>
      </c>
      <c r="M661" s="484"/>
      <c r="N661" s="484"/>
      <c r="O661" s="484"/>
      <c r="P661" s="484"/>
      <c r="Q661" s="484"/>
      <c r="R661" s="484"/>
      <c r="S661" s="484"/>
      <c r="T661" s="484"/>
      <c r="U661" s="484"/>
      <c r="V661" s="484"/>
      <c r="W661" s="484"/>
      <c r="X661" s="484"/>
      <c r="Y661" s="484"/>
    </row>
    <row r="662">
      <c r="A662" s="484"/>
      <c r="B662" s="484"/>
      <c r="C662" s="484"/>
      <c r="D662" s="484"/>
      <c r="E662" s="484"/>
      <c r="F662" s="484"/>
      <c r="G662" s="484"/>
      <c r="H662" s="484"/>
      <c r="I662" s="484"/>
      <c r="J662" s="484"/>
      <c r="K662" s="484"/>
      <c r="L662" s="428" t="s">
        <v>586</v>
      </c>
      <c r="M662" s="484"/>
      <c r="N662" s="484"/>
      <c r="O662" s="484"/>
      <c r="P662" s="484"/>
      <c r="Q662" s="484"/>
      <c r="R662" s="484"/>
      <c r="S662" s="484"/>
      <c r="T662" s="484"/>
      <c r="U662" s="484"/>
      <c r="V662" s="484"/>
      <c r="W662" s="484"/>
      <c r="X662" s="484"/>
      <c r="Y662" s="484"/>
    </row>
    <row r="663">
      <c r="A663" s="484"/>
      <c r="B663" s="484"/>
      <c r="C663" s="484"/>
      <c r="D663" s="484"/>
      <c r="E663" s="484"/>
      <c r="F663" s="484"/>
      <c r="G663" s="484"/>
      <c r="H663" s="484"/>
      <c r="I663" s="484"/>
      <c r="J663" s="484"/>
      <c r="K663" s="484"/>
      <c r="L663" s="428" t="s">
        <v>2351</v>
      </c>
      <c r="M663" s="484"/>
      <c r="N663" s="484"/>
      <c r="O663" s="484"/>
      <c r="P663" s="484"/>
      <c r="Q663" s="484"/>
      <c r="R663" s="484"/>
      <c r="S663" s="484"/>
      <c r="T663" s="484"/>
      <c r="U663" s="484"/>
      <c r="V663" s="484"/>
      <c r="W663" s="484"/>
      <c r="X663" s="484"/>
      <c r="Y663" s="484"/>
    </row>
    <row r="664">
      <c r="A664" s="484"/>
      <c r="B664" s="484"/>
      <c r="C664" s="484"/>
      <c r="D664" s="484"/>
      <c r="E664" s="484"/>
      <c r="F664" s="484"/>
      <c r="G664" s="484"/>
      <c r="H664" s="484"/>
      <c r="I664" s="484"/>
      <c r="J664" s="484"/>
      <c r="K664" s="484"/>
      <c r="L664" s="428" t="s">
        <v>697</v>
      </c>
      <c r="M664" s="484"/>
      <c r="N664" s="484"/>
      <c r="O664" s="484"/>
      <c r="P664" s="484"/>
      <c r="Q664" s="484"/>
      <c r="R664" s="484"/>
      <c r="S664" s="484"/>
      <c r="T664" s="484"/>
      <c r="U664" s="484"/>
      <c r="V664" s="484"/>
      <c r="W664" s="484"/>
      <c r="X664" s="484"/>
      <c r="Y664" s="484"/>
    </row>
    <row r="665">
      <c r="A665" s="484"/>
      <c r="B665" s="484"/>
      <c r="C665" s="484"/>
      <c r="D665" s="484"/>
      <c r="E665" s="484"/>
      <c r="F665" s="484"/>
      <c r="G665" s="484"/>
      <c r="H665" s="484"/>
      <c r="I665" s="484"/>
      <c r="J665" s="484"/>
      <c r="K665" s="484"/>
      <c r="L665" s="428" t="s">
        <v>2359</v>
      </c>
      <c r="M665" s="484"/>
      <c r="N665" s="484"/>
      <c r="O665" s="484"/>
      <c r="P665" s="484"/>
      <c r="Q665" s="484"/>
      <c r="R665" s="484"/>
      <c r="S665" s="484"/>
      <c r="T665" s="484"/>
      <c r="U665" s="484"/>
      <c r="V665" s="484"/>
      <c r="W665" s="484"/>
      <c r="X665" s="484"/>
      <c r="Y665" s="484"/>
    </row>
    <row r="666">
      <c r="A666" s="484"/>
      <c r="B666" s="484"/>
      <c r="C666" s="484"/>
      <c r="D666" s="484"/>
      <c r="E666" s="484"/>
      <c r="F666" s="484"/>
      <c r="G666" s="484"/>
      <c r="H666" s="484"/>
      <c r="I666" s="484"/>
      <c r="J666" s="484"/>
      <c r="K666" s="484"/>
      <c r="L666" s="428" t="s">
        <v>760</v>
      </c>
      <c r="M666" s="484"/>
      <c r="N666" s="484"/>
      <c r="O666" s="484"/>
      <c r="P666" s="484"/>
      <c r="Q666" s="484"/>
      <c r="R666" s="484"/>
      <c r="S666" s="484"/>
      <c r="T666" s="484"/>
      <c r="U666" s="484"/>
      <c r="V666" s="484"/>
      <c r="W666" s="484"/>
      <c r="X666" s="484"/>
      <c r="Y666" s="484"/>
    </row>
    <row r="667">
      <c r="A667" s="484"/>
      <c r="B667" s="484"/>
      <c r="C667" s="484"/>
      <c r="D667" s="484"/>
      <c r="E667" s="484"/>
      <c r="F667" s="484"/>
      <c r="G667" s="484"/>
      <c r="H667" s="484"/>
      <c r="I667" s="484"/>
      <c r="J667" s="484"/>
      <c r="K667" s="484"/>
      <c r="L667" s="428" t="s">
        <v>2368</v>
      </c>
      <c r="M667" s="484"/>
      <c r="N667" s="484"/>
      <c r="O667" s="484"/>
      <c r="P667" s="484"/>
      <c r="Q667" s="484"/>
      <c r="R667" s="484"/>
      <c r="S667" s="484"/>
      <c r="T667" s="484"/>
      <c r="U667" s="484"/>
      <c r="V667" s="484"/>
      <c r="W667" s="484"/>
      <c r="X667" s="484"/>
      <c r="Y667" s="484"/>
    </row>
    <row r="668">
      <c r="A668" s="484"/>
      <c r="B668" s="484"/>
      <c r="C668" s="484"/>
      <c r="D668" s="484"/>
      <c r="E668" s="484"/>
      <c r="F668" s="484"/>
      <c r="G668" s="484"/>
      <c r="H668" s="484"/>
      <c r="I668" s="484"/>
      <c r="J668" s="484"/>
      <c r="K668" s="484"/>
      <c r="L668" s="428" t="s">
        <v>720</v>
      </c>
      <c r="M668" s="484"/>
      <c r="N668" s="484"/>
      <c r="O668" s="484"/>
      <c r="P668" s="484"/>
      <c r="Q668" s="484"/>
      <c r="R668" s="484"/>
      <c r="S668" s="484"/>
      <c r="T668" s="484"/>
      <c r="U668" s="484"/>
      <c r="V668" s="484"/>
      <c r="W668" s="484"/>
      <c r="X668" s="484"/>
      <c r="Y668" s="484"/>
    </row>
    <row r="669">
      <c r="A669" s="484"/>
      <c r="B669" s="484"/>
      <c r="C669" s="484"/>
      <c r="D669" s="484"/>
      <c r="E669" s="484"/>
      <c r="F669" s="484"/>
      <c r="G669" s="484"/>
      <c r="H669" s="484"/>
      <c r="I669" s="484"/>
      <c r="J669" s="484"/>
      <c r="K669" s="484"/>
      <c r="L669" s="428" t="s">
        <v>1366</v>
      </c>
      <c r="M669" s="484"/>
      <c r="N669" s="484"/>
      <c r="O669" s="484"/>
      <c r="P669" s="484"/>
      <c r="Q669" s="484"/>
      <c r="R669" s="484"/>
      <c r="S669" s="484"/>
      <c r="T669" s="484"/>
      <c r="U669" s="484"/>
      <c r="V669" s="484"/>
      <c r="W669" s="484"/>
      <c r="X669" s="484"/>
      <c r="Y669" s="484"/>
    </row>
    <row r="670">
      <c r="A670" s="484"/>
      <c r="B670" s="484"/>
      <c r="C670" s="484"/>
      <c r="D670" s="484"/>
      <c r="E670" s="484"/>
      <c r="F670" s="484"/>
      <c r="G670" s="484"/>
      <c r="H670" s="484"/>
      <c r="I670" s="484"/>
      <c r="J670" s="484"/>
      <c r="K670" s="484"/>
      <c r="L670" s="428" t="s">
        <v>512</v>
      </c>
      <c r="M670" s="484"/>
      <c r="N670" s="484"/>
      <c r="O670" s="484"/>
      <c r="P670" s="484"/>
      <c r="Q670" s="484"/>
      <c r="R670" s="484"/>
      <c r="S670" s="484"/>
      <c r="T670" s="484"/>
      <c r="U670" s="484"/>
      <c r="V670" s="484"/>
      <c r="W670" s="484"/>
      <c r="X670" s="484"/>
      <c r="Y670" s="484"/>
    </row>
    <row r="671">
      <c r="A671" s="484"/>
      <c r="B671" s="484"/>
      <c r="C671" s="484"/>
      <c r="D671" s="484"/>
      <c r="E671" s="484"/>
      <c r="F671" s="484"/>
      <c r="G671" s="484"/>
      <c r="H671" s="484"/>
      <c r="I671" s="484"/>
      <c r="J671" s="484"/>
      <c r="K671" s="484"/>
      <c r="L671" s="428" t="s">
        <v>2388</v>
      </c>
      <c r="M671" s="484"/>
      <c r="N671" s="484"/>
      <c r="O671" s="484"/>
      <c r="P671" s="484"/>
      <c r="Q671" s="484"/>
      <c r="R671" s="484"/>
      <c r="S671" s="484"/>
      <c r="T671" s="484"/>
      <c r="U671" s="484"/>
      <c r="V671" s="484"/>
      <c r="W671" s="484"/>
      <c r="X671" s="484"/>
      <c r="Y671" s="484"/>
    </row>
    <row r="672">
      <c r="A672" s="484"/>
      <c r="B672" s="484"/>
      <c r="C672" s="484"/>
      <c r="D672" s="484"/>
      <c r="E672" s="484"/>
      <c r="F672" s="484"/>
      <c r="G672" s="484"/>
      <c r="H672" s="484"/>
      <c r="I672" s="484"/>
      <c r="J672" s="484"/>
      <c r="K672" s="484"/>
      <c r="L672" s="428" t="s">
        <v>264</v>
      </c>
      <c r="M672" s="484"/>
      <c r="N672" s="484"/>
      <c r="O672" s="484"/>
      <c r="P672" s="484"/>
      <c r="Q672" s="484"/>
      <c r="R672" s="484"/>
      <c r="S672" s="484"/>
      <c r="T672" s="484"/>
      <c r="U672" s="484"/>
      <c r="V672" s="484"/>
      <c r="W672" s="484"/>
      <c r="X672" s="484"/>
      <c r="Y672" s="484"/>
    </row>
    <row r="673">
      <c r="A673" s="484"/>
      <c r="B673" s="484"/>
      <c r="C673" s="484"/>
      <c r="D673" s="484"/>
      <c r="E673" s="484"/>
      <c r="F673" s="484"/>
      <c r="G673" s="484"/>
      <c r="H673" s="484"/>
      <c r="I673" s="484"/>
      <c r="J673" s="484"/>
      <c r="K673" s="484"/>
      <c r="L673" s="428" t="s">
        <v>276</v>
      </c>
      <c r="M673" s="484"/>
      <c r="N673" s="484"/>
      <c r="O673" s="484"/>
      <c r="P673" s="484"/>
      <c r="Q673" s="484"/>
      <c r="R673" s="484"/>
      <c r="S673" s="484"/>
      <c r="T673" s="484"/>
      <c r="U673" s="484"/>
      <c r="V673" s="484"/>
      <c r="W673" s="484"/>
      <c r="X673" s="484"/>
      <c r="Y673" s="484"/>
    </row>
    <row r="674">
      <c r="A674" s="484"/>
      <c r="B674" s="484"/>
      <c r="C674" s="484"/>
      <c r="D674" s="484"/>
      <c r="E674" s="484"/>
      <c r="F674" s="484"/>
      <c r="G674" s="484"/>
      <c r="H674" s="484"/>
      <c r="I674" s="484"/>
      <c r="J674" s="484"/>
      <c r="K674" s="484"/>
      <c r="L674" s="428" t="s">
        <v>1586</v>
      </c>
      <c r="M674" s="484"/>
      <c r="N674" s="484"/>
      <c r="O674" s="484"/>
      <c r="P674" s="484"/>
      <c r="Q674" s="484"/>
      <c r="R674" s="484"/>
      <c r="S674" s="484"/>
      <c r="T674" s="484"/>
      <c r="U674" s="484"/>
      <c r="V674" s="484"/>
      <c r="W674" s="484"/>
      <c r="X674" s="484"/>
      <c r="Y674" s="484"/>
    </row>
    <row r="675">
      <c r="A675" s="484"/>
      <c r="B675" s="484"/>
      <c r="C675" s="484"/>
      <c r="D675" s="484"/>
      <c r="E675" s="484"/>
      <c r="F675" s="484"/>
      <c r="G675" s="484"/>
      <c r="H675" s="484"/>
      <c r="I675" s="484"/>
      <c r="J675" s="484"/>
      <c r="K675" s="484"/>
      <c r="L675" s="484"/>
      <c r="M675" s="484"/>
      <c r="N675" s="484"/>
      <c r="O675" s="484"/>
      <c r="P675" s="484"/>
      <c r="Q675" s="484"/>
      <c r="R675" s="484"/>
      <c r="S675" s="484"/>
      <c r="T675" s="484"/>
      <c r="U675" s="484"/>
      <c r="V675" s="484"/>
      <c r="W675" s="484"/>
      <c r="X675" s="484"/>
      <c r="Y675" s="484"/>
    </row>
    <row r="676">
      <c r="A676" s="484"/>
      <c r="B676" s="484"/>
      <c r="C676" s="484"/>
      <c r="D676" s="484"/>
      <c r="E676" s="484"/>
      <c r="F676" s="484"/>
      <c r="G676" s="484"/>
      <c r="H676" s="484"/>
      <c r="I676" s="484"/>
      <c r="J676" s="484"/>
      <c r="K676" s="484"/>
      <c r="L676" s="484"/>
      <c r="M676" s="484"/>
      <c r="N676" s="484"/>
      <c r="O676" s="484"/>
      <c r="P676" s="484"/>
      <c r="Q676" s="484"/>
      <c r="R676" s="484"/>
      <c r="S676" s="484"/>
      <c r="T676" s="484"/>
      <c r="U676" s="484"/>
      <c r="V676" s="484"/>
      <c r="W676" s="484"/>
      <c r="X676" s="484"/>
      <c r="Y676" s="484"/>
    </row>
    <row r="677">
      <c r="A677" s="484"/>
      <c r="B677" s="484"/>
      <c r="C677" s="484"/>
      <c r="D677" s="484"/>
      <c r="E677" s="484"/>
      <c r="F677" s="484"/>
      <c r="G677" s="484"/>
      <c r="H677" s="484"/>
      <c r="I677" s="484"/>
      <c r="J677" s="484"/>
      <c r="K677" s="484"/>
      <c r="L677" s="484"/>
      <c r="M677" s="484"/>
      <c r="N677" s="484"/>
      <c r="O677" s="484"/>
      <c r="P677" s="484"/>
      <c r="Q677" s="484"/>
      <c r="R677" s="484"/>
      <c r="S677" s="484"/>
      <c r="T677" s="484"/>
      <c r="U677" s="484"/>
      <c r="V677" s="484"/>
      <c r="W677" s="484"/>
      <c r="X677" s="484"/>
      <c r="Y677" s="484"/>
    </row>
    <row r="678">
      <c r="A678" s="484"/>
      <c r="B678" s="484"/>
      <c r="C678" s="484"/>
      <c r="D678" s="484"/>
      <c r="E678" s="484"/>
      <c r="F678" s="484"/>
      <c r="G678" s="484"/>
      <c r="H678" s="484"/>
      <c r="I678" s="484"/>
      <c r="J678" s="484"/>
      <c r="K678" s="484"/>
      <c r="L678" s="484"/>
      <c r="M678" s="484"/>
      <c r="N678" s="484"/>
      <c r="O678" s="484"/>
      <c r="P678" s="484"/>
      <c r="Q678" s="484"/>
      <c r="R678" s="484"/>
      <c r="S678" s="484"/>
      <c r="T678" s="484"/>
      <c r="U678" s="484"/>
      <c r="V678" s="484"/>
      <c r="W678" s="484"/>
      <c r="X678" s="484"/>
      <c r="Y678" s="484"/>
    </row>
    <row r="679">
      <c r="A679" s="484"/>
      <c r="B679" s="484"/>
      <c r="C679" s="484"/>
      <c r="D679" s="484"/>
      <c r="E679" s="484"/>
      <c r="F679" s="484"/>
      <c r="G679" s="484"/>
      <c r="H679" s="484"/>
      <c r="I679" s="484"/>
      <c r="J679" s="484"/>
      <c r="K679" s="484"/>
      <c r="L679" s="484"/>
      <c r="M679" s="484"/>
      <c r="N679" s="484"/>
      <c r="O679" s="484"/>
      <c r="P679" s="484"/>
      <c r="Q679" s="484"/>
      <c r="R679" s="484"/>
      <c r="S679" s="484"/>
      <c r="T679" s="484"/>
      <c r="U679" s="484"/>
      <c r="V679" s="484"/>
      <c r="W679" s="484"/>
      <c r="X679" s="484"/>
      <c r="Y679" s="484"/>
    </row>
    <row r="680">
      <c r="A680" s="484"/>
      <c r="B680" s="484"/>
      <c r="C680" s="484"/>
      <c r="D680" s="484"/>
      <c r="E680" s="484"/>
      <c r="F680" s="484"/>
      <c r="G680" s="484"/>
      <c r="H680" s="484"/>
      <c r="I680" s="484"/>
      <c r="J680" s="484"/>
      <c r="K680" s="484"/>
      <c r="L680" s="484"/>
      <c r="M680" s="484"/>
      <c r="N680" s="484"/>
      <c r="O680" s="484"/>
      <c r="P680" s="484"/>
      <c r="Q680" s="484"/>
      <c r="R680" s="484"/>
      <c r="S680" s="484"/>
      <c r="T680" s="484"/>
      <c r="U680" s="484"/>
      <c r="V680" s="484"/>
      <c r="W680" s="484"/>
      <c r="X680" s="484"/>
      <c r="Y680" s="484"/>
    </row>
    <row r="681">
      <c r="A681" s="484"/>
      <c r="B681" s="484"/>
      <c r="C681" s="484"/>
      <c r="D681" s="484"/>
      <c r="E681" s="484"/>
      <c r="F681" s="484"/>
      <c r="G681" s="484"/>
      <c r="H681" s="484"/>
      <c r="I681" s="484"/>
      <c r="J681" s="484"/>
      <c r="K681" s="484"/>
      <c r="L681" s="484"/>
      <c r="M681" s="484"/>
      <c r="N681" s="484"/>
      <c r="O681" s="484"/>
      <c r="P681" s="484"/>
      <c r="Q681" s="484"/>
      <c r="R681" s="484"/>
      <c r="S681" s="484"/>
      <c r="T681" s="484"/>
      <c r="U681" s="484"/>
      <c r="V681" s="484"/>
      <c r="W681" s="484"/>
      <c r="X681" s="484"/>
      <c r="Y681" s="484"/>
    </row>
    <row r="682">
      <c r="A682" s="484"/>
      <c r="B682" s="484"/>
      <c r="C682" s="484"/>
      <c r="D682" s="484"/>
      <c r="E682" s="484"/>
      <c r="F682" s="484"/>
      <c r="G682" s="484"/>
      <c r="H682" s="484"/>
      <c r="I682" s="484"/>
      <c r="J682" s="484"/>
      <c r="K682" s="484"/>
      <c r="L682" s="484"/>
      <c r="M682" s="484"/>
      <c r="N682" s="484"/>
      <c r="O682" s="484"/>
      <c r="P682" s="484"/>
      <c r="Q682" s="484"/>
      <c r="R682" s="484"/>
      <c r="S682" s="484"/>
      <c r="T682" s="484"/>
      <c r="U682" s="484"/>
      <c r="V682" s="484"/>
      <c r="W682" s="484"/>
      <c r="X682" s="484"/>
      <c r="Y682" s="484"/>
    </row>
    <row r="683">
      <c r="A683" s="484"/>
      <c r="B683" s="484"/>
      <c r="C683" s="484"/>
      <c r="D683" s="484"/>
      <c r="E683" s="484"/>
      <c r="F683" s="484"/>
      <c r="G683" s="484"/>
      <c r="H683" s="484"/>
      <c r="I683" s="484"/>
      <c r="J683" s="484"/>
      <c r="K683" s="484"/>
      <c r="L683" s="484"/>
      <c r="M683" s="484"/>
      <c r="N683" s="484"/>
      <c r="O683" s="484"/>
      <c r="P683" s="484"/>
      <c r="Q683" s="484"/>
      <c r="R683" s="484"/>
      <c r="S683" s="484"/>
      <c r="T683" s="484"/>
      <c r="U683" s="484"/>
      <c r="V683" s="484"/>
      <c r="W683" s="484"/>
      <c r="X683" s="484"/>
      <c r="Y683" s="484"/>
    </row>
    <row r="684">
      <c r="A684" s="484"/>
      <c r="B684" s="484"/>
      <c r="C684" s="484"/>
      <c r="D684" s="484"/>
      <c r="E684" s="484"/>
      <c r="F684" s="484"/>
      <c r="G684" s="484"/>
      <c r="H684" s="484"/>
      <c r="I684" s="484"/>
      <c r="J684" s="484"/>
      <c r="K684" s="484"/>
      <c r="L684" s="484"/>
      <c r="M684" s="484"/>
      <c r="N684" s="484"/>
      <c r="O684" s="484"/>
      <c r="P684" s="484"/>
      <c r="Q684" s="484"/>
      <c r="R684" s="484"/>
      <c r="S684" s="484"/>
      <c r="T684" s="484"/>
      <c r="U684" s="484"/>
      <c r="V684" s="484"/>
      <c r="W684" s="484"/>
      <c r="X684" s="484"/>
      <c r="Y684" s="484"/>
    </row>
    <row r="685">
      <c r="A685" s="484"/>
      <c r="B685" s="484"/>
      <c r="C685" s="484"/>
      <c r="D685" s="484"/>
      <c r="E685" s="484"/>
      <c r="F685" s="484"/>
      <c r="G685" s="484"/>
      <c r="H685" s="484"/>
      <c r="I685" s="484"/>
      <c r="J685" s="484"/>
      <c r="K685" s="484"/>
      <c r="L685" s="484"/>
      <c r="M685" s="484"/>
      <c r="N685" s="484"/>
      <c r="O685" s="484"/>
      <c r="P685" s="484"/>
      <c r="Q685" s="484"/>
      <c r="R685" s="484"/>
      <c r="S685" s="484"/>
      <c r="T685" s="484"/>
      <c r="U685" s="484"/>
      <c r="V685" s="484"/>
      <c r="W685" s="484"/>
      <c r="X685" s="484"/>
      <c r="Y685" s="484"/>
    </row>
    <row r="686">
      <c r="A686" s="484"/>
      <c r="B686" s="484"/>
      <c r="C686" s="484"/>
      <c r="D686" s="484"/>
      <c r="E686" s="484"/>
      <c r="F686" s="484"/>
      <c r="G686" s="484"/>
      <c r="H686" s="484"/>
      <c r="I686" s="484"/>
      <c r="J686" s="484"/>
      <c r="K686" s="484"/>
      <c r="L686" s="484"/>
      <c r="M686" s="484"/>
      <c r="N686" s="484"/>
      <c r="O686" s="484"/>
      <c r="P686" s="484"/>
      <c r="Q686" s="484"/>
      <c r="R686" s="484"/>
      <c r="S686" s="484"/>
      <c r="T686" s="484"/>
      <c r="U686" s="484"/>
      <c r="V686" s="484"/>
      <c r="W686" s="484"/>
      <c r="X686" s="484"/>
      <c r="Y686" s="484"/>
    </row>
    <row r="687">
      <c r="A687" s="484"/>
      <c r="B687" s="484"/>
      <c r="C687" s="484"/>
      <c r="D687" s="484"/>
      <c r="E687" s="484"/>
      <c r="F687" s="484"/>
      <c r="G687" s="484"/>
      <c r="H687" s="484"/>
      <c r="I687" s="484"/>
      <c r="J687" s="484"/>
      <c r="K687" s="484"/>
      <c r="L687" s="484"/>
      <c r="M687" s="484"/>
      <c r="N687" s="484"/>
      <c r="O687" s="484"/>
      <c r="P687" s="484"/>
      <c r="Q687" s="484"/>
      <c r="R687" s="484"/>
      <c r="S687" s="484"/>
      <c r="T687" s="484"/>
      <c r="U687" s="484"/>
      <c r="V687" s="484"/>
      <c r="W687" s="484"/>
      <c r="X687" s="484"/>
      <c r="Y687" s="484"/>
    </row>
    <row r="688">
      <c r="A688" s="484"/>
      <c r="B688" s="484"/>
      <c r="C688" s="484"/>
      <c r="D688" s="484"/>
      <c r="E688" s="484"/>
      <c r="F688" s="484"/>
      <c r="G688" s="484"/>
      <c r="H688" s="484"/>
      <c r="I688" s="484"/>
      <c r="J688" s="484"/>
      <c r="K688" s="484"/>
      <c r="L688" s="484"/>
      <c r="M688" s="484"/>
      <c r="N688" s="484"/>
      <c r="O688" s="484"/>
      <c r="P688" s="484"/>
      <c r="Q688" s="484"/>
      <c r="R688" s="484"/>
      <c r="S688" s="484"/>
      <c r="T688" s="484"/>
      <c r="U688" s="484"/>
      <c r="V688" s="484"/>
      <c r="W688" s="484"/>
      <c r="X688" s="484"/>
      <c r="Y688" s="484"/>
    </row>
    <row r="689">
      <c r="A689" s="484"/>
      <c r="B689" s="484"/>
      <c r="C689" s="484"/>
      <c r="D689" s="484"/>
      <c r="E689" s="484"/>
      <c r="F689" s="484"/>
      <c r="G689" s="484"/>
      <c r="H689" s="484"/>
      <c r="I689" s="484"/>
      <c r="J689" s="484"/>
      <c r="K689" s="484"/>
      <c r="L689" s="484"/>
      <c r="M689" s="484"/>
      <c r="N689" s="484"/>
      <c r="O689" s="484"/>
      <c r="P689" s="484"/>
      <c r="Q689" s="484"/>
      <c r="R689" s="484"/>
      <c r="S689" s="484"/>
      <c r="T689" s="484"/>
      <c r="U689" s="484"/>
      <c r="V689" s="484"/>
      <c r="W689" s="484"/>
      <c r="X689" s="484"/>
      <c r="Y689" s="484"/>
    </row>
    <row r="690">
      <c r="A690" s="484"/>
      <c r="B690" s="484"/>
      <c r="C690" s="484"/>
      <c r="D690" s="484"/>
      <c r="E690" s="484"/>
      <c r="F690" s="484"/>
      <c r="G690" s="484"/>
      <c r="H690" s="484"/>
      <c r="I690" s="484"/>
      <c r="J690" s="484"/>
      <c r="K690" s="484"/>
      <c r="L690" s="484"/>
      <c r="M690" s="484"/>
      <c r="N690" s="484"/>
      <c r="O690" s="484"/>
      <c r="P690" s="484"/>
      <c r="Q690" s="484"/>
      <c r="R690" s="484"/>
      <c r="S690" s="484"/>
      <c r="T690" s="484"/>
      <c r="U690" s="484"/>
      <c r="V690" s="484"/>
      <c r="W690" s="484"/>
      <c r="X690" s="484"/>
      <c r="Y690" s="484"/>
    </row>
    <row r="691">
      <c r="A691" s="484"/>
      <c r="B691" s="484"/>
      <c r="C691" s="484"/>
      <c r="D691" s="484"/>
      <c r="E691" s="484"/>
      <c r="F691" s="484"/>
      <c r="G691" s="484"/>
      <c r="H691" s="484"/>
      <c r="I691" s="484"/>
      <c r="J691" s="484"/>
      <c r="K691" s="484"/>
      <c r="L691" s="484"/>
      <c r="M691" s="484"/>
      <c r="N691" s="484"/>
      <c r="O691" s="484"/>
      <c r="P691" s="484"/>
      <c r="Q691" s="484"/>
      <c r="R691" s="484"/>
      <c r="S691" s="484"/>
      <c r="T691" s="484"/>
      <c r="U691" s="484"/>
      <c r="V691" s="484"/>
      <c r="W691" s="484"/>
      <c r="X691" s="484"/>
      <c r="Y691" s="484"/>
    </row>
    <row r="692">
      <c r="A692" s="484"/>
      <c r="B692" s="484"/>
      <c r="C692" s="484"/>
      <c r="D692" s="484"/>
      <c r="E692" s="484"/>
      <c r="F692" s="484"/>
      <c r="G692" s="484"/>
      <c r="H692" s="484"/>
      <c r="I692" s="484"/>
      <c r="J692" s="484"/>
      <c r="K692" s="484"/>
      <c r="L692" s="484"/>
      <c r="M692" s="484"/>
      <c r="N692" s="484"/>
      <c r="O692" s="484"/>
      <c r="P692" s="484"/>
      <c r="Q692" s="484"/>
      <c r="R692" s="484"/>
      <c r="S692" s="484"/>
      <c r="T692" s="484"/>
      <c r="U692" s="484"/>
      <c r="V692" s="484"/>
      <c r="W692" s="484"/>
      <c r="X692" s="484"/>
      <c r="Y692" s="484"/>
    </row>
    <row r="693">
      <c r="A693" s="484"/>
      <c r="B693" s="484"/>
      <c r="C693" s="484"/>
      <c r="D693" s="484"/>
      <c r="E693" s="484"/>
      <c r="F693" s="484"/>
      <c r="G693" s="484"/>
      <c r="H693" s="484"/>
      <c r="I693" s="484"/>
      <c r="J693" s="484"/>
      <c r="K693" s="484"/>
      <c r="L693" s="484"/>
      <c r="M693" s="484"/>
      <c r="N693" s="484"/>
      <c r="O693" s="484"/>
      <c r="P693" s="484"/>
      <c r="Q693" s="484"/>
      <c r="R693" s="484"/>
      <c r="S693" s="484"/>
      <c r="T693" s="484"/>
      <c r="U693" s="484"/>
      <c r="V693" s="484"/>
      <c r="W693" s="484"/>
      <c r="X693" s="484"/>
      <c r="Y693" s="484"/>
    </row>
    <row r="694">
      <c r="A694" s="484"/>
      <c r="B694" s="484"/>
      <c r="C694" s="484"/>
      <c r="D694" s="484"/>
      <c r="E694" s="484"/>
      <c r="F694" s="484"/>
      <c r="G694" s="484"/>
      <c r="H694" s="484"/>
      <c r="I694" s="484"/>
      <c r="J694" s="484"/>
      <c r="K694" s="484"/>
      <c r="L694" s="484"/>
      <c r="M694" s="484"/>
      <c r="N694" s="484"/>
      <c r="O694" s="484"/>
      <c r="P694" s="484"/>
      <c r="Q694" s="484"/>
      <c r="R694" s="484"/>
      <c r="S694" s="484"/>
      <c r="T694" s="484"/>
      <c r="U694" s="484"/>
      <c r="V694" s="484"/>
      <c r="W694" s="484"/>
      <c r="X694" s="484"/>
      <c r="Y694" s="484"/>
    </row>
    <row r="695">
      <c r="A695" s="484"/>
      <c r="B695" s="484"/>
      <c r="C695" s="484"/>
      <c r="D695" s="484"/>
      <c r="E695" s="484"/>
      <c r="F695" s="484"/>
      <c r="G695" s="484"/>
      <c r="H695" s="484"/>
      <c r="I695" s="484"/>
      <c r="J695" s="484"/>
      <c r="K695" s="484"/>
      <c r="L695" s="484"/>
      <c r="M695" s="484"/>
      <c r="N695" s="484"/>
      <c r="O695" s="484"/>
      <c r="P695" s="484"/>
      <c r="Q695" s="484"/>
      <c r="R695" s="484"/>
      <c r="S695" s="484"/>
      <c r="T695" s="484"/>
      <c r="U695" s="484"/>
      <c r="V695" s="484"/>
      <c r="W695" s="484"/>
      <c r="X695" s="484"/>
      <c r="Y695" s="484"/>
    </row>
    <row r="696">
      <c r="A696" s="484"/>
      <c r="B696" s="484"/>
      <c r="C696" s="484"/>
      <c r="D696" s="484"/>
      <c r="E696" s="484"/>
      <c r="F696" s="484"/>
      <c r="G696" s="484"/>
      <c r="H696" s="484"/>
      <c r="I696" s="484"/>
      <c r="J696" s="484"/>
      <c r="K696" s="484"/>
      <c r="L696" s="484"/>
      <c r="M696" s="484"/>
      <c r="N696" s="484"/>
      <c r="O696" s="484"/>
      <c r="P696" s="484"/>
      <c r="Q696" s="484"/>
      <c r="R696" s="484"/>
      <c r="S696" s="484"/>
      <c r="T696" s="484"/>
      <c r="U696" s="484"/>
      <c r="V696" s="484"/>
      <c r="W696" s="484"/>
      <c r="X696" s="484"/>
      <c r="Y696" s="484"/>
    </row>
    <row r="697">
      <c r="A697" s="484"/>
      <c r="B697" s="484"/>
      <c r="C697" s="484"/>
      <c r="D697" s="484"/>
      <c r="E697" s="484"/>
      <c r="F697" s="484"/>
      <c r="G697" s="484"/>
      <c r="H697" s="484"/>
      <c r="I697" s="484"/>
      <c r="J697" s="484"/>
      <c r="K697" s="484"/>
      <c r="L697" s="484"/>
      <c r="M697" s="484"/>
      <c r="N697" s="484"/>
      <c r="O697" s="484"/>
      <c r="P697" s="484"/>
      <c r="Q697" s="484"/>
      <c r="R697" s="484"/>
      <c r="S697" s="484"/>
      <c r="T697" s="484"/>
      <c r="U697" s="484"/>
      <c r="V697" s="484"/>
      <c r="W697" s="484"/>
      <c r="X697" s="484"/>
      <c r="Y697" s="484"/>
    </row>
    <row r="698">
      <c r="A698" s="484"/>
      <c r="B698" s="484"/>
      <c r="C698" s="484"/>
      <c r="D698" s="484"/>
      <c r="E698" s="484"/>
      <c r="F698" s="484"/>
      <c r="G698" s="484"/>
      <c r="H698" s="484"/>
      <c r="I698" s="484"/>
      <c r="J698" s="484"/>
      <c r="K698" s="484"/>
      <c r="L698" s="484"/>
      <c r="M698" s="484"/>
      <c r="N698" s="484"/>
      <c r="O698" s="484"/>
      <c r="P698" s="484"/>
      <c r="Q698" s="484"/>
      <c r="R698" s="484"/>
      <c r="S698" s="484"/>
      <c r="T698" s="484"/>
      <c r="U698" s="484"/>
      <c r="V698" s="484"/>
      <c r="W698" s="484"/>
      <c r="X698" s="484"/>
      <c r="Y698" s="484"/>
    </row>
    <row r="699">
      <c r="A699" s="484"/>
      <c r="B699" s="484"/>
      <c r="C699" s="484"/>
      <c r="D699" s="484"/>
      <c r="E699" s="484"/>
      <c r="F699" s="484"/>
      <c r="G699" s="484"/>
      <c r="H699" s="484"/>
      <c r="I699" s="484"/>
      <c r="J699" s="484"/>
      <c r="K699" s="484"/>
      <c r="L699" s="484"/>
      <c r="M699" s="484"/>
      <c r="N699" s="484"/>
      <c r="O699" s="484"/>
      <c r="P699" s="484"/>
      <c r="Q699" s="484"/>
      <c r="R699" s="484"/>
      <c r="S699" s="484"/>
      <c r="T699" s="484"/>
      <c r="U699" s="484"/>
      <c r="V699" s="484"/>
      <c r="W699" s="484"/>
      <c r="X699" s="484"/>
      <c r="Y699" s="484"/>
    </row>
    <row r="700">
      <c r="A700" s="484"/>
      <c r="B700" s="484"/>
      <c r="C700" s="484"/>
      <c r="D700" s="484"/>
      <c r="E700" s="484"/>
      <c r="F700" s="484"/>
      <c r="G700" s="484"/>
      <c r="H700" s="484"/>
      <c r="I700" s="484"/>
      <c r="J700" s="484"/>
      <c r="K700" s="484"/>
      <c r="L700" s="484"/>
      <c r="M700" s="484"/>
      <c r="N700" s="484"/>
      <c r="O700" s="484"/>
      <c r="P700" s="484"/>
      <c r="Q700" s="484"/>
      <c r="R700" s="484"/>
      <c r="S700" s="484"/>
      <c r="T700" s="484"/>
      <c r="U700" s="484"/>
      <c r="V700" s="484"/>
      <c r="W700" s="484"/>
      <c r="X700" s="484"/>
      <c r="Y700" s="484"/>
    </row>
    <row r="701">
      <c r="A701" s="484"/>
      <c r="B701" s="484"/>
      <c r="C701" s="484"/>
      <c r="D701" s="484"/>
      <c r="E701" s="484"/>
      <c r="F701" s="484"/>
      <c r="G701" s="484"/>
      <c r="H701" s="484"/>
      <c r="I701" s="484"/>
      <c r="J701" s="484"/>
      <c r="K701" s="484"/>
      <c r="L701" s="484"/>
      <c r="M701" s="484"/>
      <c r="N701" s="484"/>
      <c r="O701" s="484"/>
      <c r="P701" s="484"/>
      <c r="Q701" s="484"/>
      <c r="R701" s="484"/>
      <c r="S701" s="484"/>
      <c r="T701" s="484"/>
      <c r="U701" s="484"/>
      <c r="V701" s="484"/>
      <c r="W701" s="484"/>
      <c r="X701" s="484"/>
      <c r="Y701" s="484"/>
    </row>
    <row r="702">
      <c r="A702" s="484"/>
      <c r="B702" s="484"/>
      <c r="C702" s="484"/>
      <c r="D702" s="484"/>
      <c r="E702" s="484"/>
      <c r="F702" s="484"/>
      <c r="G702" s="484"/>
      <c r="H702" s="484"/>
      <c r="I702" s="484"/>
      <c r="J702" s="484"/>
      <c r="K702" s="484"/>
      <c r="L702" s="484"/>
      <c r="M702" s="484"/>
      <c r="N702" s="484"/>
      <c r="O702" s="484"/>
      <c r="P702" s="484"/>
      <c r="Q702" s="484"/>
      <c r="R702" s="484"/>
      <c r="S702" s="484"/>
      <c r="T702" s="484"/>
      <c r="U702" s="484"/>
      <c r="V702" s="484"/>
      <c r="W702" s="484"/>
      <c r="X702" s="484"/>
      <c r="Y702" s="484"/>
    </row>
    <row r="703">
      <c r="A703" s="484"/>
      <c r="B703" s="484"/>
      <c r="C703" s="484"/>
      <c r="D703" s="484"/>
      <c r="E703" s="484"/>
      <c r="F703" s="484"/>
      <c r="G703" s="484"/>
      <c r="H703" s="484"/>
      <c r="I703" s="484"/>
      <c r="J703" s="484"/>
      <c r="K703" s="484"/>
      <c r="L703" s="484"/>
      <c r="M703" s="484"/>
      <c r="N703" s="484"/>
      <c r="O703" s="484"/>
      <c r="P703" s="484"/>
      <c r="Q703" s="484"/>
      <c r="R703" s="484"/>
      <c r="S703" s="484"/>
      <c r="T703" s="484"/>
      <c r="U703" s="484"/>
      <c r="V703" s="484"/>
      <c r="W703" s="484"/>
      <c r="X703" s="484"/>
      <c r="Y703" s="484"/>
    </row>
    <row r="704">
      <c r="A704" s="484"/>
      <c r="B704" s="484"/>
      <c r="C704" s="484"/>
      <c r="D704" s="484"/>
      <c r="E704" s="484"/>
      <c r="F704" s="484"/>
      <c r="G704" s="484"/>
      <c r="H704" s="484"/>
      <c r="I704" s="484"/>
      <c r="J704" s="484"/>
      <c r="K704" s="484"/>
      <c r="L704" s="484"/>
      <c r="M704" s="484"/>
      <c r="N704" s="484"/>
      <c r="O704" s="484"/>
      <c r="P704" s="484"/>
      <c r="Q704" s="484"/>
      <c r="R704" s="484"/>
      <c r="S704" s="484"/>
      <c r="T704" s="484"/>
      <c r="U704" s="484"/>
      <c r="V704" s="484"/>
      <c r="W704" s="484"/>
      <c r="X704" s="484"/>
      <c r="Y704" s="484"/>
    </row>
    <row r="705">
      <c r="A705" s="484"/>
      <c r="B705" s="484"/>
      <c r="C705" s="484"/>
      <c r="D705" s="484"/>
      <c r="E705" s="484"/>
      <c r="F705" s="484"/>
      <c r="G705" s="484"/>
      <c r="H705" s="484"/>
      <c r="I705" s="484"/>
      <c r="J705" s="484"/>
      <c r="K705" s="484"/>
      <c r="L705" s="484"/>
      <c r="M705" s="484"/>
      <c r="N705" s="484"/>
      <c r="O705" s="484"/>
      <c r="P705" s="484"/>
      <c r="Q705" s="484"/>
      <c r="R705" s="484"/>
      <c r="S705" s="484"/>
      <c r="T705" s="484"/>
      <c r="U705" s="484"/>
      <c r="V705" s="484"/>
      <c r="W705" s="484"/>
      <c r="X705" s="484"/>
      <c r="Y705" s="484"/>
    </row>
    <row r="706">
      <c r="A706" s="484"/>
      <c r="B706" s="484"/>
      <c r="C706" s="484"/>
      <c r="D706" s="484"/>
      <c r="E706" s="484"/>
      <c r="F706" s="484"/>
      <c r="G706" s="484"/>
      <c r="H706" s="484"/>
      <c r="I706" s="484"/>
      <c r="J706" s="484"/>
      <c r="K706" s="484"/>
      <c r="L706" s="484"/>
      <c r="M706" s="484"/>
      <c r="N706" s="484"/>
      <c r="O706" s="484"/>
      <c r="P706" s="484"/>
      <c r="Q706" s="484"/>
      <c r="R706" s="484"/>
      <c r="S706" s="484"/>
      <c r="T706" s="484"/>
      <c r="U706" s="484"/>
      <c r="V706" s="484"/>
      <c r="W706" s="484"/>
      <c r="X706" s="484"/>
      <c r="Y706" s="484"/>
    </row>
    <row r="707">
      <c r="A707" s="484"/>
      <c r="B707" s="484"/>
      <c r="C707" s="484"/>
      <c r="D707" s="484"/>
      <c r="E707" s="484"/>
      <c r="F707" s="484"/>
      <c r="G707" s="484"/>
      <c r="H707" s="484"/>
      <c r="I707" s="484"/>
      <c r="J707" s="484"/>
      <c r="K707" s="484"/>
      <c r="L707" s="484"/>
      <c r="M707" s="484"/>
      <c r="N707" s="484"/>
      <c r="O707" s="484"/>
      <c r="P707" s="484"/>
      <c r="Q707" s="484"/>
      <c r="R707" s="484"/>
      <c r="S707" s="484"/>
      <c r="T707" s="484"/>
      <c r="U707" s="484"/>
      <c r="V707" s="484"/>
      <c r="W707" s="484"/>
      <c r="X707" s="484"/>
      <c r="Y707" s="484"/>
    </row>
    <row r="708">
      <c r="A708" s="484"/>
      <c r="B708" s="484"/>
      <c r="C708" s="484"/>
      <c r="D708" s="484"/>
      <c r="E708" s="484"/>
      <c r="F708" s="484"/>
      <c r="G708" s="484"/>
      <c r="H708" s="484"/>
      <c r="I708" s="484"/>
      <c r="J708" s="484"/>
      <c r="K708" s="484"/>
      <c r="L708" s="484"/>
      <c r="M708" s="484"/>
      <c r="N708" s="484"/>
      <c r="O708" s="484"/>
      <c r="P708" s="484"/>
      <c r="Q708" s="484"/>
      <c r="R708" s="484"/>
      <c r="S708" s="484"/>
      <c r="T708" s="484"/>
      <c r="U708" s="484"/>
      <c r="V708" s="484"/>
      <c r="W708" s="484"/>
      <c r="X708" s="484"/>
      <c r="Y708" s="484"/>
    </row>
    <row r="709">
      <c r="A709" s="484"/>
      <c r="B709" s="484"/>
      <c r="C709" s="484"/>
      <c r="D709" s="484"/>
      <c r="E709" s="484"/>
      <c r="F709" s="484"/>
      <c r="G709" s="484"/>
      <c r="H709" s="484"/>
      <c r="I709" s="484"/>
      <c r="J709" s="484"/>
      <c r="K709" s="484"/>
      <c r="L709" s="484"/>
      <c r="M709" s="484"/>
      <c r="N709" s="484"/>
      <c r="O709" s="484"/>
      <c r="P709" s="484"/>
      <c r="Q709" s="484"/>
      <c r="R709" s="484"/>
      <c r="S709" s="484"/>
      <c r="T709" s="484"/>
      <c r="U709" s="484"/>
      <c r="V709" s="484"/>
      <c r="W709" s="484"/>
      <c r="X709" s="484"/>
      <c r="Y709" s="484"/>
    </row>
    <row r="710">
      <c r="A710" s="484"/>
      <c r="B710" s="484"/>
      <c r="C710" s="484"/>
      <c r="D710" s="484"/>
      <c r="E710" s="484"/>
      <c r="F710" s="484"/>
      <c r="G710" s="484"/>
      <c r="H710" s="484"/>
      <c r="I710" s="484"/>
      <c r="J710" s="484"/>
      <c r="K710" s="484"/>
      <c r="L710" s="484"/>
      <c r="M710" s="484"/>
      <c r="N710" s="484"/>
      <c r="O710" s="484"/>
      <c r="P710" s="484"/>
      <c r="Q710" s="484"/>
      <c r="R710" s="484"/>
      <c r="S710" s="484"/>
      <c r="T710" s="484"/>
      <c r="U710" s="484"/>
      <c r="V710" s="484"/>
      <c r="W710" s="484"/>
      <c r="X710" s="484"/>
      <c r="Y710" s="484"/>
    </row>
    <row r="711">
      <c r="A711" s="484"/>
      <c r="B711" s="484"/>
      <c r="C711" s="484"/>
      <c r="D711" s="484"/>
      <c r="E711" s="484"/>
      <c r="F711" s="484"/>
      <c r="G711" s="484"/>
      <c r="H711" s="484"/>
      <c r="I711" s="484"/>
      <c r="J711" s="484"/>
      <c r="K711" s="484"/>
      <c r="L711" s="484"/>
      <c r="M711" s="484"/>
      <c r="N711" s="484"/>
      <c r="O711" s="484"/>
      <c r="P711" s="484"/>
      <c r="Q711" s="484"/>
      <c r="R711" s="484"/>
      <c r="S711" s="484"/>
      <c r="T711" s="484"/>
      <c r="U711" s="484"/>
      <c r="V711" s="484"/>
      <c r="W711" s="484"/>
      <c r="X711" s="484"/>
      <c r="Y711" s="484"/>
    </row>
    <row r="712">
      <c r="A712" s="484"/>
      <c r="B712" s="484"/>
      <c r="C712" s="484"/>
      <c r="D712" s="484"/>
      <c r="E712" s="484"/>
      <c r="F712" s="484"/>
      <c r="G712" s="484"/>
      <c r="H712" s="484"/>
      <c r="I712" s="484"/>
      <c r="J712" s="484"/>
      <c r="K712" s="484"/>
      <c r="L712" s="484"/>
      <c r="M712" s="484"/>
      <c r="N712" s="484"/>
      <c r="O712" s="484"/>
      <c r="P712" s="484"/>
      <c r="Q712" s="484"/>
      <c r="R712" s="484"/>
      <c r="S712" s="484"/>
      <c r="T712" s="484"/>
      <c r="U712" s="484"/>
      <c r="V712" s="484"/>
      <c r="W712" s="484"/>
      <c r="X712" s="484"/>
      <c r="Y712" s="484"/>
    </row>
    <row r="713">
      <c r="A713" s="484"/>
      <c r="B713" s="484"/>
      <c r="C713" s="484"/>
      <c r="D713" s="484"/>
      <c r="E713" s="484"/>
      <c r="F713" s="484"/>
      <c r="G713" s="484"/>
      <c r="H713" s="484"/>
      <c r="I713" s="484"/>
      <c r="J713" s="484"/>
      <c r="K713" s="484"/>
      <c r="L713" s="484"/>
      <c r="M713" s="484"/>
      <c r="N713" s="484"/>
      <c r="O713" s="484"/>
      <c r="P713" s="484"/>
      <c r="Q713" s="484"/>
      <c r="R713" s="484"/>
      <c r="S713" s="484"/>
      <c r="T713" s="484"/>
      <c r="U713" s="484"/>
      <c r="V713" s="484"/>
      <c r="W713" s="484"/>
      <c r="X713" s="484"/>
      <c r="Y713" s="484"/>
    </row>
    <row r="714">
      <c r="A714" s="484"/>
      <c r="B714" s="484"/>
      <c r="C714" s="484"/>
      <c r="D714" s="484"/>
      <c r="E714" s="484"/>
      <c r="F714" s="484"/>
      <c r="G714" s="484"/>
      <c r="H714" s="484"/>
      <c r="I714" s="484"/>
      <c r="J714" s="484"/>
      <c r="K714" s="484"/>
      <c r="L714" s="484"/>
      <c r="M714" s="484"/>
      <c r="N714" s="484"/>
      <c r="O714" s="484"/>
      <c r="P714" s="484"/>
      <c r="Q714" s="484"/>
      <c r="R714" s="484"/>
      <c r="S714" s="484"/>
      <c r="T714" s="484"/>
      <c r="U714" s="484"/>
      <c r="V714" s="484"/>
      <c r="W714" s="484"/>
      <c r="X714" s="484"/>
      <c r="Y714" s="484"/>
    </row>
    <row r="715">
      <c r="A715" s="484"/>
      <c r="B715" s="484"/>
      <c r="C715" s="484"/>
      <c r="D715" s="484"/>
      <c r="E715" s="484"/>
      <c r="F715" s="484"/>
      <c r="G715" s="484"/>
      <c r="H715" s="484"/>
      <c r="I715" s="484"/>
      <c r="J715" s="484"/>
      <c r="K715" s="484"/>
      <c r="L715" s="484"/>
      <c r="M715" s="484"/>
      <c r="N715" s="484"/>
      <c r="O715" s="484"/>
      <c r="P715" s="484"/>
      <c r="Q715" s="484"/>
      <c r="R715" s="484"/>
      <c r="S715" s="484"/>
      <c r="T715" s="484"/>
      <c r="U715" s="484"/>
      <c r="V715" s="484"/>
      <c r="W715" s="484"/>
      <c r="X715" s="484"/>
      <c r="Y715" s="484"/>
    </row>
    <row r="716">
      <c r="A716" s="484"/>
      <c r="B716" s="484"/>
      <c r="C716" s="484"/>
      <c r="D716" s="484"/>
      <c r="E716" s="484"/>
      <c r="F716" s="484"/>
      <c r="G716" s="484"/>
      <c r="H716" s="484"/>
      <c r="I716" s="484"/>
      <c r="J716" s="484"/>
      <c r="K716" s="484"/>
      <c r="L716" s="484"/>
      <c r="M716" s="484"/>
      <c r="N716" s="484"/>
      <c r="O716" s="484"/>
      <c r="P716" s="484"/>
      <c r="Q716" s="484"/>
      <c r="R716" s="484"/>
      <c r="S716" s="484"/>
      <c r="T716" s="484"/>
      <c r="U716" s="484"/>
      <c r="V716" s="484"/>
      <c r="W716" s="484"/>
      <c r="X716" s="484"/>
      <c r="Y716" s="484"/>
    </row>
    <row r="717">
      <c r="A717" s="484"/>
      <c r="B717" s="484"/>
      <c r="C717" s="484"/>
      <c r="D717" s="484"/>
      <c r="E717" s="484"/>
      <c r="F717" s="484"/>
      <c r="G717" s="484"/>
      <c r="H717" s="484"/>
      <c r="I717" s="484"/>
      <c r="J717" s="484"/>
      <c r="K717" s="484"/>
      <c r="L717" s="484"/>
      <c r="M717" s="484"/>
      <c r="N717" s="484"/>
      <c r="O717" s="484"/>
      <c r="P717" s="484"/>
      <c r="Q717" s="484"/>
      <c r="R717" s="484"/>
      <c r="S717" s="484"/>
      <c r="T717" s="484"/>
      <c r="U717" s="484"/>
      <c r="V717" s="484"/>
      <c r="W717" s="484"/>
      <c r="X717" s="484"/>
      <c r="Y717" s="484"/>
    </row>
    <row r="718">
      <c r="A718" s="484"/>
      <c r="B718" s="484"/>
      <c r="C718" s="484"/>
      <c r="D718" s="484"/>
      <c r="E718" s="484"/>
      <c r="F718" s="484"/>
      <c r="G718" s="484"/>
      <c r="H718" s="484"/>
      <c r="I718" s="484"/>
      <c r="J718" s="484"/>
      <c r="K718" s="484"/>
      <c r="L718" s="484"/>
      <c r="M718" s="484"/>
      <c r="N718" s="484"/>
      <c r="O718" s="484"/>
      <c r="P718" s="484"/>
      <c r="Q718" s="484"/>
      <c r="R718" s="484"/>
      <c r="S718" s="484"/>
      <c r="T718" s="484"/>
      <c r="U718" s="484"/>
      <c r="V718" s="484"/>
      <c r="W718" s="484"/>
      <c r="X718" s="484"/>
      <c r="Y718" s="484"/>
    </row>
    <row r="719">
      <c r="A719" s="484"/>
      <c r="B719" s="484"/>
      <c r="C719" s="484"/>
      <c r="D719" s="484"/>
      <c r="E719" s="484"/>
      <c r="F719" s="484"/>
      <c r="G719" s="484"/>
      <c r="H719" s="484"/>
      <c r="I719" s="484"/>
      <c r="J719" s="484"/>
      <c r="K719" s="484"/>
      <c r="L719" s="484"/>
      <c r="M719" s="484"/>
      <c r="N719" s="484"/>
      <c r="O719" s="484"/>
      <c r="P719" s="484"/>
      <c r="Q719" s="484"/>
      <c r="R719" s="484"/>
      <c r="S719" s="484"/>
      <c r="T719" s="484"/>
      <c r="U719" s="484"/>
      <c r="V719" s="484"/>
      <c r="W719" s="484"/>
      <c r="X719" s="484"/>
      <c r="Y719" s="484"/>
    </row>
    <row r="720">
      <c r="A720" s="484"/>
      <c r="B720" s="484"/>
      <c r="C720" s="484"/>
      <c r="D720" s="484"/>
      <c r="E720" s="484"/>
      <c r="F720" s="484"/>
      <c r="G720" s="484"/>
      <c r="H720" s="484"/>
      <c r="I720" s="484"/>
      <c r="J720" s="484"/>
      <c r="K720" s="484"/>
      <c r="L720" s="484"/>
      <c r="M720" s="484"/>
      <c r="N720" s="484"/>
      <c r="O720" s="484"/>
      <c r="P720" s="484"/>
      <c r="Q720" s="484"/>
      <c r="R720" s="484"/>
      <c r="S720" s="484"/>
      <c r="T720" s="484"/>
      <c r="U720" s="484"/>
      <c r="V720" s="484"/>
      <c r="W720" s="484"/>
      <c r="X720" s="484"/>
      <c r="Y720" s="484"/>
    </row>
    <row r="721">
      <c r="A721" s="484"/>
      <c r="B721" s="484"/>
      <c r="C721" s="484"/>
      <c r="D721" s="484"/>
      <c r="E721" s="484"/>
      <c r="F721" s="484"/>
      <c r="G721" s="484"/>
      <c r="H721" s="484"/>
      <c r="I721" s="484"/>
      <c r="J721" s="484"/>
      <c r="K721" s="484"/>
      <c r="L721" s="484"/>
      <c r="M721" s="484"/>
      <c r="N721" s="484"/>
      <c r="O721" s="484"/>
      <c r="P721" s="484"/>
      <c r="Q721" s="484"/>
      <c r="R721" s="484"/>
      <c r="S721" s="484"/>
      <c r="T721" s="484"/>
      <c r="U721" s="484"/>
      <c r="V721" s="484"/>
      <c r="W721" s="484"/>
      <c r="X721" s="484"/>
      <c r="Y721" s="484"/>
    </row>
    <row r="722">
      <c r="A722" s="484"/>
      <c r="B722" s="484"/>
      <c r="C722" s="484"/>
      <c r="D722" s="484"/>
      <c r="E722" s="484"/>
      <c r="F722" s="484"/>
      <c r="G722" s="484"/>
      <c r="H722" s="484"/>
      <c r="I722" s="484"/>
      <c r="J722" s="484"/>
      <c r="K722" s="484"/>
      <c r="L722" s="484"/>
      <c r="M722" s="484"/>
      <c r="N722" s="484"/>
      <c r="O722" s="484"/>
      <c r="P722" s="484"/>
      <c r="Q722" s="484"/>
      <c r="R722" s="484"/>
      <c r="S722" s="484"/>
      <c r="T722" s="484"/>
      <c r="U722" s="484"/>
      <c r="V722" s="484"/>
      <c r="W722" s="484"/>
      <c r="X722" s="484"/>
      <c r="Y722" s="484"/>
    </row>
    <row r="723">
      <c r="A723" s="484"/>
      <c r="B723" s="484"/>
      <c r="C723" s="484"/>
      <c r="D723" s="484"/>
      <c r="E723" s="484"/>
      <c r="F723" s="484"/>
      <c r="G723" s="484"/>
      <c r="H723" s="484"/>
      <c r="I723" s="484"/>
      <c r="J723" s="484"/>
      <c r="K723" s="484"/>
      <c r="L723" s="484"/>
      <c r="M723" s="484"/>
      <c r="N723" s="484"/>
      <c r="O723" s="484"/>
      <c r="P723" s="484"/>
      <c r="Q723" s="484"/>
      <c r="R723" s="484"/>
      <c r="S723" s="484"/>
      <c r="T723" s="484"/>
      <c r="U723" s="484"/>
      <c r="V723" s="484"/>
      <c r="W723" s="484"/>
      <c r="X723" s="484"/>
      <c r="Y723" s="484"/>
    </row>
    <row r="724">
      <c r="A724" s="484"/>
      <c r="B724" s="484"/>
      <c r="C724" s="484"/>
      <c r="D724" s="484"/>
      <c r="E724" s="484"/>
      <c r="F724" s="484"/>
      <c r="G724" s="484"/>
      <c r="H724" s="484"/>
      <c r="I724" s="484"/>
      <c r="J724" s="484"/>
      <c r="K724" s="484"/>
      <c r="L724" s="484"/>
      <c r="M724" s="484"/>
      <c r="N724" s="484"/>
      <c r="O724" s="484"/>
      <c r="P724" s="484"/>
      <c r="Q724" s="484"/>
      <c r="R724" s="484"/>
      <c r="S724" s="484"/>
      <c r="T724" s="484"/>
      <c r="U724" s="484"/>
      <c r="V724" s="484"/>
      <c r="W724" s="484"/>
      <c r="X724" s="484"/>
      <c r="Y724" s="484"/>
    </row>
    <row r="725">
      <c r="A725" s="484"/>
      <c r="B725" s="484"/>
      <c r="C725" s="484"/>
      <c r="D725" s="484"/>
      <c r="E725" s="484"/>
      <c r="F725" s="484"/>
      <c r="G725" s="484"/>
      <c r="H725" s="484"/>
      <c r="I725" s="484"/>
      <c r="J725" s="484"/>
      <c r="K725" s="484"/>
      <c r="L725" s="484"/>
      <c r="M725" s="484"/>
      <c r="N725" s="484"/>
      <c r="O725" s="484"/>
      <c r="P725" s="484"/>
      <c r="Q725" s="484"/>
      <c r="R725" s="484"/>
      <c r="S725" s="484"/>
      <c r="T725" s="484"/>
      <c r="U725" s="484"/>
      <c r="V725" s="484"/>
      <c r="W725" s="484"/>
      <c r="X725" s="484"/>
      <c r="Y725" s="484"/>
    </row>
    <row r="726">
      <c r="A726" s="484"/>
      <c r="B726" s="484"/>
      <c r="C726" s="484"/>
      <c r="D726" s="484"/>
      <c r="E726" s="484"/>
      <c r="F726" s="484"/>
      <c r="G726" s="484"/>
      <c r="H726" s="484"/>
      <c r="I726" s="484"/>
      <c r="J726" s="484"/>
      <c r="K726" s="484"/>
      <c r="L726" s="484"/>
      <c r="M726" s="484"/>
      <c r="N726" s="484"/>
      <c r="O726" s="484"/>
      <c r="P726" s="484"/>
      <c r="Q726" s="484"/>
      <c r="R726" s="484"/>
      <c r="S726" s="484"/>
      <c r="T726" s="484"/>
      <c r="U726" s="484"/>
      <c r="V726" s="484"/>
      <c r="W726" s="484"/>
      <c r="X726" s="484"/>
      <c r="Y726" s="484"/>
    </row>
    <row r="727">
      <c r="A727" s="484"/>
      <c r="B727" s="484"/>
      <c r="C727" s="484"/>
      <c r="D727" s="484"/>
      <c r="E727" s="484"/>
      <c r="F727" s="484"/>
      <c r="G727" s="484"/>
      <c r="H727" s="484"/>
      <c r="I727" s="484"/>
      <c r="J727" s="484"/>
      <c r="K727" s="484"/>
      <c r="L727" s="484"/>
      <c r="M727" s="484"/>
      <c r="N727" s="484"/>
      <c r="O727" s="484"/>
      <c r="P727" s="484"/>
      <c r="Q727" s="484"/>
      <c r="R727" s="484"/>
      <c r="S727" s="484"/>
      <c r="T727" s="484"/>
      <c r="U727" s="484"/>
      <c r="V727" s="484"/>
      <c r="W727" s="484"/>
      <c r="X727" s="484"/>
      <c r="Y727" s="484"/>
    </row>
    <row r="728">
      <c r="A728" s="484"/>
      <c r="B728" s="484"/>
      <c r="C728" s="484"/>
      <c r="D728" s="484"/>
      <c r="E728" s="484"/>
      <c r="F728" s="484"/>
      <c r="G728" s="484"/>
      <c r="H728" s="484"/>
      <c r="I728" s="484"/>
      <c r="J728" s="484"/>
      <c r="K728" s="484"/>
      <c r="L728" s="484"/>
      <c r="M728" s="484"/>
      <c r="N728" s="484"/>
      <c r="O728" s="484"/>
      <c r="P728" s="484"/>
      <c r="Q728" s="484"/>
      <c r="R728" s="484"/>
      <c r="S728" s="484"/>
      <c r="T728" s="484"/>
      <c r="U728" s="484"/>
      <c r="V728" s="484"/>
      <c r="W728" s="484"/>
      <c r="X728" s="484"/>
      <c r="Y728" s="484"/>
    </row>
    <row r="729">
      <c r="A729" s="484"/>
      <c r="B729" s="484"/>
      <c r="C729" s="484"/>
      <c r="D729" s="484"/>
      <c r="E729" s="484"/>
      <c r="F729" s="484"/>
      <c r="G729" s="484"/>
      <c r="H729" s="484"/>
      <c r="I729" s="484"/>
      <c r="J729" s="484"/>
      <c r="K729" s="484"/>
      <c r="L729" s="484"/>
      <c r="M729" s="484"/>
      <c r="N729" s="484"/>
      <c r="O729" s="484"/>
      <c r="P729" s="484"/>
      <c r="Q729" s="484"/>
      <c r="R729" s="484"/>
      <c r="S729" s="484"/>
      <c r="T729" s="484"/>
      <c r="U729" s="484"/>
      <c r="V729" s="484"/>
      <c r="W729" s="484"/>
      <c r="X729" s="484"/>
      <c r="Y729" s="484"/>
    </row>
    <row r="730">
      <c r="A730" s="484"/>
      <c r="B730" s="484"/>
      <c r="C730" s="484"/>
      <c r="D730" s="484"/>
      <c r="E730" s="484"/>
      <c r="F730" s="484"/>
      <c r="G730" s="484"/>
      <c r="H730" s="484"/>
      <c r="I730" s="484"/>
      <c r="J730" s="484"/>
      <c r="K730" s="484"/>
      <c r="L730" s="484"/>
      <c r="M730" s="484"/>
      <c r="N730" s="484"/>
      <c r="O730" s="484"/>
      <c r="P730" s="484"/>
      <c r="Q730" s="484"/>
      <c r="R730" s="484"/>
      <c r="S730" s="484"/>
      <c r="T730" s="484"/>
      <c r="U730" s="484"/>
      <c r="V730" s="484"/>
      <c r="W730" s="484"/>
      <c r="X730" s="484"/>
      <c r="Y730" s="484"/>
    </row>
    <row r="731">
      <c r="A731" s="484"/>
      <c r="B731" s="484"/>
      <c r="C731" s="484"/>
      <c r="D731" s="484"/>
      <c r="E731" s="484"/>
      <c r="F731" s="484"/>
      <c r="G731" s="484"/>
      <c r="H731" s="484"/>
      <c r="I731" s="484"/>
      <c r="J731" s="484"/>
      <c r="K731" s="484"/>
      <c r="L731" s="484"/>
      <c r="M731" s="484"/>
      <c r="N731" s="484"/>
      <c r="O731" s="484"/>
      <c r="P731" s="484"/>
      <c r="Q731" s="484"/>
      <c r="R731" s="484"/>
      <c r="S731" s="484"/>
      <c r="T731" s="484"/>
      <c r="U731" s="484"/>
      <c r="V731" s="484"/>
      <c r="W731" s="484"/>
      <c r="X731" s="484"/>
      <c r="Y731" s="484"/>
    </row>
    <row r="732">
      <c r="A732" s="484"/>
      <c r="B732" s="484"/>
      <c r="C732" s="484"/>
      <c r="D732" s="484"/>
      <c r="E732" s="484"/>
      <c r="F732" s="484"/>
      <c r="G732" s="484"/>
      <c r="H732" s="484"/>
      <c r="I732" s="484"/>
      <c r="J732" s="484"/>
      <c r="K732" s="484"/>
      <c r="L732" s="484"/>
      <c r="M732" s="484"/>
      <c r="N732" s="484"/>
      <c r="O732" s="484"/>
      <c r="P732" s="484"/>
      <c r="Q732" s="484"/>
      <c r="R732" s="484"/>
      <c r="S732" s="484"/>
      <c r="T732" s="484"/>
      <c r="U732" s="484"/>
      <c r="V732" s="484"/>
      <c r="W732" s="484"/>
      <c r="X732" s="484"/>
      <c r="Y732" s="484"/>
    </row>
    <row r="733">
      <c r="A733" s="484"/>
      <c r="B733" s="484"/>
      <c r="C733" s="484"/>
      <c r="D733" s="484"/>
      <c r="E733" s="484"/>
      <c r="F733" s="484"/>
      <c r="G733" s="484"/>
      <c r="H733" s="484"/>
      <c r="I733" s="484"/>
      <c r="J733" s="484"/>
      <c r="K733" s="484"/>
      <c r="L733" s="484"/>
      <c r="M733" s="484"/>
      <c r="N733" s="484"/>
      <c r="O733" s="484"/>
      <c r="P733" s="484"/>
      <c r="Q733" s="484"/>
      <c r="R733" s="484"/>
      <c r="S733" s="484"/>
      <c r="T733" s="484"/>
      <c r="U733" s="484"/>
      <c r="V733" s="484"/>
      <c r="W733" s="484"/>
      <c r="X733" s="484"/>
      <c r="Y733" s="484"/>
    </row>
    <row r="734">
      <c r="A734" s="484"/>
      <c r="B734" s="484"/>
      <c r="C734" s="484"/>
      <c r="D734" s="484"/>
      <c r="E734" s="484"/>
      <c r="F734" s="484"/>
      <c r="G734" s="484"/>
      <c r="H734" s="484"/>
      <c r="I734" s="484"/>
      <c r="J734" s="484"/>
      <c r="K734" s="484"/>
      <c r="L734" s="484"/>
      <c r="M734" s="484"/>
      <c r="N734" s="484"/>
      <c r="O734" s="484"/>
      <c r="P734" s="484"/>
      <c r="Q734" s="484"/>
      <c r="R734" s="484"/>
      <c r="S734" s="484"/>
      <c r="T734" s="484"/>
      <c r="U734" s="484"/>
      <c r="V734" s="484"/>
      <c r="W734" s="484"/>
      <c r="X734" s="484"/>
      <c r="Y734" s="484"/>
    </row>
    <row r="735">
      <c r="A735" s="484"/>
      <c r="B735" s="484"/>
      <c r="C735" s="484"/>
      <c r="D735" s="484"/>
      <c r="E735" s="484"/>
      <c r="F735" s="484"/>
      <c r="G735" s="484"/>
      <c r="H735" s="484"/>
      <c r="I735" s="484"/>
      <c r="J735" s="484"/>
      <c r="K735" s="484"/>
      <c r="L735" s="484"/>
      <c r="M735" s="484"/>
      <c r="N735" s="484"/>
      <c r="O735" s="484"/>
      <c r="P735" s="484"/>
      <c r="Q735" s="484"/>
      <c r="R735" s="484"/>
      <c r="S735" s="484"/>
      <c r="T735" s="484"/>
      <c r="U735" s="484"/>
      <c r="V735" s="484"/>
      <c r="W735" s="484"/>
      <c r="X735" s="484"/>
      <c r="Y735" s="484"/>
    </row>
    <row r="736">
      <c r="A736" s="484"/>
      <c r="B736" s="484"/>
      <c r="C736" s="484"/>
      <c r="D736" s="484"/>
      <c r="E736" s="484"/>
      <c r="F736" s="484"/>
      <c r="G736" s="484"/>
      <c r="H736" s="484"/>
      <c r="I736" s="484"/>
      <c r="J736" s="484"/>
      <c r="K736" s="484"/>
      <c r="L736" s="484"/>
      <c r="M736" s="484"/>
      <c r="N736" s="484"/>
      <c r="O736" s="484"/>
      <c r="P736" s="484"/>
      <c r="Q736" s="484"/>
      <c r="R736" s="484"/>
      <c r="S736" s="484"/>
      <c r="T736" s="484"/>
      <c r="U736" s="484"/>
      <c r="V736" s="484"/>
      <c r="W736" s="484"/>
      <c r="X736" s="484"/>
      <c r="Y736" s="484"/>
    </row>
    <row r="737">
      <c r="A737" s="484"/>
      <c r="B737" s="484"/>
      <c r="C737" s="484"/>
      <c r="D737" s="484"/>
      <c r="E737" s="484"/>
      <c r="F737" s="484"/>
      <c r="G737" s="484"/>
      <c r="H737" s="484"/>
      <c r="I737" s="484"/>
      <c r="J737" s="484"/>
      <c r="K737" s="484"/>
      <c r="L737" s="484"/>
      <c r="M737" s="484"/>
      <c r="N737" s="484"/>
      <c r="O737" s="484"/>
      <c r="P737" s="484"/>
      <c r="Q737" s="484"/>
      <c r="R737" s="484"/>
      <c r="S737" s="484"/>
      <c r="T737" s="484"/>
      <c r="U737" s="484"/>
      <c r="V737" s="484"/>
      <c r="W737" s="484"/>
      <c r="X737" s="484"/>
      <c r="Y737" s="484"/>
    </row>
    <row r="738">
      <c r="A738" s="484"/>
      <c r="B738" s="484"/>
      <c r="C738" s="484"/>
      <c r="D738" s="484"/>
      <c r="E738" s="484"/>
      <c r="F738" s="484"/>
      <c r="G738" s="484"/>
      <c r="H738" s="484"/>
      <c r="I738" s="484"/>
      <c r="J738" s="484"/>
      <c r="K738" s="484"/>
      <c r="L738" s="484"/>
      <c r="M738" s="484"/>
      <c r="N738" s="484"/>
      <c r="O738" s="484"/>
      <c r="P738" s="484"/>
      <c r="Q738" s="484"/>
      <c r="R738" s="484"/>
      <c r="S738" s="484"/>
      <c r="T738" s="484"/>
      <c r="U738" s="484"/>
      <c r="V738" s="484"/>
      <c r="W738" s="484"/>
      <c r="X738" s="484"/>
      <c r="Y738" s="484"/>
    </row>
    <row r="739">
      <c r="A739" s="484"/>
      <c r="B739" s="484"/>
      <c r="C739" s="484"/>
      <c r="D739" s="484"/>
      <c r="E739" s="484"/>
      <c r="F739" s="484"/>
      <c r="G739" s="484"/>
      <c r="H739" s="484"/>
      <c r="I739" s="484"/>
      <c r="J739" s="484"/>
      <c r="K739" s="484"/>
      <c r="L739" s="484"/>
      <c r="M739" s="484"/>
      <c r="N739" s="484"/>
      <c r="O739" s="484"/>
      <c r="P739" s="484"/>
      <c r="Q739" s="484"/>
      <c r="R739" s="484"/>
      <c r="S739" s="484"/>
      <c r="T739" s="484"/>
      <c r="U739" s="484"/>
      <c r="V739" s="484"/>
      <c r="W739" s="484"/>
      <c r="X739" s="484"/>
      <c r="Y739" s="484"/>
    </row>
    <row r="740">
      <c r="A740" s="484"/>
      <c r="B740" s="484"/>
      <c r="C740" s="484"/>
      <c r="D740" s="484"/>
      <c r="E740" s="484"/>
      <c r="F740" s="484"/>
      <c r="G740" s="484"/>
      <c r="H740" s="484"/>
      <c r="I740" s="484"/>
      <c r="J740" s="484"/>
      <c r="K740" s="484"/>
      <c r="L740" s="484"/>
      <c r="M740" s="484"/>
      <c r="N740" s="484"/>
      <c r="O740" s="484"/>
      <c r="P740" s="484"/>
      <c r="Q740" s="484"/>
      <c r="R740" s="484"/>
      <c r="S740" s="484"/>
      <c r="T740" s="484"/>
      <c r="U740" s="484"/>
      <c r="V740" s="484"/>
      <c r="W740" s="484"/>
      <c r="X740" s="484"/>
      <c r="Y740" s="484"/>
    </row>
    <row r="741">
      <c r="A741" s="484"/>
      <c r="B741" s="484"/>
      <c r="C741" s="484"/>
      <c r="D741" s="484"/>
      <c r="E741" s="484"/>
      <c r="F741" s="484"/>
      <c r="G741" s="484"/>
      <c r="H741" s="484"/>
      <c r="I741" s="484"/>
      <c r="J741" s="484"/>
      <c r="K741" s="484"/>
      <c r="L741" s="484"/>
      <c r="M741" s="484"/>
      <c r="N741" s="484"/>
      <c r="O741" s="484"/>
      <c r="P741" s="484"/>
      <c r="Q741" s="484"/>
      <c r="R741" s="484"/>
      <c r="S741" s="484"/>
      <c r="T741" s="484"/>
      <c r="U741" s="484"/>
      <c r="V741" s="484"/>
      <c r="W741" s="484"/>
      <c r="X741" s="484"/>
      <c r="Y741" s="484"/>
    </row>
    <row r="742">
      <c r="A742" s="484"/>
      <c r="B742" s="484"/>
      <c r="C742" s="484"/>
      <c r="D742" s="484"/>
      <c r="E742" s="484"/>
      <c r="F742" s="484"/>
      <c r="G742" s="484"/>
      <c r="H742" s="484"/>
      <c r="I742" s="484"/>
      <c r="J742" s="484"/>
      <c r="K742" s="484"/>
      <c r="L742" s="484"/>
      <c r="M742" s="484"/>
      <c r="N742" s="484"/>
      <c r="O742" s="484"/>
      <c r="P742" s="484"/>
      <c r="Q742" s="484"/>
      <c r="R742" s="484"/>
      <c r="S742" s="484"/>
      <c r="T742" s="484"/>
      <c r="U742" s="484"/>
      <c r="V742" s="484"/>
      <c r="W742" s="484"/>
      <c r="X742" s="484"/>
      <c r="Y742" s="484"/>
    </row>
    <row r="743">
      <c r="A743" s="484"/>
      <c r="B743" s="484"/>
      <c r="C743" s="484"/>
      <c r="D743" s="484"/>
      <c r="E743" s="484"/>
      <c r="F743" s="484"/>
      <c r="G743" s="484"/>
      <c r="H743" s="484"/>
      <c r="I743" s="484"/>
      <c r="J743" s="484"/>
      <c r="K743" s="484"/>
      <c r="L743" s="484"/>
      <c r="M743" s="484"/>
      <c r="N743" s="484"/>
      <c r="O743" s="484"/>
      <c r="P743" s="484"/>
      <c r="Q743" s="484"/>
      <c r="R743" s="484"/>
      <c r="S743" s="484"/>
      <c r="T743" s="484"/>
      <c r="U743" s="484"/>
      <c r="V743" s="484"/>
      <c r="W743" s="484"/>
      <c r="X743" s="484"/>
      <c r="Y743" s="484"/>
    </row>
    <row r="744">
      <c r="A744" s="484"/>
      <c r="B744" s="484"/>
      <c r="C744" s="484"/>
      <c r="D744" s="484"/>
      <c r="E744" s="484"/>
      <c r="F744" s="484"/>
      <c r="G744" s="484"/>
      <c r="H744" s="484"/>
      <c r="I744" s="484"/>
      <c r="J744" s="484"/>
      <c r="K744" s="484"/>
      <c r="L744" s="484"/>
      <c r="M744" s="484"/>
      <c r="N744" s="484"/>
      <c r="O744" s="484"/>
      <c r="P744" s="484"/>
      <c r="Q744" s="484"/>
      <c r="R744" s="484"/>
      <c r="S744" s="484"/>
      <c r="T744" s="484"/>
      <c r="U744" s="484"/>
      <c r="V744" s="484"/>
      <c r="W744" s="484"/>
      <c r="X744" s="484"/>
      <c r="Y744" s="484"/>
    </row>
    <row r="745">
      <c r="A745" s="484"/>
      <c r="B745" s="484"/>
      <c r="C745" s="484"/>
      <c r="D745" s="484"/>
      <c r="E745" s="484"/>
      <c r="F745" s="484"/>
      <c r="G745" s="484"/>
      <c r="H745" s="484"/>
      <c r="I745" s="484"/>
      <c r="J745" s="484"/>
      <c r="K745" s="484"/>
      <c r="L745" s="484"/>
      <c r="M745" s="484"/>
      <c r="N745" s="484"/>
      <c r="O745" s="484"/>
      <c r="P745" s="484"/>
      <c r="Q745" s="484"/>
      <c r="R745" s="484"/>
      <c r="S745" s="484"/>
      <c r="T745" s="484"/>
      <c r="U745" s="484"/>
      <c r="V745" s="484"/>
      <c r="W745" s="484"/>
      <c r="X745" s="484"/>
      <c r="Y745" s="484"/>
    </row>
    <row r="746">
      <c r="A746" s="484"/>
      <c r="B746" s="484"/>
      <c r="C746" s="484"/>
      <c r="D746" s="484"/>
      <c r="E746" s="484"/>
      <c r="F746" s="484"/>
      <c r="G746" s="484"/>
      <c r="H746" s="484"/>
      <c r="I746" s="484"/>
      <c r="J746" s="484"/>
      <c r="K746" s="484"/>
      <c r="L746" s="484"/>
      <c r="M746" s="484"/>
      <c r="N746" s="484"/>
      <c r="O746" s="484"/>
      <c r="P746" s="484"/>
      <c r="Q746" s="484"/>
      <c r="R746" s="484"/>
      <c r="S746" s="484"/>
      <c r="T746" s="484"/>
      <c r="U746" s="484"/>
      <c r="V746" s="484"/>
      <c r="W746" s="484"/>
      <c r="X746" s="484"/>
      <c r="Y746" s="484"/>
    </row>
    <row r="747">
      <c r="A747" s="484"/>
      <c r="B747" s="484"/>
      <c r="C747" s="484"/>
      <c r="D747" s="484"/>
      <c r="E747" s="484"/>
      <c r="F747" s="484"/>
      <c r="G747" s="484"/>
      <c r="H747" s="484"/>
      <c r="I747" s="484"/>
      <c r="J747" s="484"/>
      <c r="K747" s="484"/>
      <c r="L747" s="484"/>
      <c r="M747" s="484"/>
      <c r="N747" s="484"/>
      <c r="O747" s="484"/>
      <c r="P747" s="484"/>
      <c r="Q747" s="484"/>
      <c r="R747" s="484"/>
      <c r="S747" s="484"/>
      <c r="T747" s="484"/>
      <c r="U747" s="484"/>
      <c r="V747" s="484"/>
      <c r="W747" s="484"/>
      <c r="X747" s="484"/>
      <c r="Y747" s="484"/>
    </row>
    <row r="748">
      <c r="A748" s="484"/>
      <c r="B748" s="484"/>
      <c r="C748" s="484"/>
      <c r="D748" s="484"/>
      <c r="E748" s="484"/>
      <c r="F748" s="484"/>
      <c r="G748" s="484"/>
      <c r="H748" s="484"/>
      <c r="I748" s="484"/>
      <c r="J748" s="484"/>
      <c r="K748" s="484"/>
      <c r="L748" s="484"/>
      <c r="M748" s="484"/>
      <c r="N748" s="484"/>
      <c r="O748" s="484"/>
      <c r="P748" s="484"/>
      <c r="Q748" s="484"/>
      <c r="R748" s="484"/>
      <c r="S748" s="484"/>
      <c r="T748" s="484"/>
      <c r="U748" s="484"/>
      <c r="V748" s="484"/>
      <c r="W748" s="484"/>
      <c r="X748" s="484"/>
      <c r="Y748" s="484"/>
    </row>
    <row r="749">
      <c r="A749" s="484"/>
      <c r="B749" s="484"/>
      <c r="C749" s="484"/>
      <c r="D749" s="484"/>
      <c r="E749" s="484"/>
      <c r="F749" s="484"/>
      <c r="G749" s="484"/>
      <c r="H749" s="484"/>
      <c r="I749" s="484"/>
      <c r="J749" s="484"/>
      <c r="K749" s="484"/>
      <c r="L749" s="484"/>
      <c r="M749" s="484"/>
      <c r="N749" s="484"/>
      <c r="O749" s="484"/>
      <c r="P749" s="484"/>
      <c r="Q749" s="484"/>
      <c r="R749" s="484"/>
      <c r="S749" s="484"/>
      <c r="T749" s="484"/>
      <c r="U749" s="484"/>
      <c r="V749" s="484"/>
      <c r="W749" s="484"/>
      <c r="X749" s="484"/>
      <c r="Y749" s="484"/>
    </row>
    <row r="750">
      <c r="A750" s="484"/>
      <c r="B750" s="484"/>
      <c r="C750" s="484"/>
      <c r="D750" s="484"/>
      <c r="E750" s="484"/>
      <c r="F750" s="484"/>
      <c r="G750" s="484"/>
      <c r="H750" s="484"/>
      <c r="I750" s="484"/>
      <c r="J750" s="484"/>
      <c r="K750" s="484"/>
      <c r="L750" s="484"/>
      <c r="M750" s="484"/>
      <c r="N750" s="484"/>
      <c r="O750" s="484"/>
      <c r="P750" s="484"/>
      <c r="Q750" s="484"/>
      <c r="R750" s="484"/>
      <c r="S750" s="484"/>
      <c r="T750" s="484"/>
      <c r="U750" s="484"/>
      <c r="V750" s="484"/>
      <c r="W750" s="484"/>
      <c r="X750" s="484"/>
      <c r="Y750" s="484"/>
    </row>
    <row r="751">
      <c r="A751" s="484"/>
      <c r="B751" s="484"/>
      <c r="C751" s="484"/>
      <c r="D751" s="484"/>
      <c r="E751" s="484"/>
      <c r="F751" s="484"/>
      <c r="G751" s="484"/>
      <c r="H751" s="484"/>
      <c r="I751" s="484"/>
      <c r="J751" s="484"/>
      <c r="K751" s="484"/>
      <c r="L751" s="484"/>
      <c r="M751" s="484"/>
      <c r="N751" s="484"/>
      <c r="O751" s="484"/>
      <c r="P751" s="484"/>
      <c r="Q751" s="484"/>
      <c r="R751" s="484"/>
      <c r="S751" s="484"/>
      <c r="T751" s="484"/>
      <c r="U751" s="484"/>
      <c r="V751" s="484"/>
      <c r="W751" s="484"/>
      <c r="X751" s="484"/>
      <c r="Y751" s="484"/>
    </row>
    <row r="752">
      <c r="A752" s="484"/>
      <c r="B752" s="484"/>
      <c r="C752" s="484"/>
      <c r="D752" s="484"/>
      <c r="E752" s="484"/>
      <c r="F752" s="484"/>
      <c r="G752" s="484"/>
      <c r="H752" s="484"/>
      <c r="I752" s="484"/>
      <c r="J752" s="484"/>
      <c r="K752" s="484"/>
      <c r="L752" s="484"/>
      <c r="M752" s="484"/>
      <c r="N752" s="484"/>
      <c r="O752" s="484"/>
      <c r="P752" s="484"/>
      <c r="Q752" s="484"/>
      <c r="R752" s="484"/>
      <c r="S752" s="484"/>
      <c r="T752" s="484"/>
      <c r="U752" s="484"/>
      <c r="V752" s="484"/>
      <c r="W752" s="484"/>
      <c r="X752" s="484"/>
      <c r="Y752" s="484"/>
    </row>
    <row r="753">
      <c r="A753" s="484"/>
      <c r="B753" s="484"/>
      <c r="C753" s="484"/>
      <c r="D753" s="484"/>
      <c r="E753" s="484"/>
      <c r="F753" s="484"/>
      <c r="G753" s="484"/>
      <c r="H753" s="484"/>
      <c r="I753" s="484"/>
      <c r="J753" s="484"/>
      <c r="K753" s="484"/>
      <c r="L753" s="484"/>
      <c r="M753" s="484"/>
      <c r="N753" s="484"/>
      <c r="O753" s="484"/>
      <c r="P753" s="484"/>
      <c r="Q753" s="484"/>
      <c r="R753" s="484"/>
      <c r="S753" s="484"/>
      <c r="T753" s="484"/>
      <c r="U753" s="484"/>
      <c r="V753" s="484"/>
      <c r="W753" s="484"/>
      <c r="X753" s="484"/>
      <c r="Y753" s="484"/>
    </row>
    <row r="754">
      <c r="A754" s="484"/>
      <c r="B754" s="484"/>
      <c r="C754" s="484"/>
      <c r="D754" s="484"/>
      <c r="E754" s="484"/>
      <c r="F754" s="484"/>
      <c r="G754" s="484"/>
      <c r="H754" s="484"/>
      <c r="I754" s="484"/>
      <c r="J754" s="484"/>
      <c r="K754" s="484"/>
      <c r="L754" s="484"/>
      <c r="M754" s="484"/>
      <c r="N754" s="484"/>
      <c r="O754" s="484"/>
      <c r="P754" s="484"/>
      <c r="Q754" s="484"/>
      <c r="R754" s="484"/>
      <c r="S754" s="484"/>
      <c r="T754" s="484"/>
      <c r="U754" s="484"/>
      <c r="V754" s="484"/>
      <c r="W754" s="484"/>
      <c r="X754" s="484"/>
      <c r="Y754" s="484"/>
    </row>
    <row r="755">
      <c r="A755" s="484"/>
      <c r="B755" s="484"/>
      <c r="C755" s="484"/>
      <c r="D755" s="484"/>
      <c r="E755" s="484"/>
      <c r="F755" s="484"/>
      <c r="G755" s="484"/>
      <c r="H755" s="484"/>
      <c r="I755" s="484"/>
      <c r="J755" s="484"/>
      <c r="K755" s="484"/>
      <c r="L755" s="484"/>
      <c r="M755" s="484"/>
      <c r="N755" s="484"/>
      <c r="O755" s="484"/>
      <c r="P755" s="484"/>
      <c r="Q755" s="484"/>
      <c r="R755" s="484"/>
      <c r="S755" s="484"/>
      <c r="T755" s="484"/>
      <c r="U755" s="484"/>
      <c r="V755" s="484"/>
      <c r="W755" s="484"/>
      <c r="X755" s="484"/>
      <c r="Y755" s="484"/>
    </row>
    <row r="756">
      <c r="A756" s="484"/>
      <c r="B756" s="484"/>
      <c r="C756" s="484"/>
      <c r="D756" s="484"/>
      <c r="E756" s="484"/>
      <c r="F756" s="484"/>
      <c r="G756" s="484"/>
      <c r="H756" s="484"/>
      <c r="I756" s="484"/>
      <c r="J756" s="484"/>
      <c r="K756" s="484"/>
      <c r="L756" s="484"/>
      <c r="M756" s="484"/>
      <c r="N756" s="484"/>
      <c r="O756" s="484"/>
      <c r="P756" s="484"/>
      <c r="Q756" s="484"/>
      <c r="R756" s="484"/>
      <c r="S756" s="484"/>
      <c r="T756" s="484"/>
      <c r="U756" s="484"/>
      <c r="V756" s="484"/>
      <c r="W756" s="484"/>
      <c r="X756" s="484"/>
      <c r="Y756" s="484"/>
    </row>
    <row r="757">
      <c r="A757" s="484"/>
      <c r="B757" s="484"/>
      <c r="C757" s="484"/>
      <c r="D757" s="484"/>
      <c r="E757" s="484"/>
      <c r="F757" s="484"/>
      <c r="G757" s="484"/>
      <c r="H757" s="484"/>
      <c r="I757" s="484"/>
      <c r="J757" s="484"/>
      <c r="K757" s="484"/>
      <c r="L757" s="484"/>
      <c r="M757" s="484"/>
      <c r="N757" s="484"/>
      <c r="O757" s="484"/>
      <c r="P757" s="484"/>
      <c r="Q757" s="484"/>
      <c r="R757" s="484"/>
      <c r="S757" s="484"/>
      <c r="T757" s="484"/>
      <c r="U757" s="484"/>
      <c r="V757" s="484"/>
      <c r="W757" s="484"/>
      <c r="X757" s="484"/>
      <c r="Y757" s="484"/>
    </row>
    <row r="758">
      <c r="A758" s="484"/>
      <c r="B758" s="484"/>
      <c r="C758" s="484"/>
      <c r="D758" s="484"/>
      <c r="E758" s="484"/>
      <c r="F758" s="484"/>
      <c r="G758" s="484"/>
      <c r="H758" s="484"/>
      <c r="I758" s="484"/>
      <c r="J758" s="484"/>
      <c r="K758" s="484"/>
      <c r="L758" s="484"/>
      <c r="M758" s="484"/>
      <c r="N758" s="484"/>
      <c r="O758" s="484"/>
      <c r="P758" s="484"/>
      <c r="Q758" s="484"/>
      <c r="R758" s="484"/>
      <c r="S758" s="484"/>
      <c r="T758" s="484"/>
      <c r="U758" s="484"/>
      <c r="V758" s="484"/>
      <c r="W758" s="484"/>
      <c r="X758" s="484"/>
      <c r="Y758" s="484"/>
    </row>
    <row r="759">
      <c r="A759" s="484"/>
      <c r="B759" s="484"/>
      <c r="C759" s="484"/>
      <c r="D759" s="484"/>
      <c r="E759" s="484"/>
      <c r="F759" s="484"/>
      <c r="G759" s="484"/>
      <c r="H759" s="484"/>
      <c r="I759" s="484"/>
      <c r="J759" s="484"/>
      <c r="K759" s="484"/>
      <c r="L759" s="484"/>
      <c r="M759" s="484"/>
      <c r="N759" s="484"/>
      <c r="O759" s="484"/>
      <c r="P759" s="484"/>
      <c r="Q759" s="484"/>
      <c r="R759" s="484"/>
      <c r="S759" s="484"/>
      <c r="T759" s="484"/>
      <c r="U759" s="484"/>
      <c r="V759" s="484"/>
      <c r="W759" s="484"/>
      <c r="X759" s="484"/>
      <c r="Y759" s="484"/>
    </row>
    <row r="760">
      <c r="A760" s="484"/>
      <c r="B760" s="484"/>
      <c r="C760" s="484"/>
      <c r="D760" s="484"/>
      <c r="E760" s="484"/>
      <c r="F760" s="484"/>
      <c r="G760" s="484"/>
      <c r="H760" s="484"/>
      <c r="I760" s="484"/>
      <c r="J760" s="484"/>
      <c r="K760" s="484"/>
      <c r="L760" s="484"/>
      <c r="M760" s="484"/>
      <c r="N760" s="484"/>
      <c r="O760" s="484"/>
      <c r="P760" s="484"/>
      <c r="Q760" s="484"/>
      <c r="R760" s="484"/>
      <c r="S760" s="484"/>
      <c r="T760" s="484"/>
      <c r="U760" s="484"/>
      <c r="V760" s="484"/>
      <c r="W760" s="484"/>
      <c r="X760" s="484"/>
      <c r="Y760" s="484"/>
    </row>
    <row r="761">
      <c r="A761" s="484"/>
      <c r="B761" s="484"/>
      <c r="C761" s="484"/>
      <c r="D761" s="484"/>
      <c r="E761" s="484"/>
      <c r="F761" s="484"/>
      <c r="G761" s="484"/>
      <c r="H761" s="484"/>
      <c r="I761" s="484"/>
      <c r="J761" s="484"/>
      <c r="K761" s="484"/>
      <c r="L761" s="484"/>
      <c r="M761" s="484"/>
      <c r="N761" s="484"/>
      <c r="O761" s="484"/>
      <c r="P761" s="484"/>
      <c r="Q761" s="484"/>
      <c r="R761" s="484"/>
      <c r="S761" s="484"/>
      <c r="T761" s="484"/>
      <c r="U761" s="484"/>
      <c r="V761" s="484"/>
      <c r="W761" s="484"/>
      <c r="X761" s="484"/>
      <c r="Y761" s="484"/>
    </row>
    <row r="762">
      <c r="A762" s="484"/>
      <c r="B762" s="484"/>
      <c r="C762" s="484"/>
      <c r="D762" s="484"/>
      <c r="E762" s="484"/>
      <c r="F762" s="484"/>
      <c r="G762" s="484"/>
      <c r="H762" s="484"/>
      <c r="I762" s="484"/>
      <c r="J762" s="484"/>
      <c r="K762" s="484"/>
      <c r="L762" s="484"/>
      <c r="M762" s="484"/>
      <c r="N762" s="484"/>
      <c r="O762" s="484"/>
      <c r="P762" s="484"/>
      <c r="Q762" s="484"/>
      <c r="R762" s="484"/>
      <c r="S762" s="484"/>
      <c r="T762" s="484"/>
      <c r="U762" s="484"/>
      <c r="V762" s="484"/>
      <c r="W762" s="484"/>
      <c r="X762" s="484"/>
      <c r="Y762" s="484"/>
    </row>
    <row r="763">
      <c r="A763" s="484"/>
      <c r="B763" s="484"/>
      <c r="C763" s="484"/>
      <c r="D763" s="484"/>
      <c r="E763" s="484"/>
      <c r="F763" s="484"/>
      <c r="G763" s="484"/>
      <c r="H763" s="484"/>
      <c r="I763" s="484"/>
      <c r="J763" s="484"/>
      <c r="K763" s="484"/>
      <c r="L763" s="484"/>
      <c r="M763" s="484"/>
      <c r="N763" s="484"/>
      <c r="O763" s="484"/>
      <c r="P763" s="484"/>
      <c r="Q763" s="484"/>
      <c r="R763" s="484"/>
      <c r="S763" s="484"/>
      <c r="T763" s="484"/>
      <c r="U763" s="484"/>
      <c r="V763" s="484"/>
      <c r="W763" s="484"/>
      <c r="X763" s="484"/>
      <c r="Y763" s="484"/>
    </row>
    <row r="764">
      <c r="A764" s="484"/>
      <c r="B764" s="484"/>
      <c r="C764" s="484"/>
      <c r="D764" s="484"/>
      <c r="E764" s="484"/>
      <c r="F764" s="484"/>
      <c r="G764" s="484"/>
      <c r="H764" s="484"/>
      <c r="I764" s="484"/>
      <c r="J764" s="484"/>
      <c r="K764" s="484"/>
      <c r="L764" s="484"/>
      <c r="M764" s="484"/>
      <c r="N764" s="484"/>
      <c r="O764" s="484"/>
      <c r="P764" s="484"/>
      <c r="Q764" s="484"/>
      <c r="R764" s="484"/>
      <c r="S764" s="484"/>
      <c r="T764" s="484"/>
      <c r="U764" s="484"/>
      <c r="V764" s="484"/>
      <c r="W764" s="484"/>
      <c r="X764" s="484"/>
      <c r="Y764" s="484"/>
    </row>
    <row r="765">
      <c r="A765" s="484"/>
      <c r="B765" s="484"/>
      <c r="C765" s="484"/>
      <c r="D765" s="484"/>
      <c r="E765" s="484"/>
      <c r="F765" s="484"/>
      <c r="G765" s="484"/>
      <c r="H765" s="484"/>
      <c r="I765" s="484"/>
      <c r="J765" s="484"/>
      <c r="K765" s="484"/>
      <c r="L765" s="484"/>
      <c r="M765" s="484"/>
      <c r="N765" s="484"/>
      <c r="O765" s="484"/>
      <c r="P765" s="484"/>
      <c r="Q765" s="484"/>
      <c r="R765" s="484"/>
      <c r="S765" s="484"/>
      <c r="T765" s="484"/>
      <c r="U765" s="484"/>
      <c r="V765" s="484"/>
      <c r="W765" s="484"/>
      <c r="X765" s="484"/>
      <c r="Y765" s="484"/>
    </row>
    <row r="766">
      <c r="A766" s="484"/>
      <c r="B766" s="484"/>
      <c r="C766" s="484"/>
      <c r="D766" s="484"/>
      <c r="E766" s="484"/>
      <c r="F766" s="484"/>
      <c r="G766" s="484"/>
      <c r="H766" s="484"/>
      <c r="I766" s="484"/>
      <c r="J766" s="484"/>
      <c r="K766" s="484"/>
      <c r="L766" s="484"/>
      <c r="M766" s="484"/>
      <c r="N766" s="484"/>
      <c r="O766" s="484"/>
      <c r="P766" s="484"/>
      <c r="Q766" s="484"/>
      <c r="R766" s="484"/>
      <c r="S766" s="484"/>
      <c r="T766" s="484"/>
      <c r="U766" s="484"/>
      <c r="V766" s="484"/>
      <c r="W766" s="484"/>
      <c r="X766" s="484"/>
      <c r="Y766" s="484"/>
    </row>
    <row r="767">
      <c r="A767" s="484"/>
      <c r="B767" s="484"/>
      <c r="C767" s="484"/>
      <c r="D767" s="484"/>
      <c r="E767" s="484"/>
      <c r="F767" s="484"/>
      <c r="G767" s="484"/>
      <c r="H767" s="484"/>
      <c r="I767" s="484"/>
      <c r="J767" s="484"/>
      <c r="K767" s="484"/>
      <c r="L767" s="484"/>
      <c r="M767" s="484"/>
      <c r="N767" s="484"/>
      <c r="O767" s="484"/>
      <c r="P767" s="484"/>
      <c r="Q767" s="484"/>
      <c r="R767" s="484"/>
      <c r="S767" s="484"/>
      <c r="T767" s="484"/>
      <c r="U767" s="484"/>
      <c r="V767" s="484"/>
      <c r="W767" s="484"/>
      <c r="X767" s="484"/>
      <c r="Y767" s="484"/>
    </row>
    <row r="768">
      <c r="A768" s="484"/>
      <c r="B768" s="484"/>
      <c r="C768" s="484"/>
      <c r="D768" s="484"/>
      <c r="E768" s="484"/>
      <c r="F768" s="484"/>
      <c r="G768" s="484"/>
      <c r="H768" s="484"/>
      <c r="I768" s="484"/>
      <c r="J768" s="484"/>
      <c r="K768" s="484"/>
      <c r="L768" s="484"/>
      <c r="M768" s="484"/>
      <c r="N768" s="484"/>
      <c r="O768" s="484"/>
      <c r="P768" s="484"/>
      <c r="Q768" s="484"/>
      <c r="R768" s="484"/>
      <c r="S768" s="484"/>
      <c r="T768" s="484"/>
      <c r="U768" s="484"/>
      <c r="V768" s="484"/>
      <c r="W768" s="484"/>
      <c r="X768" s="484"/>
      <c r="Y768" s="484"/>
    </row>
    <row r="769">
      <c r="A769" s="484"/>
      <c r="B769" s="484"/>
      <c r="C769" s="484"/>
      <c r="D769" s="484"/>
      <c r="E769" s="484"/>
      <c r="F769" s="484"/>
      <c r="G769" s="484"/>
      <c r="H769" s="484"/>
      <c r="I769" s="484"/>
      <c r="J769" s="484"/>
      <c r="K769" s="484"/>
      <c r="L769" s="484"/>
      <c r="M769" s="484"/>
      <c r="N769" s="484"/>
      <c r="O769" s="484"/>
      <c r="P769" s="484"/>
      <c r="Q769" s="484"/>
      <c r="R769" s="484"/>
      <c r="S769" s="484"/>
      <c r="T769" s="484"/>
      <c r="U769" s="484"/>
      <c r="V769" s="484"/>
      <c r="W769" s="484"/>
      <c r="X769" s="484"/>
      <c r="Y769" s="484"/>
    </row>
    <row r="770">
      <c r="A770" s="484"/>
      <c r="B770" s="484"/>
      <c r="C770" s="484"/>
      <c r="D770" s="484"/>
      <c r="E770" s="484"/>
      <c r="F770" s="484"/>
      <c r="G770" s="484"/>
      <c r="H770" s="484"/>
      <c r="I770" s="484"/>
      <c r="J770" s="484"/>
      <c r="K770" s="484"/>
      <c r="L770" s="484"/>
      <c r="M770" s="484"/>
      <c r="N770" s="484"/>
      <c r="O770" s="484"/>
      <c r="P770" s="484"/>
      <c r="Q770" s="484"/>
      <c r="R770" s="484"/>
      <c r="S770" s="484"/>
      <c r="T770" s="484"/>
      <c r="U770" s="484"/>
      <c r="V770" s="484"/>
      <c r="W770" s="484"/>
      <c r="X770" s="484"/>
      <c r="Y770" s="484"/>
    </row>
    <row r="771">
      <c r="A771" s="484"/>
      <c r="B771" s="484"/>
      <c r="C771" s="484"/>
      <c r="D771" s="484"/>
      <c r="E771" s="484"/>
      <c r="F771" s="484"/>
      <c r="G771" s="484"/>
      <c r="H771" s="484"/>
      <c r="I771" s="484"/>
      <c r="J771" s="484"/>
      <c r="K771" s="484"/>
      <c r="L771" s="484"/>
      <c r="M771" s="484"/>
      <c r="N771" s="484"/>
      <c r="O771" s="484"/>
      <c r="P771" s="484"/>
      <c r="Q771" s="484"/>
      <c r="R771" s="484"/>
      <c r="S771" s="484"/>
      <c r="T771" s="484"/>
      <c r="U771" s="484"/>
      <c r="V771" s="484"/>
      <c r="W771" s="484"/>
      <c r="X771" s="484"/>
      <c r="Y771" s="484"/>
    </row>
    <row r="772">
      <c r="A772" s="484"/>
      <c r="B772" s="484"/>
      <c r="C772" s="484"/>
      <c r="D772" s="484"/>
      <c r="E772" s="484"/>
      <c r="F772" s="484"/>
      <c r="G772" s="484"/>
      <c r="H772" s="484"/>
      <c r="I772" s="484"/>
      <c r="J772" s="484"/>
      <c r="K772" s="484"/>
      <c r="L772" s="484"/>
      <c r="M772" s="484"/>
      <c r="N772" s="484"/>
      <c r="O772" s="484"/>
      <c r="P772" s="484"/>
      <c r="Q772" s="484"/>
      <c r="R772" s="484"/>
      <c r="S772" s="484"/>
      <c r="T772" s="484"/>
      <c r="U772" s="484"/>
      <c r="V772" s="484"/>
      <c r="W772" s="484"/>
      <c r="X772" s="484"/>
      <c r="Y772" s="484"/>
    </row>
    <row r="773">
      <c r="A773" s="484"/>
      <c r="B773" s="484"/>
      <c r="C773" s="484"/>
      <c r="D773" s="484"/>
      <c r="E773" s="484"/>
      <c r="F773" s="484"/>
      <c r="G773" s="484"/>
      <c r="H773" s="484"/>
      <c r="I773" s="484"/>
      <c r="J773" s="484"/>
      <c r="K773" s="484"/>
      <c r="L773" s="484"/>
      <c r="M773" s="484"/>
      <c r="N773" s="484"/>
      <c r="O773" s="484"/>
      <c r="P773" s="484"/>
      <c r="Q773" s="484"/>
      <c r="R773" s="484"/>
      <c r="S773" s="484"/>
      <c r="T773" s="484"/>
      <c r="U773" s="484"/>
      <c r="V773" s="484"/>
      <c r="W773" s="484"/>
      <c r="X773" s="484"/>
      <c r="Y773" s="484"/>
    </row>
    <row r="774">
      <c r="A774" s="484"/>
      <c r="B774" s="484"/>
      <c r="C774" s="484"/>
      <c r="D774" s="484"/>
      <c r="E774" s="484"/>
      <c r="F774" s="484"/>
      <c r="G774" s="484"/>
      <c r="H774" s="484"/>
      <c r="I774" s="484"/>
      <c r="J774" s="484"/>
      <c r="K774" s="484"/>
      <c r="L774" s="484"/>
      <c r="M774" s="484"/>
      <c r="N774" s="484"/>
      <c r="O774" s="484"/>
      <c r="P774" s="484"/>
      <c r="Q774" s="484"/>
      <c r="R774" s="484"/>
      <c r="S774" s="484"/>
      <c r="T774" s="484"/>
      <c r="U774" s="484"/>
      <c r="V774" s="484"/>
      <c r="W774" s="484"/>
      <c r="X774" s="484"/>
      <c r="Y774" s="484"/>
    </row>
    <row r="775">
      <c r="A775" s="484"/>
      <c r="B775" s="484"/>
      <c r="C775" s="484"/>
      <c r="D775" s="484"/>
      <c r="E775" s="484"/>
      <c r="F775" s="484"/>
      <c r="G775" s="484"/>
      <c r="H775" s="484"/>
      <c r="I775" s="484"/>
      <c r="J775" s="484"/>
      <c r="K775" s="484"/>
      <c r="L775" s="484"/>
      <c r="M775" s="484"/>
      <c r="N775" s="484"/>
      <c r="O775" s="484"/>
      <c r="P775" s="484"/>
      <c r="Q775" s="484"/>
      <c r="R775" s="484"/>
      <c r="S775" s="484"/>
      <c r="T775" s="484"/>
      <c r="U775" s="484"/>
      <c r="V775" s="484"/>
      <c r="W775" s="484"/>
      <c r="X775" s="484"/>
      <c r="Y775" s="484"/>
    </row>
    <row r="776">
      <c r="A776" s="484"/>
      <c r="B776" s="484"/>
      <c r="C776" s="484"/>
      <c r="D776" s="484"/>
      <c r="E776" s="484"/>
      <c r="F776" s="484"/>
      <c r="G776" s="484"/>
      <c r="H776" s="484"/>
      <c r="I776" s="484"/>
      <c r="J776" s="484"/>
      <c r="K776" s="484"/>
      <c r="L776" s="484"/>
      <c r="M776" s="484"/>
      <c r="N776" s="484"/>
      <c r="O776" s="484"/>
      <c r="P776" s="484"/>
      <c r="Q776" s="484"/>
      <c r="R776" s="484"/>
      <c r="S776" s="484"/>
      <c r="T776" s="484"/>
      <c r="U776" s="484"/>
      <c r="V776" s="484"/>
      <c r="W776" s="484"/>
      <c r="X776" s="484"/>
      <c r="Y776" s="484"/>
    </row>
    <row r="777">
      <c r="A777" s="484"/>
      <c r="B777" s="484"/>
      <c r="C777" s="484"/>
      <c r="D777" s="484"/>
      <c r="E777" s="484"/>
      <c r="F777" s="484"/>
      <c r="G777" s="484"/>
      <c r="H777" s="484"/>
      <c r="I777" s="484"/>
      <c r="J777" s="484"/>
      <c r="K777" s="484"/>
      <c r="L777" s="484"/>
      <c r="M777" s="484"/>
      <c r="N777" s="484"/>
      <c r="O777" s="484"/>
      <c r="P777" s="484"/>
      <c r="Q777" s="484"/>
      <c r="R777" s="484"/>
      <c r="S777" s="484"/>
      <c r="T777" s="484"/>
      <c r="U777" s="484"/>
      <c r="V777" s="484"/>
      <c r="W777" s="484"/>
      <c r="X777" s="484"/>
      <c r="Y777" s="484"/>
    </row>
    <row r="778">
      <c r="A778" s="484"/>
      <c r="B778" s="484"/>
      <c r="C778" s="484"/>
      <c r="D778" s="484"/>
      <c r="E778" s="484"/>
      <c r="F778" s="484"/>
      <c r="G778" s="484"/>
      <c r="H778" s="484"/>
      <c r="I778" s="484"/>
      <c r="J778" s="484"/>
      <c r="K778" s="484"/>
      <c r="L778" s="484"/>
      <c r="M778" s="484"/>
      <c r="N778" s="484"/>
      <c r="O778" s="484"/>
      <c r="P778" s="484"/>
      <c r="Q778" s="484"/>
      <c r="R778" s="484"/>
      <c r="S778" s="484"/>
      <c r="T778" s="484"/>
      <c r="U778" s="484"/>
      <c r="V778" s="484"/>
      <c r="W778" s="484"/>
      <c r="X778" s="484"/>
      <c r="Y778" s="484"/>
    </row>
    <row r="779">
      <c r="A779" s="484"/>
      <c r="B779" s="484"/>
      <c r="C779" s="484"/>
      <c r="D779" s="484"/>
      <c r="E779" s="484"/>
      <c r="F779" s="484"/>
      <c r="G779" s="484"/>
      <c r="H779" s="484"/>
      <c r="I779" s="484"/>
      <c r="J779" s="484"/>
      <c r="K779" s="484"/>
      <c r="L779" s="484"/>
      <c r="M779" s="484"/>
      <c r="N779" s="484"/>
      <c r="O779" s="484"/>
      <c r="P779" s="484"/>
      <c r="Q779" s="484"/>
      <c r="R779" s="484"/>
      <c r="S779" s="484"/>
      <c r="T779" s="484"/>
      <c r="U779" s="484"/>
      <c r="V779" s="484"/>
      <c r="W779" s="484"/>
      <c r="X779" s="484"/>
      <c r="Y779" s="484"/>
    </row>
    <row r="780">
      <c r="A780" s="484"/>
      <c r="B780" s="484"/>
      <c r="C780" s="484"/>
      <c r="D780" s="484"/>
      <c r="E780" s="484"/>
      <c r="F780" s="484"/>
      <c r="G780" s="484"/>
      <c r="H780" s="484"/>
      <c r="I780" s="484"/>
      <c r="J780" s="484"/>
      <c r="K780" s="484"/>
      <c r="L780" s="484"/>
      <c r="M780" s="484"/>
      <c r="N780" s="484"/>
      <c r="O780" s="484"/>
      <c r="P780" s="484"/>
      <c r="Q780" s="484"/>
      <c r="R780" s="484"/>
      <c r="S780" s="484"/>
      <c r="T780" s="484"/>
      <c r="U780" s="484"/>
      <c r="V780" s="484"/>
      <c r="W780" s="484"/>
      <c r="X780" s="484"/>
      <c r="Y780" s="484"/>
    </row>
    <row r="781">
      <c r="A781" s="484"/>
      <c r="B781" s="484"/>
      <c r="C781" s="484"/>
      <c r="D781" s="484"/>
      <c r="E781" s="484"/>
      <c r="F781" s="484"/>
      <c r="G781" s="484"/>
      <c r="H781" s="484"/>
      <c r="I781" s="484"/>
      <c r="J781" s="484"/>
      <c r="K781" s="484"/>
      <c r="L781" s="484"/>
      <c r="M781" s="484"/>
      <c r="N781" s="484"/>
      <c r="O781" s="484"/>
      <c r="P781" s="484"/>
      <c r="Q781" s="484"/>
      <c r="R781" s="484"/>
      <c r="S781" s="484"/>
      <c r="T781" s="484"/>
      <c r="U781" s="484"/>
      <c r="V781" s="484"/>
      <c r="W781" s="484"/>
      <c r="X781" s="484"/>
      <c r="Y781" s="484"/>
    </row>
    <row r="782">
      <c r="A782" s="484"/>
      <c r="B782" s="484"/>
      <c r="C782" s="484"/>
      <c r="D782" s="484"/>
      <c r="E782" s="484"/>
      <c r="F782" s="484"/>
      <c r="G782" s="484"/>
      <c r="H782" s="484"/>
      <c r="I782" s="484"/>
      <c r="J782" s="484"/>
      <c r="K782" s="484"/>
      <c r="L782" s="484"/>
      <c r="M782" s="484"/>
      <c r="N782" s="484"/>
      <c r="O782" s="484"/>
      <c r="P782" s="484"/>
      <c r="Q782" s="484"/>
      <c r="R782" s="484"/>
      <c r="S782" s="484"/>
      <c r="T782" s="484"/>
      <c r="U782" s="484"/>
      <c r="V782" s="484"/>
      <c r="W782" s="484"/>
      <c r="X782" s="484"/>
      <c r="Y782" s="484"/>
    </row>
    <row r="783">
      <c r="A783" s="484"/>
      <c r="B783" s="484"/>
      <c r="C783" s="484"/>
      <c r="D783" s="484"/>
      <c r="E783" s="484"/>
      <c r="F783" s="484"/>
      <c r="G783" s="484"/>
      <c r="H783" s="484"/>
      <c r="I783" s="484"/>
      <c r="J783" s="484"/>
      <c r="K783" s="484"/>
      <c r="L783" s="484"/>
      <c r="M783" s="484"/>
      <c r="N783" s="484"/>
      <c r="O783" s="484"/>
      <c r="P783" s="484"/>
      <c r="Q783" s="484"/>
      <c r="R783" s="484"/>
      <c r="S783" s="484"/>
      <c r="T783" s="484"/>
      <c r="U783" s="484"/>
      <c r="V783" s="484"/>
      <c r="W783" s="484"/>
      <c r="X783" s="484"/>
      <c r="Y783" s="484"/>
    </row>
    <row r="784">
      <c r="A784" s="484"/>
      <c r="B784" s="484"/>
      <c r="C784" s="484"/>
      <c r="D784" s="484"/>
      <c r="E784" s="484"/>
      <c r="F784" s="484"/>
      <c r="G784" s="484"/>
      <c r="H784" s="484"/>
      <c r="I784" s="484"/>
      <c r="J784" s="484"/>
      <c r="K784" s="484"/>
      <c r="L784" s="484"/>
      <c r="M784" s="484"/>
      <c r="N784" s="484"/>
      <c r="O784" s="484"/>
      <c r="P784" s="484"/>
      <c r="Q784" s="484"/>
      <c r="R784" s="484"/>
      <c r="S784" s="484"/>
      <c r="T784" s="484"/>
      <c r="U784" s="484"/>
      <c r="V784" s="484"/>
      <c r="W784" s="484"/>
      <c r="X784" s="484"/>
      <c r="Y784" s="484"/>
    </row>
    <row r="785">
      <c r="A785" s="484"/>
      <c r="B785" s="484"/>
      <c r="C785" s="484"/>
      <c r="D785" s="484"/>
      <c r="E785" s="484"/>
      <c r="F785" s="484"/>
      <c r="G785" s="484"/>
      <c r="H785" s="484"/>
      <c r="I785" s="484"/>
      <c r="J785" s="484"/>
      <c r="K785" s="484"/>
      <c r="L785" s="484"/>
      <c r="M785" s="484"/>
      <c r="N785" s="484"/>
      <c r="O785" s="484"/>
      <c r="P785" s="484"/>
      <c r="Q785" s="484"/>
      <c r="R785" s="484"/>
      <c r="S785" s="484"/>
      <c r="T785" s="484"/>
      <c r="U785" s="484"/>
      <c r="V785" s="484"/>
      <c r="W785" s="484"/>
      <c r="X785" s="484"/>
      <c r="Y785" s="484"/>
    </row>
    <row r="786">
      <c r="A786" s="484"/>
      <c r="B786" s="484"/>
      <c r="C786" s="484"/>
      <c r="D786" s="484"/>
      <c r="E786" s="484"/>
      <c r="F786" s="484"/>
      <c r="G786" s="484"/>
      <c r="H786" s="484"/>
      <c r="I786" s="484"/>
      <c r="J786" s="484"/>
      <c r="K786" s="484"/>
      <c r="L786" s="484"/>
      <c r="M786" s="484"/>
      <c r="N786" s="484"/>
      <c r="O786" s="484"/>
      <c r="P786" s="484"/>
      <c r="Q786" s="484"/>
      <c r="R786" s="484"/>
      <c r="S786" s="484"/>
      <c r="T786" s="484"/>
      <c r="U786" s="484"/>
      <c r="V786" s="484"/>
      <c r="W786" s="484"/>
      <c r="X786" s="484"/>
      <c r="Y786" s="484"/>
    </row>
    <row r="787">
      <c r="A787" s="484"/>
      <c r="B787" s="484"/>
      <c r="C787" s="484"/>
      <c r="D787" s="484"/>
      <c r="E787" s="484"/>
      <c r="F787" s="484"/>
      <c r="G787" s="484"/>
      <c r="H787" s="484"/>
      <c r="I787" s="484"/>
      <c r="J787" s="484"/>
      <c r="K787" s="484"/>
      <c r="L787" s="484"/>
      <c r="M787" s="484"/>
      <c r="N787" s="484"/>
      <c r="O787" s="484"/>
      <c r="P787" s="484"/>
      <c r="Q787" s="484"/>
      <c r="R787" s="484"/>
      <c r="S787" s="484"/>
      <c r="T787" s="484"/>
      <c r="U787" s="484"/>
      <c r="V787" s="484"/>
      <c r="W787" s="484"/>
      <c r="X787" s="484"/>
      <c r="Y787" s="484"/>
    </row>
    <row r="788">
      <c r="A788" s="484"/>
      <c r="B788" s="484"/>
      <c r="C788" s="484"/>
      <c r="D788" s="484"/>
      <c r="E788" s="484"/>
      <c r="F788" s="484"/>
      <c r="G788" s="484"/>
      <c r="H788" s="484"/>
      <c r="I788" s="484"/>
      <c r="J788" s="484"/>
      <c r="K788" s="484"/>
      <c r="L788" s="484"/>
      <c r="M788" s="484"/>
      <c r="N788" s="484"/>
      <c r="O788" s="484"/>
      <c r="P788" s="484"/>
      <c r="Q788" s="484"/>
      <c r="R788" s="484"/>
      <c r="S788" s="484"/>
      <c r="T788" s="484"/>
      <c r="U788" s="484"/>
      <c r="V788" s="484"/>
      <c r="W788" s="484"/>
      <c r="X788" s="484"/>
      <c r="Y788" s="484"/>
    </row>
    <row r="789">
      <c r="A789" s="484"/>
      <c r="B789" s="484"/>
      <c r="C789" s="484"/>
      <c r="D789" s="484"/>
      <c r="E789" s="484"/>
      <c r="F789" s="484"/>
      <c r="G789" s="484"/>
      <c r="H789" s="484"/>
      <c r="I789" s="484"/>
      <c r="J789" s="484"/>
      <c r="K789" s="484"/>
      <c r="L789" s="484"/>
      <c r="M789" s="484"/>
      <c r="N789" s="484"/>
      <c r="O789" s="484"/>
      <c r="P789" s="484"/>
      <c r="Q789" s="484"/>
      <c r="R789" s="484"/>
      <c r="S789" s="484"/>
      <c r="T789" s="484"/>
      <c r="U789" s="484"/>
      <c r="V789" s="484"/>
      <c r="W789" s="484"/>
      <c r="X789" s="484"/>
      <c r="Y789" s="484"/>
    </row>
    <row r="790">
      <c r="A790" s="484"/>
      <c r="B790" s="484"/>
      <c r="C790" s="484"/>
      <c r="D790" s="484"/>
      <c r="E790" s="484"/>
      <c r="F790" s="484"/>
      <c r="G790" s="484"/>
      <c r="H790" s="484"/>
      <c r="I790" s="484"/>
      <c r="J790" s="484"/>
      <c r="K790" s="484"/>
      <c r="L790" s="484"/>
      <c r="M790" s="484"/>
      <c r="N790" s="484"/>
      <c r="O790" s="484"/>
      <c r="P790" s="484"/>
      <c r="Q790" s="484"/>
      <c r="R790" s="484"/>
      <c r="S790" s="484"/>
      <c r="T790" s="484"/>
      <c r="U790" s="484"/>
      <c r="V790" s="484"/>
      <c r="W790" s="484"/>
      <c r="X790" s="484"/>
      <c r="Y790" s="484"/>
    </row>
    <row r="791">
      <c r="A791" s="484"/>
      <c r="B791" s="484"/>
      <c r="C791" s="484"/>
      <c r="D791" s="484"/>
      <c r="E791" s="484"/>
      <c r="F791" s="484"/>
      <c r="G791" s="484"/>
      <c r="H791" s="484"/>
      <c r="I791" s="484"/>
      <c r="J791" s="484"/>
      <c r="K791" s="484"/>
      <c r="L791" s="484"/>
      <c r="M791" s="484"/>
      <c r="N791" s="484"/>
      <c r="O791" s="484"/>
      <c r="P791" s="484"/>
      <c r="Q791" s="484"/>
      <c r="R791" s="484"/>
      <c r="S791" s="484"/>
      <c r="T791" s="484"/>
      <c r="U791" s="484"/>
      <c r="V791" s="484"/>
      <c r="W791" s="484"/>
      <c r="X791" s="484"/>
      <c r="Y791" s="484"/>
    </row>
    <row r="792">
      <c r="A792" s="484"/>
      <c r="B792" s="484"/>
      <c r="C792" s="484"/>
      <c r="D792" s="484"/>
      <c r="E792" s="484"/>
      <c r="F792" s="484"/>
      <c r="G792" s="484"/>
      <c r="H792" s="484"/>
      <c r="I792" s="484"/>
      <c r="J792" s="484"/>
      <c r="K792" s="484"/>
      <c r="L792" s="484"/>
      <c r="M792" s="484"/>
      <c r="N792" s="484"/>
      <c r="O792" s="484"/>
      <c r="P792" s="484"/>
      <c r="Q792" s="484"/>
      <c r="R792" s="484"/>
      <c r="S792" s="484"/>
      <c r="T792" s="484"/>
      <c r="U792" s="484"/>
      <c r="V792" s="484"/>
      <c r="W792" s="484"/>
      <c r="X792" s="484"/>
      <c r="Y792" s="484"/>
    </row>
    <row r="793">
      <c r="A793" s="484"/>
      <c r="B793" s="484"/>
      <c r="C793" s="484"/>
      <c r="D793" s="484"/>
      <c r="E793" s="484"/>
      <c r="F793" s="484"/>
      <c r="G793" s="484"/>
      <c r="H793" s="484"/>
      <c r="I793" s="484"/>
      <c r="J793" s="484"/>
      <c r="K793" s="484"/>
      <c r="L793" s="484"/>
      <c r="M793" s="484"/>
      <c r="N793" s="484"/>
      <c r="O793" s="484"/>
      <c r="P793" s="484"/>
      <c r="Q793" s="484"/>
      <c r="R793" s="484"/>
      <c r="S793" s="484"/>
      <c r="T793" s="484"/>
      <c r="U793" s="484"/>
      <c r="V793" s="484"/>
      <c r="W793" s="484"/>
      <c r="X793" s="484"/>
      <c r="Y793" s="484"/>
    </row>
    <row r="794">
      <c r="A794" s="484"/>
      <c r="B794" s="484"/>
      <c r="C794" s="484"/>
      <c r="D794" s="484"/>
      <c r="E794" s="484"/>
      <c r="F794" s="484"/>
      <c r="G794" s="484"/>
      <c r="H794" s="484"/>
      <c r="I794" s="484"/>
      <c r="J794" s="484"/>
      <c r="K794" s="484"/>
      <c r="L794" s="484"/>
      <c r="M794" s="484"/>
      <c r="N794" s="484"/>
      <c r="O794" s="484"/>
      <c r="P794" s="484"/>
      <c r="Q794" s="484"/>
      <c r="R794" s="484"/>
      <c r="S794" s="484"/>
      <c r="T794" s="484"/>
      <c r="U794" s="484"/>
      <c r="V794" s="484"/>
      <c r="W794" s="484"/>
      <c r="X794" s="484"/>
      <c r="Y794" s="484"/>
    </row>
    <row r="795">
      <c r="A795" s="484"/>
      <c r="B795" s="484"/>
      <c r="C795" s="484"/>
      <c r="D795" s="484"/>
      <c r="E795" s="484"/>
      <c r="F795" s="484"/>
      <c r="G795" s="484"/>
      <c r="H795" s="484"/>
      <c r="I795" s="484"/>
      <c r="J795" s="484"/>
      <c r="K795" s="484"/>
      <c r="L795" s="484"/>
      <c r="M795" s="484"/>
      <c r="N795" s="484"/>
      <c r="O795" s="484"/>
      <c r="P795" s="484"/>
      <c r="Q795" s="484"/>
      <c r="R795" s="484"/>
      <c r="S795" s="484"/>
      <c r="T795" s="484"/>
      <c r="U795" s="484"/>
      <c r="V795" s="484"/>
      <c r="W795" s="484"/>
      <c r="X795" s="484"/>
      <c r="Y795" s="484"/>
    </row>
    <row r="796">
      <c r="A796" s="484"/>
      <c r="B796" s="484"/>
      <c r="C796" s="484"/>
      <c r="D796" s="484"/>
      <c r="E796" s="484"/>
      <c r="F796" s="484"/>
      <c r="G796" s="484"/>
      <c r="H796" s="484"/>
      <c r="I796" s="484"/>
      <c r="J796" s="484"/>
      <c r="K796" s="484"/>
      <c r="L796" s="484"/>
      <c r="M796" s="484"/>
      <c r="N796" s="484"/>
      <c r="O796" s="484"/>
      <c r="P796" s="484"/>
      <c r="Q796" s="484"/>
      <c r="R796" s="484"/>
      <c r="S796" s="484"/>
      <c r="T796" s="484"/>
      <c r="U796" s="484"/>
      <c r="V796" s="484"/>
      <c r="W796" s="484"/>
      <c r="X796" s="484"/>
      <c r="Y796" s="484"/>
    </row>
    <row r="797">
      <c r="A797" s="484"/>
      <c r="B797" s="484"/>
      <c r="C797" s="484"/>
      <c r="D797" s="484"/>
      <c r="E797" s="484"/>
      <c r="F797" s="484"/>
      <c r="G797" s="484"/>
      <c r="H797" s="484"/>
      <c r="I797" s="484"/>
      <c r="J797" s="484"/>
      <c r="K797" s="484"/>
      <c r="L797" s="484"/>
      <c r="M797" s="484"/>
      <c r="N797" s="484"/>
      <c r="O797" s="484"/>
      <c r="P797" s="484"/>
      <c r="Q797" s="484"/>
      <c r="R797" s="484"/>
      <c r="S797" s="484"/>
      <c r="T797" s="484"/>
      <c r="U797" s="484"/>
      <c r="V797" s="484"/>
      <c r="W797" s="484"/>
      <c r="X797" s="484"/>
      <c r="Y797" s="484"/>
    </row>
    <row r="798">
      <c r="A798" s="484"/>
      <c r="B798" s="484"/>
      <c r="C798" s="484"/>
      <c r="D798" s="484"/>
      <c r="E798" s="484"/>
      <c r="F798" s="484"/>
      <c r="G798" s="484"/>
      <c r="H798" s="484"/>
      <c r="I798" s="484"/>
      <c r="J798" s="484"/>
      <c r="K798" s="484"/>
      <c r="L798" s="484"/>
      <c r="M798" s="484"/>
      <c r="N798" s="484"/>
      <c r="O798" s="484"/>
      <c r="P798" s="484"/>
      <c r="Q798" s="484"/>
      <c r="R798" s="484"/>
      <c r="S798" s="484"/>
      <c r="T798" s="484"/>
      <c r="U798" s="484"/>
      <c r="V798" s="484"/>
      <c r="W798" s="484"/>
      <c r="X798" s="484"/>
      <c r="Y798" s="484"/>
    </row>
    <row r="799">
      <c r="A799" s="484"/>
      <c r="B799" s="484"/>
      <c r="C799" s="484"/>
      <c r="D799" s="484"/>
      <c r="E799" s="484"/>
      <c r="F799" s="484"/>
      <c r="G799" s="484"/>
      <c r="H799" s="484"/>
      <c r="I799" s="484"/>
      <c r="J799" s="484"/>
      <c r="K799" s="484"/>
      <c r="L799" s="484"/>
      <c r="M799" s="484"/>
      <c r="N799" s="484"/>
      <c r="O799" s="484"/>
      <c r="P799" s="484"/>
      <c r="Q799" s="484"/>
      <c r="R799" s="484"/>
      <c r="S799" s="484"/>
      <c r="T799" s="484"/>
      <c r="U799" s="484"/>
      <c r="V799" s="484"/>
      <c r="W799" s="484"/>
      <c r="X799" s="484"/>
      <c r="Y799" s="484"/>
    </row>
    <row r="800">
      <c r="A800" s="484"/>
      <c r="B800" s="484"/>
      <c r="C800" s="484"/>
      <c r="D800" s="484"/>
      <c r="E800" s="484"/>
      <c r="F800" s="484"/>
      <c r="G800" s="484"/>
      <c r="H800" s="484"/>
      <c r="I800" s="484"/>
      <c r="J800" s="484"/>
      <c r="K800" s="484"/>
      <c r="L800" s="484"/>
      <c r="M800" s="484"/>
      <c r="N800" s="484"/>
      <c r="O800" s="484"/>
      <c r="P800" s="484"/>
      <c r="Q800" s="484"/>
      <c r="R800" s="484"/>
      <c r="S800" s="484"/>
      <c r="T800" s="484"/>
      <c r="U800" s="484"/>
      <c r="V800" s="484"/>
      <c r="W800" s="484"/>
      <c r="X800" s="484"/>
      <c r="Y800" s="484"/>
    </row>
    <row r="801">
      <c r="A801" s="484"/>
      <c r="B801" s="484"/>
      <c r="C801" s="484"/>
      <c r="D801" s="484"/>
      <c r="E801" s="484"/>
      <c r="F801" s="484"/>
      <c r="G801" s="484"/>
      <c r="H801" s="484"/>
      <c r="I801" s="484"/>
      <c r="J801" s="484"/>
      <c r="K801" s="484"/>
      <c r="L801" s="484"/>
      <c r="M801" s="484"/>
      <c r="N801" s="484"/>
      <c r="O801" s="484"/>
      <c r="P801" s="484"/>
      <c r="Q801" s="484"/>
      <c r="R801" s="484"/>
      <c r="S801" s="484"/>
      <c r="T801" s="484"/>
      <c r="U801" s="484"/>
      <c r="V801" s="484"/>
      <c r="W801" s="484"/>
      <c r="X801" s="484"/>
      <c r="Y801" s="484"/>
    </row>
    <row r="802">
      <c r="A802" s="484"/>
      <c r="B802" s="484"/>
      <c r="C802" s="484"/>
      <c r="D802" s="484"/>
      <c r="E802" s="484"/>
      <c r="F802" s="484"/>
      <c r="G802" s="484"/>
      <c r="H802" s="484"/>
      <c r="I802" s="484"/>
      <c r="J802" s="484"/>
      <c r="K802" s="484"/>
      <c r="L802" s="484"/>
      <c r="M802" s="484"/>
      <c r="N802" s="484"/>
      <c r="O802" s="484"/>
      <c r="P802" s="484"/>
      <c r="Q802" s="484"/>
      <c r="R802" s="484"/>
      <c r="S802" s="484"/>
      <c r="T802" s="484"/>
      <c r="U802" s="484"/>
      <c r="V802" s="484"/>
      <c r="W802" s="484"/>
      <c r="X802" s="484"/>
      <c r="Y802" s="484"/>
    </row>
    <row r="803">
      <c r="A803" s="484"/>
      <c r="B803" s="484"/>
      <c r="C803" s="484"/>
      <c r="D803" s="484"/>
      <c r="E803" s="484"/>
      <c r="F803" s="484"/>
      <c r="G803" s="484"/>
      <c r="H803" s="484"/>
      <c r="I803" s="484"/>
      <c r="J803" s="484"/>
      <c r="K803" s="484"/>
      <c r="L803" s="484"/>
      <c r="M803" s="484"/>
      <c r="N803" s="484"/>
      <c r="O803" s="484"/>
      <c r="P803" s="484"/>
      <c r="Q803" s="484"/>
      <c r="R803" s="484"/>
      <c r="S803" s="484"/>
      <c r="T803" s="484"/>
      <c r="U803" s="484"/>
      <c r="V803" s="484"/>
      <c r="W803" s="484"/>
      <c r="X803" s="484"/>
      <c r="Y803" s="484"/>
    </row>
    <row r="804">
      <c r="A804" s="484"/>
      <c r="B804" s="484"/>
      <c r="C804" s="484"/>
      <c r="D804" s="484"/>
      <c r="E804" s="484"/>
      <c r="F804" s="484"/>
      <c r="G804" s="484"/>
      <c r="H804" s="484"/>
      <c r="I804" s="484"/>
      <c r="J804" s="484"/>
      <c r="K804" s="484"/>
      <c r="L804" s="484"/>
      <c r="M804" s="484"/>
      <c r="N804" s="484"/>
      <c r="O804" s="484"/>
      <c r="P804" s="484"/>
      <c r="Q804" s="484"/>
      <c r="R804" s="484"/>
      <c r="S804" s="484"/>
      <c r="T804" s="484"/>
      <c r="U804" s="484"/>
      <c r="V804" s="484"/>
      <c r="W804" s="484"/>
      <c r="X804" s="484"/>
      <c r="Y804" s="484"/>
    </row>
    <row r="805">
      <c r="A805" s="484"/>
      <c r="B805" s="484"/>
      <c r="C805" s="484"/>
      <c r="D805" s="484"/>
      <c r="E805" s="484"/>
      <c r="F805" s="484"/>
      <c r="G805" s="484"/>
      <c r="H805" s="484"/>
      <c r="I805" s="484"/>
      <c r="J805" s="484"/>
      <c r="K805" s="484"/>
      <c r="L805" s="484"/>
      <c r="M805" s="484"/>
      <c r="N805" s="484"/>
      <c r="O805" s="484"/>
      <c r="P805" s="484"/>
      <c r="Q805" s="484"/>
      <c r="R805" s="484"/>
      <c r="S805" s="484"/>
      <c r="T805" s="484"/>
      <c r="U805" s="484"/>
      <c r="V805" s="484"/>
      <c r="W805" s="484"/>
      <c r="X805" s="484"/>
      <c r="Y805" s="484"/>
    </row>
    <row r="806">
      <c r="A806" s="484"/>
      <c r="B806" s="484"/>
      <c r="C806" s="484"/>
      <c r="D806" s="484"/>
      <c r="E806" s="484"/>
      <c r="F806" s="484"/>
      <c r="G806" s="484"/>
      <c r="H806" s="484"/>
      <c r="I806" s="484"/>
      <c r="J806" s="484"/>
      <c r="K806" s="484"/>
      <c r="L806" s="484"/>
      <c r="M806" s="484"/>
      <c r="N806" s="484"/>
      <c r="O806" s="484"/>
      <c r="P806" s="484"/>
      <c r="Q806" s="484"/>
      <c r="R806" s="484"/>
      <c r="S806" s="484"/>
      <c r="T806" s="484"/>
      <c r="U806" s="484"/>
      <c r="V806" s="484"/>
      <c r="W806" s="484"/>
      <c r="X806" s="484"/>
      <c r="Y806" s="484"/>
    </row>
    <row r="807">
      <c r="A807" s="484"/>
      <c r="B807" s="484"/>
      <c r="C807" s="484"/>
      <c r="D807" s="484"/>
      <c r="E807" s="484"/>
      <c r="F807" s="484"/>
      <c r="G807" s="484"/>
      <c r="H807" s="484"/>
      <c r="I807" s="484"/>
      <c r="J807" s="484"/>
      <c r="K807" s="484"/>
      <c r="L807" s="484"/>
      <c r="M807" s="484"/>
      <c r="N807" s="484"/>
      <c r="O807" s="484"/>
      <c r="P807" s="484"/>
      <c r="Q807" s="484"/>
      <c r="R807" s="484"/>
      <c r="S807" s="484"/>
      <c r="T807" s="484"/>
      <c r="U807" s="484"/>
      <c r="V807" s="484"/>
      <c r="W807" s="484"/>
      <c r="X807" s="484"/>
      <c r="Y807" s="484"/>
    </row>
    <row r="808">
      <c r="A808" s="484"/>
      <c r="B808" s="484"/>
      <c r="C808" s="484"/>
      <c r="D808" s="484"/>
      <c r="E808" s="484"/>
      <c r="F808" s="484"/>
      <c r="G808" s="484"/>
      <c r="H808" s="484"/>
      <c r="I808" s="484"/>
      <c r="J808" s="484"/>
      <c r="K808" s="484"/>
      <c r="L808" s="484"/>
      <c r="M808" s="484"/>
      <c r="N808" s="484"/>
      <c r="O808" s="484"/>
      <c r="P808" s="484"/>
      <c r="Q808" s="484"/>
      <c r="R808" s="484"/>
      <c r="S808" s="484"/>
      <c r="T808" s="484"/>
      <c r="U808" s="484"/>
      <c r="V808" s="484"/>
      <c r="W808" s="484"/>
      <c r="X808" s="484"/>
      <c r="Y808" s="484"/>
    </row>
    <row r="809">
      <c r="A809" s="484"/>
      <c r="B809" s="484"/>
      <c r="C809" s="484"/>
      <c r="D809" s="484"/>
      <c r="E809" s="484"/>
      <c r="F809" s="484"/>
      <c r="G809" s="484"/>
      <c r="H809" s="484"/>
      <c r="I809" s="484"/>
      <c r="J809" s="484"/>
      <c r="K809" s="484"/>
      <c r="L809" s="484"/>
      <c r="M809" s="484"/>
      <c r="N809" s="484"/>
      <c r="O809" s="484"/>
      <c r="P809" s="484"/>
      <c r="Q809" s="484"/>
      <c r="R809" s="484"/>
      <c r="S809" s="484"/>
      <c r="T809" s="484"/>
      <c r="U809" s="484"/>
      <c r="V809" s="484"/>
      <c r="W809" s="484"/>
      <c r="X809" s="484"/>
      <c r="Y809" s="484"/>
    </row>
    <row r="810">
      <c r="A810" s="484"/>
      <c r="B810" s="484"/>
      <c r="C810" s="484"/>
      <c r="D810" s="484"/>
      <c r="E810" s="484"/>
      <c r="F810" s="484"/>
      <c r="G810" s="484"/>
      <c r="H810" s="484"/>
      <c r="I810" s="484"/>
      <c r="J810" s="484"/>
      <c r="K810" s="484"/>
      <c r="L810" s="484"/>
      <c r="M810" s="484"/>
      <c r="N810" s="484"/>
      <c r="O810" s="484"/>
      <c r="P810" s="484"/>
      <c r="Q810" s="484"/>
      <c r="R810" s="484"/>
      <c r="S810" s="484"/>
      <c r="T810" s="484"/>
      <c r="U810" s="484"/>
      <c r="V810" s="484"/>
      <c r="W810" s="484"/>
      <c r="X810" s="484"/>
      <c r="Y810" s="484"/>
    </row>
    <row r="811">
      <c r="A811" s="484"/>
      <c r="B811" s="484"/>
      <c r="C811" s="484"/>
      <c r="D811" s="484"/>
      <c r="E811" s="484"/>
      <c r="F811" s="484"/>
      <c r="G811" s="484"/>
      <c r="H811" s="484"/>
      <c r="I811" s="484"/>
      <c r="J811" s="484"/>
      <c r="K811" s="484"/>
      <c r="L811" s="484"/>
      <c r="M811" s="484"/>
      <c r="N811" s="484"/>
      <c r="O811" s="484"/>
      <c r="P811" s="484"/>
      <c r="Q811" s="484"/>
      <c r="R811" s="484"/>
      <c r="S811" s="484"/>
      <c r="T811" s="484"/>
      <c r="U811" s="484"/>
      <c r="V811" s="484"/>
      <c r="W811" s="484"/>
      <c r="X811" s="484"/>
      <c r="Y811" s="484"/>
    </row>
    <row r="812">
      <c r="A812" s="484"/>
      <c r="B812" s="484"/>
      <c r="C812" s="484"/>
      <c r="D812" s="484"/>
      <c r="E812" s="484"/>
      <c r="F812" s="484"/>
      <c r="G812" s="484"/>
      <c r="H812" s="484"/>
      <c r="I812" s="484"/>
      <c r="J812" s="484"/>
      <c r="K812" s="484"/>
      <c r="L812" s="484"/>
      <c r="M812" s="484"/>
      <c r="N812" s="484"/>
      <c r="O812" s="484"/>
      <c r="P812" s="484"/>
      <c r="Q812" s="484"/>
      <c r="R812" s="484"/>
      <c r="S812" s="484"/>
      <c r="T812" s="484"/>
      <c r="U812" s="484"/>
      <c r="V812" s="484"/>
      <c r="W812" s="484"/>
      <c r="X812" s="484"/>
      <c r="Y812" s="484"/>
    </row>
    <row r="813">
      <c r="A813" s="484"/>
      <c r="B813" s="484"/>
      <c r="C813" s="484"/>
      <c r="D813" s="484"/>
      <c r="E813" s="484"/>
      <c r="F813" s="484"/>
      <c r="G813" s="484"/>
      <c r="H813" s="484"/>
      <c r="I813" s="484"/>
      <c r="J813" s="484"/>
      <c r="K813" s="484"/>
      <c r="L813" s="484"/>
      <c r="M813" s="484"/>
      <c r="N813" s="484"/>
      <c r="O813" s="484"/>
      <c r="P813" s="484"/>
      <c r="Q813" s="484"/>
      <c r="R813" s="484"/>
      <c r="S813" s="484"/>
      <c r="T813" s="484"/>
      <c r="U813" s="484"/>
      <c r="V813" s="484"/>
      <c r="W813" s="484"/>
      <c r="X813" s="484"/>
      <c r="Y813" s="484"/>
    </row>
    <row r="814">
      <c r="A814" s="484"/>
      <c r="B814" s="484"/>
      <c r="C814" s="484"/>
      <c r="D814" s="484"/>
      <c r="E814" s="484"/>
      <c r="F814" s="484"/>
      <c r="G814" s="484"/>
      <c r="H814" s="484"/>
      <c r="I814" s="484"/>
      <c r="J814" s="484"/>
      <c r="K814" s="484"/>
      <c r="L814" s="484"/>
      <c r="M814" s="484"/>
      <c r="N814" s="484"/>
      <c r="O814" s="484"/>
      <c r="P814" s="484"/>
      <c r="Q814" s="484"/>
      <c r="R814" s="484"/>
      <c r="S814" s="484"/>
      <c r="T814" s="484"/>
      <c r="U814" s="484"/>
      <c r="V814" s="484"/>
      <c r="W814" s="484"/>
      <c r="X814" s="484"/>
      <c r="Y814" s="484"/>
    </row>
    <row r="815">
      <c r="A815" s="484"/>
      <c r="B815" s="484"/>
      <c r="C815" s="484"/>
      <c r="D815" s="484"/>
      <c r="E815" s="484"/>
      <c r="F815" s="484"/>
      <c r="G815" s="484"/>
      <c r="H815" s="484"/>
      <c r="I815" s="484"/>
      <c r="J815" s="484"/>
      <c r="K815" s="484"/>
      <c r="L815" s="484"/>
      <c r="M815" s="484"/>
      <c r="N815" s="484"/>
      <c r="O815" s="484"/>
      <c r="P815" s="484"/>
      <c r="Q815" s="484"/>
      <c r="R815" s="484"/>
      <c r="S815" s="484"/>
      <c r="T815" s="484"/>
      <c r="U815" s="484"/>
      <c r="V815" s="484"/>
      <c r="W815" s="484"/>
      <c r="X815" s="484"/>
      <c r="Y815" s="484"/>
    </row>
    <row r="816">
      <c r="A816" s="484"/>
      <c r="B816" s="484"/>
      <c r="C816" s="484"/>
      <c r="D816" s="484"/>
      <c r="E816" s="484"/>
      <c r="F816" s="484"/>
      <c r="G816" s="484"/>
      <c r="H816" s="484"/>
      <c r="I816" s="484"/>
      <c r="J816" s="484"/>
      <c r="K816" s="484"/>
      <c r="L816" s="484"/>
      <c r="M816" s="484"/>
      <c r="N816" s="484"/>
      <c r="O816" s="484"/>
      <c r="P816" s="484"/>
      <c r="Q816" s="484"/>
      <c r="R816" s="484"/>
      <c r="S816" s="484"/>
      <c r="T816" s="484"/>
      <c r="U816" s="484"/>
      <c r="V816" s="484"/>
      <c r="W816" s="484"/>
      <c r="X816" s="484"/>
      <c r="Y816" s="484"/>
    </row>
    <row r="817">
      <c r="A817" s="484"/>
      <c r="B817" s="484"/>
      <c r="C817" s="484"/>
      <c r="D817" s="484"/>
      <c r="E817" s="484"/>
      <c r="F817" s="484"/>
      <c r="G817" s="484"/>
      <c r="H817" s="484"/>
      <c r="I817" s="484"/>
      <c r="J817" s="484"/>
      <c r="K817" s="484"/>
      <c r="L817" s="484"/>
      <c r="M817" s="484"/>
      <c r="N817" s="484"/>
      <c r="O817" s="484"/>
      <c r="P817" s="484"/>
      <c r="Q817" s="484"/>
      <c r="R817" s="484"/>
      <c r="S817" s="484"/>
      <c r="T817" s="484"/>
      <c r="U817" s="484"/>
      <c r="V817" s="484"/>
      <c r="W817" s="484"/>
      <c r="X817" s="484"/>
      <c r="Y817" s="484"/>
    </row>
    <row r="818">
      <c r="A818" s="484"/>
      <c r="B818" s="484"/>
      <c r="C818" s="484"/>
      <c r="D818" s="484"/>
      <c r="E818" s="484"/>
      <c r="F818" s="484"/>
      <c r="G818" s="484"/>
      <c r="H818" s="484"/>
      <c r="I818" s="484"/>
      <c r="J818" s="484"/>
      <c r="K818" s="484"/>
      <c r="L818" s="484"/>
      <c r="M818" s="484"/>
      <c r="N818" s="484"/>
      <c r="O818" s="484"/>
      <c r="P818" s="484"/>
      <c r="Q818" s="484"/>
      <c r="R818" s="484"/>
      <c r="S818" s="484"/>
      <c r="T818" s="484"/>
      <c r="U818" s="484"/>
      <c r="V818" s="484"/>
      <c r="W818" s="484"/>
      <c r="X818" s="484"/>
      <c r="Y818" s="484"/>
    </row>
    <row r="819">
      <c r="A819" s="484"/>
      <c r="B819" s="484"/>
      <c r="C819" s="484"/>
      <c r="D819" s="484"/>
      <c r="E819" s="484"/>
      <c r="F819" s="484"/>
      <c r="G819" s="484"/>
      <c r="H819" s="484"/>
      <c r="I819" s="484"/>
      <c r="J819" s="484"/>
      <c r="K819" s="484"/>
      <c r="L819" s="484"/>
      <c r="M819" s="484"/>
      <c r="N819" s="484"/>
      <c r="O819" s="484"/>
      <c r="P819" s="484"/>
      <c r="Q819" s="484"/>
      <c r="R819" s="484"/>
      <c r="S819" s="484"/>
      <c r="T819" s="484"/>
      <c r="U819" s="484"/>
      <c r="V819" s="484"/>
      <c r="W819" s="484"/>
      <c r="X819" s="484"/>
      <c r="Y819" s="484"/>
    </row>
    <row r="820">
      <c r="A820" s="484"/>
      <c r="B820" s="484"/>
      <c r="C820" s="484"/>
      <c r="D820" s="484"/>
      <c r="E820" s="484"/>
      <c r="F820" s="484"/>
      <c r="G820" s="484"/>
      <c r="H820" s="484"/>
      <c r="I820" s="484"/>
      <c r="J820" s="484"/>
      <c r="K820" s="484"/>
      <c r="L820" s="484"/>
      <c r="M820" s="484"/>
      <c r="N820" s="484"/>
      <c r="O820" s="484"/>
      <c r="P820" s="484"/>
      <c r="Q820" s="484"/>
      <c r="R820" s="484"/>
      <c r="S820" s="484"/>
      <c r="T820" s="484"/>
      <c r="U820" s="484"/>
      <c r="V820" s="484"/>
      <c r="W820" s="484"/>
      <c r="X820" s="484"/>
      <c r="Y820" s="484"/>
    </row>
    <row r="821">
      <c r="A821" s="484"/>
      <c r="B821" s="484"/>
      <c r="C821" s="484"/>
      <c r="D821" s="484"/>
      <c r="E821" s="484"/>
      <c r="F821" s="484"/>
      <c r="G821" s="484"/>
      <c r="H821" s="484"/>
      <c r="I821" s="484"/>
      <c r="J821" s="484"/>
      <c r="K821" s="484"/>
      <c r="L821" s="484"/>
      <c r="M821" s="484"/>
      <c r="N821" s="484"/>
      <c r="O821" s="484"/>
      <c r="P821" s="484"/>
      <c r="Q821" s="484"/>
      <c r="R821" s="484"/>
      <c r="S821" s="484"/>
      <c r="T821" s="484"/>
      <c r="U821" s="484"/>
      <c r="V821" s="484"/>
      <c r="W821" s="484"/>
      <c r="X821" s="484"/>
      <c r="Y821" s="484"/>
    </row>
    <row r="822">
      <c r="A822" s="484"/>
      <c r="B822" s="484"/>
      <c r="C822" s="484"/>
      <c r="D822" s="484"/>
      <c r="E822" s="484"/>
      <c r="F822" s="484"/>
      <c r="G822" s="484"/>
      <c r="H822" s="484"/>
      <c r="I822" s="484"/>
      <c r="J822" s="484"/>
      <c r="K822" s="484"/>
      <c r="L822" s="484"/>
      <c r="M822" s="484"/>
      <c r="N822" s="484"/>
      <c r="O822" s="484"/>
      <c r="P822" s="484"/>
      <c r="Q822" s="484"/>
      <c r="R822" s="484"/>
      <c r="S822" s="484"/>
      <c r="T822" s="484"/>
      <c r="U822" s="484"/>
      <c r="V822" s="484"/>
      <c r="W822" s="484"/>
      <c r="X822" s="484"/>
      <c r="Y822" s="484"/>
    </row>
    <row r="823">
      <c r="A823" s="484"/>
      <c r="B823" s="484"/>
      <c r="C823" s="484"/>
      <c r="D823" s="484"/>
      <c r="E823" s="484"/>
      <c r="F823" s="484"/>
      <c r="G823" s="484"/>
      <c r="H823" s="484"/>
      <c r="I823" s="484"/>
      <c r="J823" s="484"/>
      <c r="K823" s="484"/>
      <c r="L823" s="484"/>
      <c r="M823" s="484"/>
      <c r="N823" s="484"/>
      <c r="O823" s="484"/>
      <c r="P823" s="484"/>
      <c r="Q823" s="484"/>
      <c r="R823" s="484"/>
      <c r="S823" s="484"/>
      <c r="T823" s="484"/>
      <c r="U823" s="484"/>
      <c r="V823" s="484"/>
      <c r="W823" s="484"/>
      <c r="X823" s="484"/>
      <c r="Y823" s="484"/>
    </row>
    <row r="824">
      <c r="A824" s="484"/>
      <c r="B824" s="484"/>
      <c r="C824" s="484"/>
      <c r="D824" s="484"/>
      <c r="E824" s="484"/>
      <c r="F824" s="484"/>
      <c r="G824" s="484"/>
      <c r="H824" s="484"/>
      <c r="I824" s="484"/>
      <c r="J824" s="484"/>
      <c r="K824" s="484"/>
      <c r="L824" s="484"/>
      <c r="M824" s="484"/>
      <c r="N824" s="484"/>
      <c r="O824" s="484"/>
      <c r="P824" s="484"/>
      <c r="Q824" s="484"/>
      <c r="R824" s="484"/>
      <c r="S824" s="484"/>
      <c r="T824" s="484"/>
      <c r="U824" s="484"/>
      <c r="V824" s="484"/>
      <c r="W824" s="484"/>
      <c r="X824" s="484"/>
      <c r="Y824" s="484"/>
    </row>
    <row r="825">
      <c r="A825" s="484"/>
      <c r="B825" s="484"/>
      <c r="C825" s="484"/>
      <c r="D825" s="484"/>
      <c r="E825" s="484"/>
      <c r="F825" s="484"/>
      <c r="G825" s="484"/>
      <c r="H825" s="484"/>
      <c r="I825" s="484"/>
      <c r="J825" s="484"/>
      <c r="K825" s="484"/>
      <c r="L825" s="484"/>
      <c r="M825" s="484"/>
      <c r="N825" s="484"/>
      <c r="O825" s="484"/>
      <c r="P825" s="484"/>
      <c r="Q825" s="484"/>
      <c r="R825" s="484"/>
      <c r="S825" s="484"/>
      <c r="T825" s="484"/>
      <c r="U825" s="484"/>
      <c r="V825" s="484"/>
      <c r="W825" s="484"/>
      <c r="X825" s="484"/>
      <c r="Y825" s="484"/>
    </row>
    <row r="826">
      <c r="A826" s="484"/>
      <c r="B826" s="484"/>
      <c r="C826" s="484"/>
      <c r="D826" s="484"/>
      <c r="E826" s="484"/>
      <c r="F826" s="484"/>
      <c r="G826" s="484"/>
      <c r="H826" s="484"/>
      <c r="I826" s="484"/>
      <c r="J826" s="484"/>
      <c r="K826" s="484"/>
      <c r="L826" s="484"/>
      <c r="M826" s="484"/>
      <c r="N826" s="484"/>
      <c r="O826" s="484"/>
      <c r="P826" s="484"/>
      <c r="Q826" s="484"/>
      <c r="R826" s="484"/>
      <c r="S826" s="484"/>
      <c r="T826" s="484"/>
      <c r="U826" s="484"/>
      <c r="V826" s="484"/>
      <c r="W826" s="484"/>
      <c r="X826" s="484"/>
      <c r="Y826" s="484"/>
    </row>
    <row r="827">
      <c r="A827" s="484"/>
      <c r="B827" s="484"/>
      <c r="C827" s="484"/>
      <c r="D827" s="484"/>
      <c r="E827" s="484"/>
      <c r="F827" s="484"/>
      <c r="G827" s="484"/>
      <c r="H827" s="484"/>
      <c r="I827" s="484"/>
      <c r="J827" s="484"/>
      <c r="K827" s="484"/>
      <c r="L827" s="484"/>
      <c r="M827" s="484"/>
      <c r="N827" s="484"/>
      <c r="O827" s="484"/>
      <c r="P827" s="484"/>
      <c r="Q827" s="484"/>
      <c r="R827" s="484"/>
      <c r="S827" s="484"/>
      <c r="T827" s="484"/>
      <c r="U827" s="484"/>
      <c r="V827" s="484"/>
      <c r="W827" s="484"/>
      <c r="X827" s="484"/>
      <c r="Y827" s="484"/>
    </row>
    <row r="828">
      <c r="A828" s="484"/>
      <c r="B828" s="484"/>
      <c r="C828" s="484"/>
      <c r="D828" s="484"/>
      <c r="E828" s="484"/>
      <c r="F828" s="484"/>
      <c r="G828" s="484"/>
      <c r="H828" s="484"/>
      <c r="I828" s="484"/>
      <c r="J828" s="484"/>
      <c r="K828" s="484"/>
      <c r="L828" s="484"/>
      <c r="M828" s="484"/>
      <c r="N828" s="484"/>
      <c r="O828" s="484"/>
      <c r="P828" s="484"/>
      <c r="Q828" s="484"/>
      <c r="R828" s="484"/>
      <c r="S828" s="484"/>
      <c r="T828" s="484"/>
      <c r="U828" s="484"/>
      <c r="V828" s="484"/>
      <c r="W828" s="484"/>
      <c r="X828" s="484"/>
      <c r="Y828" s="484"/>
    </row>
    <row r="829">
      <c r="A829" s="484"/>
      <c r="B829" s="484"/>
      <c r="C829" s="484"/>
      <c r="D829" s="484"/>
      <c r="E829" s="484"/>
      <c r="F829" s="484"/>
      <c r="G829" s="484"/>
      <c r="H829" s="484"/>
      <c r="I829" s="484"/>
      <c r="J829" s="484"/>
      <c r="K829" s="484"/>
      <c r="L829" s="484"/>
      <c r="M829" s="484"/>
      <c r="N829" s="484"/>
      <c r="O829" s="484"/>
      <c r="P829" s="484"/>
      <c r="Q829" s="484"/>
      <c r="R829" s="484"/>
      <c r="S829" s="484"/>
      <c r="T829" s="484"/>
      <c r="U829" s="484"/>
      <c r="V829" s="484"/>
      <c r="W829" s="484"/>
      <c r="X829" s="484"/>
      <c r="Y829" s="484"/>
    </row>
    <row r="830">
      <c r="A830" s="484"/>
      <c r="B830" s="484"/>
      <c r="C830" s="484"/>
      <c r="D830" s="484"/>
      <c r="E830" s="484"/>
      <c r="F830" s="484"/>
      <c r="G830" s="484"/>
      <c r="H830" s="484"/>
      <c r="I830" s="484"/>
      <c r="J830" s="484"/>
      <c r="K830" s="484"/>
      <c r="L830" s="484"/>
      <c r="M830" s="484"/>
      <c r="N830" s="484"/>
      <c r="O830" s="484"/>
      <c r="P830" s="484"/>
      <c r="Q830" s="484"/>
      <c r="R830" s="484"/>
      <c r="S830" s="484"/>
      <c r="T830" s="484"/>
      <c r="U830" s="484"/>
      <c r="V830" s="484"/>
      <c r="W830" s="484"/>
      <c r="X830" s="484"/>
      <c r="Y830" s="484"/>
    </row>
    <row r="831">
      <c r="A831" s="484"/>
      <c r="B831" s="484"/>
      <c r="C831" s="484"/>
      <c r="D831" s="484"/>
      <c r="E831" s="484"/>
      <c r="F831" s="484"/>
      <c r="G831" s="484"/>
      <c r="H831" s="484"/>
      <c r="I831" s="484"/>
      <c r="J831" s="484"/>
      <c r="K831" s="484"/>
      <c r="L831" s="484"/>
      <c r="M831" s="484"/>
      <c r="N831" s="484"/>
      <c r="O831" s="484"/>
      <c r="P831" s="484"/>
      <c r="Q831" s="484"/>
      <c r="R831" s="484"/>
      <c r="S831" s="484"/>
      <c r="T831" s="484"/>
      <c r="U831" s="484"/>
      <c r="V831" s="484"/>
      <c r="W831" s="484"/>
      <c r="X831" s="484"/>
      <c r="Y831" s="484"/>
    </row>
    <row r="832">
      <c r="A832" s="484"/>
      <c r="B832" s="484"/>
      <c r="C832" s="484"/>
      <c r="D832" s="484"/>
      <c r="E832" s="484"/>
      <c r="F832" s="484"/>
      <c r="G832" s="484"/>
      <c r="H832" s="484"/>
      <c r="I832" s="484"/>
      <c r="J832" s="484"/>
      <c r="K832" s="484"/>
      <c r="L832" s="484"/>
      <c r="M832" s="484"/>
      <c r="N832" s="484"/>
      <c r="O832" s="484"/>
      <c r="P832" s="484"/>
      <c r="Q832" s="484"/>
      <c r="R832" s="484"/>
      <c r="S832" s="484"/>
      <c r="T832" s="484"/>
      <c r="U832" s="484"/>
      <c r="V832" s="484"/>
      <c r="W832" s="484"/>
      <c r="X832" s="484"/>
      <c r="Y832" s="484"/>
    </row>
    <row r="833">
      <c r="A833" s="484"/>
      <c r="B833" s="484"/>
      <c r="C833" s="484"/>
      <c r="D833" s="484"/>
      <c r="E833" s="484"/>
      <c r="F833" s="484"/>
      <c r="G833" s="484"/>
      <c r="H833" s="484"/>
      <c r="I833" s="484"/>
      <c r="J833" s="484"/>
      <c r="K833" s="484"/>
      <c r="L833" s="484"/>
      <c r="M833" s="484"/>
      <c r="N833" s="484"/>
      <c r="O833" s="484"/>
      <c r="P833" s="484"/>
      <c r="Q833" s="484"/>
      <c r="R833" s="484"/>
      <c r="S833" s="484"/>
      <c r="T833" s="484"/>
      <c r="U833" s="484"/>
      <c r="V833" s="484"/>
      <c r="W833" s="484"/>
      <c r="X833" s="484"/>
      <c r="Y833" s="484"/>
    </row>
    <row r="834">
      <c r="A834" s="484"/>
      <c r="B834" s="484"/>
      <c r="C834" s="484"/>
      <c r="D834" s="484"/>
      <c r="E834" s="484"/>
      <c r="F834" s="484"/>
      <c r="G834" s="484"/>
      <c r="H834" s="484"/>
      <c r="I834" s="484"/>
      <c r="J834" s="484"/>
      <c r="K834" s="484"/>
      <c r="L834" s="484"/>
      <c r="M834" s="484"/>
      <c r="N834" s="484"/>
      <c r="O834" s="484"/>
      <c r="P834" s="484"/>
      <c r="Q834" s="484"/>
      <c r="R834" s="484"/>
      <c r="S834" s="484"/>
      <c r="T834" s="484"/>
      <c r="U834" s="484"/>
      <c r="V834" s="484"/>
      <c r="W834" s="484"/>
      <c r="X834" s="484"/>
      <c r="Y834" s="484"/>
    </row>
    <row r="835">
      <c r="A835" s="484"/>
      <c r="B835" s="484"/>
      <c r="C835" s="484"/>
      <c r="D835" s="484"/>
      <c r="E835" s="484"/>
      <c r="F835" s="484"/>
      <c r="G835" s="484"/>
      <c r="H835" s="484"/>
      <c r="I835" s="484"/>
      <c r="J835" s="484"/>
      <c r="K835" s="484"/>
      <c r="L835" s="484"/>
      <c r="M835" s="484"/>
      <c r="N835" s="484"/>
      <c r="O835" s="484"/>
      <c r="P835" s="484"/>
      <c r="Q835" s="484"/>
      <c r="R835" s="484"/>
      <c r="S835" s="484"/>
      <c r="T835" s="484"/>
      <c r="U835" s="484"/>
      <c r="V835" s="484"/>
      <c r="W835" s="484"/>
      <c r="X835" s="484"/>
      <c r="Y835" s="484"/>
    </row>
    <row r="836">
      <c r="A836" s="484"/>
      <c r="B836" s="484"/>
      <c r="C836" s="484"/>
      <c r="D836" s="484"/>
      <c r="E836" s="484"/>
      <c r="F836" s="484"/>
      <c r="G836" s="484"/>
      <c r="H836" s="484"/>
      <c r="I836" s="484"/>
      <c r="J836" s="484"/>
      <c r="K836" s="484"/>
      <c r="L836" s="484"/>
      <c r="M836" s="484"/>
      <c r="N836" s="484"/>
      <c r="O836" s="484"/>
      <c r="P836" s="484"/>
      <c r="Q836" s="484"/>
      <c r="R836" s="484"/>
      <c r="S836" s="484"/>
      <c r="T836" s="484"/>
      <c r="U836" s="484"/>
      <c r="V836" s="484"/>
      <c r="W836" s="484"/>
      <c r="X836" s="484"/>
      <c r="Y836" s="484"/>
    </row>
    <row r="837">
      <c r="A837" s="484"/>
      <c r="B837" s="484"/>
      <c r="C837" s="484"/>
      <c r="D837" s="484"/>
      <c r="E837" s="484"/>
      <c r="F837" s="484"/>
      <c r="G837" s="484"/>
      <c r="H837" s="484"/>
      <c r="I837" s="484"/>
      <c r="J837" s="484"/>
      <c r="K837" s="484"/>
      <c r="L837" s="484"/>
      <c r="M837" s="484"/>
      <c r="N837" s="484"/>
      <c r="O837" s="484"/>
      <c r="P837" s="484"/>
      <c r="Q837" s="484"/>
      <c r="R837" s="484"/>
      <c r="S837" s="484"/>
      <c r="T837" s="484"/>
      <c r="U837" s="484"/>
      <c r="V837" s="484"/>
      <c r="W837" s="484"/>
      <c r="X837" s="484"/>
      <c r="Y837" s="484"/>
    </row>
    <row r="838">
      <c r="A838" s="484"/>
      <c r="B838" s="484"/>
      <c r="C838" s="484"/>
      <c r="D838" s="484"/>
      <c r="E838" s="484"/>
      <c r="F838" s="484"/>
      <c r="G838" s="484"/>
      <c r="H838" s="484"/>
      <c r="I838" s="484"/>
      <c r="J838" s="484"/>
      <c r="K838" s="484"/>
      <c r="L838" s="484"/>
      <c r="M838" s="484"/>
      <c r="N838" s="484"/>
      <c r="O838" s="484"/>
      <c r="P838" s="484"/>
      <c r="Q838" s="484"/>
      <c r="R838" s="484"/>
      <c r="S838" s="484"/>
      <c r="T838" s="484"/>
      <c r="U838" s="484"/>
      <c r="V838" s="484"/>
      <c r="W838" s="484"/>
      <c r="X838" s="484"/>
      <c r="Y838" s="484"/>
    </row>
    <row r="839">
      <c r="A839" s="484"/>
      <c r="B839" s="484"/>
      <c r="C839" s="484"/>
      <c r="D839" s="484"/>
      <c r="E839" s="484"/>
      <c r="F839" s="484"/>
      <c r="G839" s="484"/>
      <c r="H839" s="484"/>
      <c r="I839" s="484"/>
      <c r="J839" s="484"/>
      <c r="K839" s="484"/>
      <c r="L839" s="484"/>
      <c r="M839" s="484"/>
      <c r="N839" s="484"/>
      <c r="O839" s="484"/>
      <c r="P839" s="484"/>
      <c r="Q839" s="484"/>
      <c r="R839" s="484"/>
      <c r="S839" s="484"/>
      <c r="T839" s="484"/>
      <c r="U839" s="484"/>
      <c r="V839" s="484"/>
      <c r="W839" s="484"/>
      <c r="X839" s="484"/>
      <c r="Y839" s="484"/>
    </row>
    <row r="840">
      <c r="A840" s="484"/>
      <c r="B840" s="484"/>
      <c r="C840" s="484"/>
      <c r="D840" s="484"/>
      <c r="E840" s="484"/>
      <c r="F840" s="484"/>
      <c r="G840" s="484"/>
      <c r="H840" s="484"/>
      <c r="I840" s="484"/>
      <c r="J840" s="484"/>
      <c r="K840" s="484"/>
      <c r="L840" s="484"/>
      <c r="M840" s="484"/>
      <c r="N840" s="484"/>
      <c r="O840" s="484"/>
      <c r="P840" s="484"/>
      <c r="Q840" s="484"/>
      <c r="R840" s="484"/>
      <c r="S840" s="484"/>
      <c r="T840" s="484"/>
      <c r="U840" s="484"/>
      <c r="V840" s="484"/>
      <c r="W840" s="484"/>
      <c r="X840" s="484"/>
      <c r="Y840" s="484"/>
    </row>
    <row r="841">
      <c r="A841" s="484"/>
      <c r="B841" s="484"/>
      <c r="C841" s="484"/>
      <c r="D841" s="484"/>
      <c r="E841" s="484"/>
      <c r="F841" s="484"/>
      <c r="G841" s="484"/>
      <c r="H841" s="484"/>
      <c r="I841" s="484"/>
      <c r="J841" s="484"/>
      <c r="K841" s="484"/>
      <c r="L841" s="484"/>
      <c r="M841" s="484"/>
      <c r="N841" s="484"/>
      <c r="O841" s="484"/>
      <c r="P841" s="484"/>
      <c r="Q841" s="484"/>
      <c r="R841" s="484"/>
      <c r="S841" s="484"/>
      <c r="T841" s="484"/>
      <c r="U841" s="484"/>
      <c r="V841" s="484"/>
      <c r="W841" s="484"/>
      <c r="X841" s="484"/>
      <c r="Y841" s="484"/>
    </row>
    <row r="842">
      <c r="A842" s="484"/>
      <c r="B842" s="484"/>
      <c r="C842" s="484"/>
      <c r="D842" s="484"/>
      <c r="E842" s="484"/>
      <c r="F842" s="484"/>
      <c r="G842" s="484"/>
      <c r="H842" s="484"/>
      <c r="I842" s="484"/>
      <c r="J842" s="484"/>
      <c r="K842" s="484"/>
      <c r="L842" s="484"/>
      <c r="M842" s="484"/>
      <c r="N842" s="484"/>
      <c r="O842" s="484"/>
      <c r="P842" s="484"/>
      <c r="Q842" s="484"/>
      <c r="R842" s="484"/>
      <c r="S842" s="484"/>
      <c r="T842" s="484"/>
      <c r="U842" s="484"/>
      <c r="V842" s="484"/>
      <c r="W842" s="484"/>
      <c r="X842" s="484"/>
      <c r="Y842" s="484"/>
    </row>
    <row r="843">
      <c r="A843" s="484"/>
      <c r="B843" s="484"/>
      <c r="C843" s="484"/>
      <c r="D843" s="484"/>
      <c r="E843" s="484"/>
      <c r="F843" s="484"/>
      <c r="G843" s="484"/>
      <c r="H843" s="484"/>
      <c r="I843" s="484"/>
      <c r="J843" s="484"/>
      <c r="K843" s="484"/>
      <c r="L843" s="484"/>
      <c r="M843" s="484"/>
      <c r="N843" s="484"/>
      <c r="O843" s="484"/>
      <c r="P843" s="484"/>
      <c r="Q843" s="484"/>
      <c r="R843" s="484"/>
      <c r="S843" s="484"/>
      <c r="T843" s="484"/>
      <c r="U843" s="484"/>
      <c r="V843" s="484"/>
      <c r="W843" s="484"/>
      <c r="X843" s="484"/>
      <c r="Y843" s="484"/>
    </row>
    <row r="844">
      <c r="A844" s="484"/>
      <c r="B844" s="484"/>
      <c r="C844" s="484"/>
      <c r="D844" s="484"/>
      <c r="E844" s="484"/>
      <c r="F844" s="484"/>
      <c r="G844" s="484"/>
      <c r="H844" s="484"/>
      <c r="I844" s="484"/>
      <c r="J844" s="484"/>
      <c r="K844" s="484"/>
      <c r="L844" s="484"/>
      <c r="M844" s="484"/>
      <c r="N844" s="484"/>
      <c r="O844" s="484"/>
      <c r="P844" s="484"/>
      <c r="Q844" s="484"/>
      <c r="R844" s="484"/>
      <c r="S844" s="484"/>
      <c r="T844" s="484"/>
      <c r="U844" s="484"/>
      <c r="V844" s="484"/>
      <c r="W844" s="484"/>
      <c r="X844" s="484"/>
      <c r="Y844" s="484"/>
    </row>
    <row r="845">
      <c r="A845" s="484"/>
      <c r="B845" s="484"/>
      <c r="C845" s="484"/>
      <c r="D845" s="484"/>
      <c r="E845" s="484"/>
      <c r="F845" s="484"/>
      <c r="G845" s="484"/>
      <c r="H845" s="484"/>
      <c r="I845" s="484"/>
      <c r="J845" s="484"/>
      <c r="K845" s="484"/>
      <c r="L845" s="484"/>
      <c r="M845" s="484"/>
      <c r="N845" s="484"/>
      <c r="O845" s="484"/>
      <c r="P845" s="484"/>
      <c r="Q845" s="484"/>
      <c r="R845" s="484"/>
      <c r="S845" s="484"/>
      <c r="T845" s="484"/>
      <c r="U845" s="484"/>
      <c r="V845" s="484"/>
      <c r="W845" s="484"/>
      <c r="X845" s="484"/>
      <c r="Y845" s="484"/>
    </row>
    <row r="846">
      <c r="A846" s="484"/>
      <c r="B846" s="484"/>
      <c r="C846" s="484"/>
      <c r="D846" s="484"/>
      <c r="E846" s="484"/>
      <c r="F846" s="484"/>
      <c r="G846" s="484"/>
      <c r="H846" s="484"/>
      <c r="I846" s="484"/>
      <c r="J846" s="484"/>
      <c r="K846" s="484"/>
      <c r="L846" s="484"/>
      <c r="M846" s="484"/>
      <c r="N846" s="484"/>
      <c r="O846" s="484"/>
      <c r="P846" s="484"/>
      <c r="Q846" s="484"/>
      <c r="R846" s="484"/>
      <c r="S846" s="484"/>
      <c r="T846" s="484"/>
      <c r="U846" s="484"/>
      <c r="V846" s="484"/>
      <c r="W846" s="484"/>
      <c r="X846" s="484"/>
      <c r="Y846" s="484"/>
    </row>
    <row r="847">
      <c r="A847" s="484"/>
      <c r="B847" s="484"/>
      <c r="C847" s="484"/>
      <c r="D847" s="484"/>
      <c r="E847" s="484"/>
      <c r="F847" s="484"/>
      <c r="G847" s="484"/>
      <c r="H847" s="484"/>
      <c r="I847" s="484"/>
      <c r="J847" s="484"/>
      <c r="K847" s="484"/>
      <c r="L847" s="484"/>
      <c r="M847" s="484"/>
      <c r="N847" s="484"/>
      <c r="O847" s="484"/>
      <c r="P847" s="484"/>
      <c r="Q847" s="484"/>
      <c r="R847" s="484"/>
      <c r="S847" s="484"/>
      <c r="T847" s="484"/>
      <c r="U847" s="484"/>
      <c r="V847" s="484"/>
      <c r="W847" s="484"/>
      <c r="X847" s="484"/>
      <c r="Y847" s="484"/>
    </row>
    <row r="848">
      <c r="A848" s="484"/>
      <c r="B848" s="484"/>
      <c r="C848" s="484"/>
      <c r="D848" s="484"/>
      <c r="E848" s="484"/>
      <c r="F848" s="484"/>
      <c r="G848" s="484"/>
      <c r="H848" s="484"/>
      <c r="I848" s="484"/>
      <c r="J848" s="484"/>
      <c r="K848" s="484"/>
      <c r="L848" s="484"/>
      <c r="M848" s="484"/>
      <c r="N848" s="484"/>
      <c r="O848" s="484"/>
      <c r="P848" s="484"/>
      <c r="Q848" s="484"/>
      <c r="R848" s="484"/>
      <c r="S848" s="484"/>
      <c r="T848" s="484"/>
      <c r="U848" s="484"/>
      <c r="V848" s="484"/>
      <c r="W848" s="484"/>
      <c r="X848" s="484"/>
      <c r="Y848" s="484"/>
    </row>
    <row r="849">
      <c r="A849" s="484"/>
      <c r="B849" s="484"/>
      <c r="C849" s="484"/>
      <c r="D849" s="484"/>
      <c r="E849" s="484"/>
      <c r="F849" s="484"/>
      <c r="G849" s="484"/>
      <c r="H849" s="484"/>
      <c r="I849" s="484"/>
      <c r="J849" s="484"/>
      <c r="K849" s="484"/>
      <c r="L849" s="484"/>
      <c r="M849" s="484"/>
      <c r="N849" s="484"/>
      <c r="O849" s="484"/>
      <c r="P849" s="484"/>
      <c r="Q849" s="484"/>
      <c r="R849" s="484"/>
      <c r="S849" s="484"/>
      <c r="T849" s="484"/>
      <c r="U849" s="484"/>
      <c r="V849" s="484"/>
      <c r="W849" s="484"/>
      <c r="X849" s="484"/>
      <c r="Y849" s="484"/>
    </row>
    <row r="850">
      <c r="A850" s="484"/>
      <c r="B850" s="484"/>
      <c r="C850" s="484"/>
      <c r="D850" s="484"/>
      <c r="E850" s="484"/>
      <c r="F850" s="484"/>
      <c r="G850" s="484"/>
      <c r="H850" s="484"/>
      <c r="I850" s="484"/>
      <c r="J850" s="484"/>
      <c r="K850" s="484"/>
      <c r="L850" s="484"/>
      <c r="M850" s="484"/>
      <c r="N850" s="484"/>
      <c r="O850" s="484"/>
      <c r="P850" s="484"/>
      <c r="Q850" s="484"/>
      <c r="R850" s="484"/>
      <c r="S850" s="484"/>
      <c r="T850" s="484"/>
      <c r="U850" s="484"/>
      <c r="V850" s="484"/>
      <c r="W850" s="484"/>
      <c r="X850" s="484"/>
      <c r="Y850" s="484"/>
    </row>
    <row r="851">
      <c r="A851" s="484"/>
      <c r="B851" s="484"/>
      <c r="C851" s="484"/>
      <c r="D851" s="484"/>
      <c r="E851" s="484"/>
      <c r="F851" s="484"/>
      <c r="G851" s="484"/>
      <c r="H851" s="484"/>
      <c r="I851" s="484"/>
      <c r="J851" s="484"/>
      <c r="K851" s="484"/>
      <c r="L851" s="484"/>
      <c r="M851" s="484"/>
      <c r="N851" s="484"/>
      <c r="O851" s="484"/>
      <c r="P851" s="484"/>
      <c r="Q851" s="484"/>
      <c r="R851" s="484"/>
      <c r="S851" s="484"/>
      <c r="T851" s="484"/>
      <c r="U851" s="484"/>
      <c r="V851" s="484"/>
      <c r="W851" s="484"/>
      <c r="X851" s="484"/>
      <c r="Y851" s="484"/>
    </row>
    <row r="852">
      <c r="A852" s="484"/>
      <c r="B852" s="484"/>
      <c r="C852" s="484"/>
      <c r="D852" s="484"/>
      <c r="E852" s="484"/>
      <c r="F852" s="484"/>
      <c r="G852" s="484"/>
      <c r="H852" s="484"/>
      <c r="I852" s="484"/>
      <c r="J852" s="484"/>
      <c r="K852" s="484"/>
      <c r="L852" s="484"/>
      <c r="M852" s="484"/>
      <c r="N852" s="484"/>
      <c r="O852" s="484"/>
      <c r="P852" s="484"/>
      <c r="Q852" s="484"/>
      <c r="R852" s="484"/>
      <c r="S852" s="484"/>
      <c r="T852" s="484"/>
      <c r="U852" s="484"/>
      <c r="V852" s="484"/>
      <c r="W852" s="484"/>
      <c r="X852" s="484"/>
      <c r="Y852" s="484"/>
    </row>
    <row r="853">
      <c r="A853" s="484"/>
      <c r="B853" s="484"/>
      <c r="C853" s="484"/>
      <c r="D853" s="484"/>
      <c r="E853" s="484"/>
      <c r="F853" s="484"/>
      <c r="G853" s="484"/>
      <c r="H853" s="484"/>
      <c r="I853" s="484"/>
      <c r="J853" s="484"/>
      <c r="K853" s="484"/>
      <c r="L853" s="484"/>
      <c r="M853" s="484"/>
      <c r="N853" s="484"/>
      <c r="O853" s="484"/>
      <c r="P853" s="484"/>
      <c r="Q853" s="484"/>
      <c r="R853" s="484"/>
      <c r="S853" s="484"/>
      <c r="T853" s="484"/>
      <c r="U853" s="484"/>
      <c r="V853" s="484"/>
      <c r="W853" s="484"/>
      <c r="X853" s="484"/>
      <c r="Y853" s="484"/>
    </row>
    <row r="854">
      <c r="A854" s="484"/>
      <c r="B854" s="484"/>
      <c r="C854" s="484"/>
      <c r="D854" s="484"/>
      <c r="E854" s="484"/>
      <c r="F854" s="484"/>
      <c r="G854" s="484"/>
      <c r="H854" s="484"/>
      <c r="I854" s="484"/>
      <c r="J854" s="484"/>
      <c r="K854" s="484"/>
      <c r="L854" s="484"/>
      <c r="M854" s="484"/>
      <c r="N854" s="484"/>
      <c r="O854" s="484"/>
      <c r="P854" s="484"/>
      <c r="Q854" s="484"/>
      <c r="R854" s="484"/>
      <c r="S854" s="484"/>
      <c r="T854" s="484"/>
      <c r="U854" s="484"/>
      <c r="V854" s="484"/>
      <c r="W854" s="484"/>
      <c r="X854" s="484"/>
      <c r="Y854" s="484"/>
    </row>
    <row r="855">
      <c r="A855" s="484"/>
      <c r="B855" s="484"/>
      <c r="C855" s="484"/>
      <c r="D855" s="484"/>
      <c r="E855" s="484"/>
      <c r="F855" s="484"/>
      <c r="G855" s="484"/>
      <c r="H855" s="484"/>
      <c r="I855" s="484"/>
      <c r="J855" s="484"/>
      <c r="K855" s="484"/>
      <c r="L855" s="484"/>
      <c r="M855" s="484"/>
      <c r="N855" s="484"/>
      <c r="O855" s="484"/>
      <c r="P855" s="484"/>
      <c r="Q855" s="484"/>
      <c r="R855" s="484"/>
      <c r="S855" s="484"/>
      <c r="T855" s="484"/>
      <c r="U855" s="484"/>
      <c r="V855" s="484"/>
      <c r="W855" s="484"/>
      <c r="X855" s="484"/>
      <c r="Y855" s="484"/>
    </row>
    <row r="856">
      <c r="A856" s="484"/>
      <c r="B856" s="484"/>
      <c r="C856" s="484"/>
      <c r="D856" s="484"/>
      <c r="E856" s="484"/>
      <c r="F856" s="484"/>
      <c r="G856" s="484"/>
      <c r="H856" s="484"/>
      <c r="I856" s="484"/>
      <c r="J856" s="484"/>
      <c r="K856" s="484"/>
      <c r="L856" s="484"/>
      <c r="M856" s="484"/>
      <c r="N856" s="484"/>
      <c r="O856" s="484"/>
      <c r="P856" s="484"/>
      <c r="Q856" s="484"/>
      <c r="R856" s="484"/>
      <c r="S856" s="484"/>
      <c r="T856" s="484"/>
      <c r="U856" s="484"/>
      <c r="V856" s="484"/>
      <c r="W856" s="484"/>
      <c r="X856" s="484"/>
      <c r="Y856" s="484"/>
    </row>
    <row r="857">
      <c r="A857" s="484"/>
      <c r="B857" s="484"/>
      <c r="C857" s="484"/>
      <c r="D857" s="484"/>
      <c r="E857" s="484"/>
      <c r="F857" s="484"/>
      <c r="G857" s="484"/>
      <c r="H857" s="484"/>
      <c r="I857" s="484"/>
      <c r="J857" s="484"/>
      <c r="K857" s="484"/>
      <c r="L857" s="484"/>
      <c r="M857" s="484"/>
      <c r="N857" s="484"/>
      <c r="O857" s="484"/>
      <c r="P857" s="484"/>
      <c r="Q857" s="484"/>
      <c r="R857" s="484"/>
      <c r="S857" s="484"/>
      <c r="T857" s="484"/>
      <c r="U857" s="484"/>
      <c r="V857" s="484"/>
      <c r="W857" s="484"/>
      <c r="X857" s="484"/>
      <c r="Y857" s="484"/>
    </row>
    <row r="858">
      <c r="A858" s="484"/>
      <c r="B858" s="484"/>
      <c r="C858" s="484"/>
      <c r="D858" s="484"/>
      <c r="E858" s="484"/>
      <c r="F858" s="484"/>
      <c r="G858" s="484"/>
      <c r="H858" s="484"/>
      <c r="I858" s="484"/>
      <c r="J858" s="484"/>
      <c r="K858" s="484"/>
      <c r="L858" s="484"/>
      <c r="M858" s="484"/>
      <c r="N858" s="484"/>
      <c r="O858" s="484"/>
      <c r="P858" s="484"/>
      <c r="Q858" s="484"/>
      <c r="R858" s="484"/>
      <c r="S858" s="484"/>
      <c r="T858" s="484"/>
      <c r="U858" s="484"/>
      <c r="V858" s="484"/>
      <c r="W858" s="484"/>
      <c r="X858" s="484"/>
      <c r="Y858" s="484"/>
    </row>
    <row r="859">
      <c r="A859" s="484"/>
      <c r="B859" s="484"/>
      <c r="C859" s="484"/>
      <c r="D859" s="484"/>
      <c r="E859" s="484"/>
      <c r="F859" s="484"/>
      <c r="G859" s="484"/>
      <c r="H859" s="484"/>
      <c r="I859" s="484"/>
      <c r="J859" s="484"/>
      <c r="K859" s="484"/>
      <c r="L859" s="484"/>
      <c r="M859" s="484"/>
      <c r="N859" s="484"/>
      <c r="O859" s="484"/>
      <c r="P859" s="484"/>
      <c r="Q859" s="484"/>
      <c r="R859" s="484"/>
      <c r="S859" s="484"/>
      <c r="T859" s="484"/>
      <c r="U859" s="484"/>
      <c r="V859" s="484"/>
      <c r="W859" s="484"/>
      <c r="X859" s="484"/>
      <c r="Y859" s="484"/>
    </row>
    <row r="860">
      <c r="A860" s="484"/>
      <c r="B860" s="484"/>
      <c r="C860" s="484"/>
      <c r="D860" s="484"/>
      <c r="E860" s="484"/>
      <c r="F860" s="484"/>
      <c r="G860" s="484"/>
      <c r="H860" s="484"/>
      <c r="I860" s="484"/>
      <c r="J860" s="484"/>
      <c r="K860" s="484"/>
      <c r="L860" s="484"/>
      <c r="M860" s="484"/>
      <c r="N860" s="484"/>
      <c r="O860" s="484"/>
      <c r="P860" s="484"/>
      <c r="Q860" s="484"/>
      <c r="R860" s="484"/>
      <c r="S860" s="484"/>
      <c r="T860" s="484"/>
      <c r="U860" s="484"/>
      <c r="V860" s="484"/>
      <c r="W860" s="484"/>
      <c r="X860" s="484"/>
      <c r="Y860" s="484"/>
    </row>
    <row r="861">
      <c r="A861" s="484"/>
      <c r="B861" s="484"/>
      <c r="C861" s="484"/>
      <c r="D861" s="484"/>
      <c r="E861" s="484"/>
      <c r="F861" s="484"/>
      <c r="G861" s="484"/>
      <c r="H861" s="484"/>
      <c r="I861" s="484"/>
      <c r="J861" s="484"/>
      <c r="K861" s="484"/>
      <c r="L861" s="484"/>
      <c r="M861" s="484"/>
      <c r="N861" s="484"/>
      <c r="O861" s="484"/>
      <c r="P861" s="484"/>
      <c r="Q861" s="484"/>
      <c r="R861" s="484"/>
      <c r="S861" s="484"/>
      <c r="T861" s="484"/>
      <c r="U861" s="484"/>
      <c r="V861" s="484"/>
      <c r="W861" s="484"/>
      <c r="X861" s="484"/>
      <c r="Y861" s="484"/>
    </row>
    <row r="862">
      <c r="A862" s="484"/>
      <c r="B862" s="484"/>
      <c r="C862" s="484"/>
      <c r="D862" s="484"/>
      <c r="E862" s="484"/>
      <c r="F862" s="484"/>
      <c r="G862" s="484"/>
      <c r="H862" s="484"/>
      <c r="I862" s="484"/>
      <c r="J862" s="484"/>
      <c r="K862" s="484"/>
      <c r="L862" s="484"/>
      <c r="M862" s="484"/>
      <c r="N862" s="484"/>
      <c r="O862" s="484"/>
      <c r="P862" s="484"/>
      <c r="Q862" s="484"/>
      <c r="R862" s="484"/>
      <c r="S862" s="484"/>
      <c r="T862" s="484"/>
      <c r="U862" s="484"/>
      <c r="V862" s="484"/>
      <c r="W862" s="484"/>
      <c r="X862" s="484"/>
      <c r="Y862" s="484"/>
    </row>
    <row r="863">
      <c r="A863" s="484"/>
      <c r="B863" s="484"/>
      <c r="C863" s="484"/>
      <c r="D863" s="484"/>
      <c r="E863" s="484"/>
      <c r="F863" s="484"/>
      <c r="G863" s="484"/>
      <c r="H863" s="484"/>
      <c r="I863" s="484"/>
      <c r="J863" s="484"/>
      <c r="K863" s="484"/>
      <c r="L863" s="484"/>
      <c r="M863" s="484"/>
      <c r="N863" s="484"/>
      <c r="O863" s="484"/>
      <c r="P863" s="484"/>
      <c r="Q863" s="484"/>
      <c r="R863" s="484"/>
      <c r="S863" s="484"/>
      <c r="T863" s="484"/>
      <c r="U863" s="484"/>
      <c r="V863" s="484"/>
      <c r="W863" s="484"/>
      <c r="X863" s="484"/>
      <c r="Y863" s="484"/>
    </row>
    <row r="864">
      <c r="A864" s="484"/>
      <c r="B864" s="484"/>
      <c r="C864" s="484"/>
      <c r="D864" s="484"/>
      <c r="E864" s="484"/>
      <c r="F864" s="484"/>
      <c r="G864" s="484"/>
      <c r="H864" s="484"/>
      <c r="I864" s="484"/>
      <c r="J864" s="484"/>
      <c r="K864" s="484"/>
      <c r="L864" s="484"/>
      <c r="M864" s="484"/>
      <c r="N864" s="484"/>
      <c r="O864" s="484"/>
      <c r="P864" s="484"/>
      <c r="Q864" s="484"/>
      <c r="R864" s="484"/>
      <c r="S864" s="484"/>
      <c r="T864" s="484"/>
      <c r="U864" s="484"/>
      <c r="V864" s="484"/>
      <c r="W864" s="484"/>
      <c r="X864" s="484"/>
      <c r="Y864" s="484"/>
    </row>
    <row r="865">
      <c r="A865" s="484"/>
      <c r="B865" s="484"/>
      <c r="C865" s="484"/>
      <c r="D865" s="484"/>
      <c r="E865" s="484"/>
      <c r="F865" s="484"/>
      <c r="G865" s="484"/>
      <c r="H865" s="484"/>
      <c r="I865" s="484"/>
      <c r="J865" s="484"/>
      <c r="K865" s="484"/>
      <c r="L865" s="484"/>
      <c r="M865" s="484"/>
      <c r="N865" s="484"/>
      <c r="O865" s="484"/>
      <c r="P865" s="484"/>
      <c r="Q865" s="484"/>
      <c r="R865" s="484"/>
      <c r="S865" s="484"/>
      <c r="T865" s="484"/>
      <c r="U865" s="484"/>
      <c r="V865" s="484"/>
      <c r="W865" s="484"/>
      <c r="X865" s="484"/>
      <c r="Y865" s="484"/>
    </row>
    <row r="866">
      <c r="A866" s="484"/>
      <c r="B866" s="484"/>
      <c r="C866" s="484"/>
      <c r="D866" s="484"/>
      <c r="E866" s="484"/>
      <c r="F866" s="484"/>
      <c r="G866" s="484"/>
      <c r="H866" s="484"/>
      <c r="I866" s="484"/>
      <c r="J866" s="484"/>
      <c r="K866" s="484"/>
      <c r="L866" s="484"/>
      <c r="M866" s="484"/>
      <c r="N866" s="484"/>
      <c r="O866" s="484"/>
      <c r="P866" s="484"/>
      <c r="Q866" s="484"/>
      <c r="R866" s="484"/>
      <c r="S866" s="484"/>
      <c r="T866" s="484"/>
      <c r="U866" s="484"/>
      <c r="V866" s="484"/>
      <c r="W866" s="484"/>
      <c r="X866" s="484"/>
      <c r="Y866" s="484"/>
    </row>
    <row r="867">
      <c r="A867" s="484"/>
      <c r="B867" s="484"/>
      <c r="C867" s="484"/>
      <c r="D867" s="484"/>
      <c r="E867" s="484"/>
      <c r="F867" s="484"/>
      <c r="G867" s="484"/>
      <c r="H867" s="484"/>
      <c r="I867" s="484"/>
      <c r="J867" s="484"/>
      <c r="K867" s="484"/>
      <c r="L867" s="484"/>
      <c r="M867" s="484"/>
      <c r="N867" s="484"/>
      <c r="O867" s="484"/>
      <c r="P867" s="484"/>
      <c r="Q867" s="484"/>
      <c r="R867" s="484"/>
      <c r="S867" s="484"/>
      <c r="T867" s="484"/>
      <c r="U867" s="484"/>
      <c r="V867" s="484"/>
      <c r="W867" s="484"/>
      <c r="X867" s="484"/>
      <c r="Y867" s="484"/>
    </row>
    <row r="868">
      <c r="A868" s="484"/>
      <c r="B868" s="484"/>
      <c r="C868" s="484"/>
      <c r="D868" s="484"/>
      <c r="E868" s="484"/>
      <c r="F868" s="484"/>
      <c r="G868" s="484"/>
      <c r="H868" s="484"/>
      <c r="I868" s="484"/>
      <c r="J868" s="484"/>
      <c r="K868" s="484"/>
      <c r="L868" s="484"/>
      <c r="M868" s="484"/>
      <c r="N868" s="484"/>
      <c r="O868" s="484"/>
      <c r="P868" s="484"/>
      <c r="Q868" s="484"/>
      <c r="R868" s="484"/>
      <c r="S868" s="484"/>
      <c r="T868" s="484"/>
      <c r="U868" s="484"/>
      <c r="V868" s="484"/>
      <c r="W868" s="484"/>
      <c r="X868" s="484"/>
      <c r="Y868" s="484"/>
    </row>
    <row r="869">
      <c r="A869" s="484"/>
      <c r="B869" s="484"/>
      <c r="C869" s="484"/>
      <c r="D869" s="484"/>
      <c r="E869" s="484"/>
      <c r="F869" s="484"/>
      <c r="G869" s="484"/>
      <c r="H869" s="484"/>
      <c r="I869" s="484"/>
      <c r="J869" s="484"/>
      <c r="K869" s="484"/>
      <c r="L869" s="484"/>
      <c r="M869" s="484"/>
      <c r="N869" s="484"/>
      <c r="O869" s="484"/>
      <c r="P869" s="484"/>
      <c r="Q869" s="484"/>
      <c r="R869" s="484"/>
      <c r="S869" s="484"/>
      <c r="T869" s="484"/>
      <c r="U869" s="484"/>
      <c r="V869" s="484"/>
      <c r="W869" s="484"/>
      <c r="X869" s="484"/>
      <c r="Y869" s="484"/>
    </row>
    <row r="870">
      <c r="A870" s="484"/>
      <c r="B870" s="484"/>
      <c r="C870" s="484"/>
      <c r="D870" s="484"/>
      <c r="E870" s="484"/>
      <c r="F870" s="484"/>
      <c r="G870" s="484"/>
      <c r="H870" s="484"/>
      <c r="I870" s="484"/>
      <c r="J870" s="484"/>
      <c r="K870" s="484"/>
      <c r="L870" s="484"/>
      <c r="M870" s="484"/>
      <c r="N870" s="484"/>
      <c r="O870" s="484"/>
      <c r="P870" s="484"/>
      <c r="Q870" s="484"/>
      <c r="R870" s="484"/>
      <c r="S870" s="484"/>
      <c r="T870" s="484"/>
      <c r="U870" s="484"/>
      <c r="V870" s="484"/>
      <c r="W870" s="484"/>
      <c r="X870" s="484"/>
      <c r="Y870" s="484"/>
    </row>
    <row r="871">
      <c r="A871" s="484"/>
      <c r="B871" s="484"/>
      <c r="C871" s="484"/>
      <c r="D871" s="484"/>
      <c r="E871" s="484"/>
      <c r="F871" s="484"/>
      <c r="G871" s="484"/>
      <c r="H871" s="484"/>
      <c r="I871" s="484"/>
      <c r="J871" s="484"/>
      <c r="K871" s="484"/>
      <c r="L871" s="484"/>
      <c r="M871" s="484"/>
      <c r="N871" s="484"/>
      <c r="O871" s="484"/>
      <c r="P871" s="484"/>
      <c r="Q871" s="484"/>
      <c r="R871" s="484"/>
      <c r="S871" s="484"/>
      <c r="T871" s="484"/>
      <c r="U871" s="484"/>
      <c r="V871" s="484"/>
      <c r="W871" s="484"/>
      <c r="X871" s="484"/>
      <c r="Y871" s="484"/>
    </row>
    <row r="872">
      <c r="A872" s="484"/>
      <c r="B872" s="484"/>
      <c r="C872" s="484"/>
      <c r="D872" s="484"/>
      <c r="E872" s="484"/>
      <c r="F872" s="484"/>
      <c r="G872" s="484"/>
      <c r="H872" s="484"/>
      <c r="I872" s="484"/>
      <c r="J872" s="484"/>
      <c r="K872" s="484"/>
      <c r="L872" s="484"/>
      <c r="M872" s="484"/>
      <c r="N872" s="484"/>
      <c r="O872" s="484"/>
      <c r="P872" s="484"/>
      <c r="Q872" s="484"/>
      <c r="R872" s="484"/>
      <c r="S872" s="484"/>
      <c r="T872" s="484"/>
      <c r="U872" s="484"/>
      <c r="V872" s="484"/>
      <c r="W872" s="484"/>
      <c r="X872" s="484"/>
      <c r="Y872" s="484"/>
    </row>
    <row r="873">
      <c r="A873" s="484"/>
      <c r="B873" s="484"/>
      <c r="C873" s="484"/>
      <c r="D873" s="484"/>
      <c r="E873" s="484"/>
      <c r="F873" s="484"/>
      <c r="G873" s="484"/>
      <c r="H873" s="484"/>
      <c r="I873" s="484"/>
      <c r="J873" s="484"/>
      <c r="K873" s="484"/>
      <c r="L873" s="484"/>
      <c r="M873" s="484"/>
      <c r="N873" s="484"/>
      <c r="O873" s="484"/>
      <c r="P873" s="484"/>
      <c r="Q873" s="484"/>
      <c r="R873" s="484"/>
      <c r="S873" s="484"/>
      <c r="T873" s="484"/>
      <c r="U873" s="484"/>
      <c r="V873" s="484"/>
      <c r="W873" s="484"/>
      <c r="X873" s="484"/>
      <c r="Y873" s="484"/>
    </row>
    <row r="874">
      <c r="A874" s="484"/>
      <c r="B874" s="484"/>
      <c r="C874" s="484"/>
      <c r="D874" s="484"/>
      <c r="E874" s="484"/>
      <c r="F874" s="484"/>
      <c r="G874" s="484"/>
      <c r="H874" s="484"/>
      <c r="I874" s="484"/>
      <c r="J874" s="484"/>
      <c r="K874" s="484"/>
      <c r="L874" s="484"/>
      <c r="M874" s="484"/>
      <c r="N874" s="484"/>
      <c r="O874" s="484"/>
      <c r="P874" s="484"/>
      <c r="Q874" s="484"/>
      <c r="R874" s="484"/>
      <c r="S874" s="484"/>
      <c r="T874" s="484"/>
      <c r="U874" s="484"/>
      <c r="V874" s="484"/>
      <c r="W874" s="484"/>
      <c r="X874" s="484"/>
      <c r="Y874" s="484"/>
    </row>
    <row r="875">
      <c r="A875" s="484"/>
      <c r="B875" s="484"/>
      <c r="C875" s="484"/>
      <c r="D875" s="484"/>
      <c r="E875" s="484"/>
      <c r="F875" s="484"/>
      <c r="G875" s="484"/>
      <c r="H875" s="484"/>
      <c r="I875" s="484"/>
      <c r="J875" s="484"/>
      <c r="K875" s="484"/>
      <c r="L875" s="484"/>
      <c r="M875" s="484"/>
      <c r="N875" s="484"/>
      <c r="O875" s="484"/>
      <c r="P875" s="484"/>
      <c r="Q875" s="484"/>
      <c r="R875" s="484"/>
      <c r="S875" s="484"/>
      <c r="T875" s="484"/>
      <c r="U875" s="484"/>
      <c r="V875" s="484"/>
      <c r="W875" s="484"/>
      <c r="X875" s="484"/>
      <c r="Y875" s="484"/>
    </row>
    <row r="876">
      <c r="A876" s="484"/>
      <c r="B876" s="484"/>
      <c r="C876" s="484"/>
      <c r="D876" s="484"/>
      <c r="E876" s="484"/>
      <c r="F876" s="484"/>
      <c r="G876" s="484"/>
      <c r="H876" s="484"/>
      <c r="I876" s="484"/>
      <c r="J876" s="484"/>
      <c r="K876" s="484"/>
      <c r="L876" s="484"/>
      <c r="M876" s="484"/>
      <c r="N876" s="484"/>
      <c r="O876" s="484"/>
      <c r="P876" s="484"/>
      <c r="Q876" s="484"/>
      <c r="R876" s="484"/>
      <c r="S876" s="484"/>
      <c r="T876" s="484"/>
      <c r="U876" s="484"/>
      <c r="V876" s="484"/>
      <c r="W876" s="484"/>
      <c r="X876" s="484"/>
      <c r="Y876" s="484"/>
    </row>
    <row r="877">
      <c r="A877" s="484"/>
      <c r="B877" s="484"/>
      <c r="C877" s="484"/>
      <c r="D877" s="484"/>
      <c r="E877" s="484"/>
      <c r="F877" s="484"/>
      <c r="G877" s="484"/>
      <c r="H877" s="484"/>
      <c r="I877" s="484"/>
      <c r="J877" s="484"/>
      <c r="K877" s="484"/>
      <c r="L877" s="484"/>
      <c r="M877" s="484"/>
      <c r="N877" s="484"/>
      <c r="O877" s="484"/>
      <c r="P877" s="484"/>
      <c r="Q877" s="484"/>
      <c r="R877" s="484"/>
      <c r="S877" s="484"/>
      <c r="T877" s="484"/>
      <c r="U877" s="484"/>
      <c r="V877" s="484"/>
      <c r="W877" s="484"/>
      <c r="X877" s="484"/>
      <c r="Y877" s="484"/>
    </row>
    <row r="878">
      <c r="A878" s="484"/>
      <c r="B878" s="484"/>
      <c r="C878" s="484"/>
      <c r="D878" s="484"/>
      <c r="E878" s="484"/>
      <c r="F878" s="484"/>
      <c r="G878" s="484"/>
      <c r="H878" s="484"/>
      <c r="I878" s="484"/>
      <c r="J878" s="484"/>
      <c r="K878" s="484"/>
      <c r="L878" s="484"/>
      <c r="M878" s="484"/>
      <c r="N878" s="484"/>
      <c r="O878" s="484"/>
      <c r="P878" s="484"/>
      <c r="Q878" s="484"/>
      <c r="R878" s="484"/>
      <c r="S878" s="484"/>
      <c r="T878" s="484"/>
      <c r="U878" s="484"/>
      <c r="V878" s="484"/>
      <c r="W878" s="484"/>
      <c r="X878" s="484"/>
      <c r="Y878" s="484"/>
    </row>
    <row r="879">
      <c r="A879" s="484"/>
      <c r="B879" s="484"/>
      <c r="C879" s="484"/>
      <c r="D879" s="484"/>
      <c r="E879" s="484"/>
      <c r="F879" s="484"/>
      <c r="G879" s="484"/>
      <c r="H879" s="484"/>
      <c r="I879" s="484"/>
      <c r="J879" s="484"/>
      <c r="K879" s="484"/>
      <c r="L879" s="484"/>
      <c r="M879" s="484"/>
      <c r="N879" s="484"/>
      <c r="O879" s="484"/>
      <c r="P879" s="484"/>
      <c r="Q879" s="484"/>
      <c r="R879" s="484"/>
      <c r="S879" s="484"/>
      <c r="T879" s="484"/>
      <c r="U879" s="484"/>
      <c r="V879" s="484"/>
      <c r="W879" s="484"/>
      <c r="X879" s="484"/>
      <c r="Y879" s="484"/>
    </row>
    <row r="880">
      <c r="A880" s="484"/>
      <c r="B880" s="484"/>
      <c r="C880" s="484"/>
      <c r="D880" s="484"/>
      <c r="E880" s="484"/>
      <c r="F880" s="484"/>
      <c r="G880" s="484"/>
      <c r="H880" s="484"/>
      <c r="I880" s="484"/>
      <c r="J880" s="484"/>
      <c r="K880" s="484"/>
      <c r="L880" s="484"/>
      <c r="M880" s="484"/>
      <c r="N880" s="484"/>
      <c r="O880" s="484"/>
      <c r="P880" s="484"/>
      <c r="Q880" s="484"/>
      <c r="R880" s="484"/>
      <c r="S880" s="484"/>
      <c r="T880" s="484"/>
      <c r="U880" s="484"/>
      <c r="V880" s="484"/>
      <c r="W880" s="484"/>
      <c r="X880" s="484"/>
      <c r="Y880" s="484"/>
    </row>
    <row r="881">
      <c r="A881" s="484"/>
      <c r="B881" s="484"/>
      <c r="C881" s="484"/>
      <c r="D881" s="484"/>
      <c r="E881" s="484"/>
      <c r="F881" s="484"/>
      <c r="G881" s="484"/>
      <c r="H881" s="484"/>
      <c r="I881" s="484"/>
      <c r="J881" s="484"/>
      <c r="K881" s="484"/>
      <c r="L881" s="484"/>
      <c r="M881" s="484"/>
      <c r="N881" s="484"/>
      <c r="O881" s="484"/>
      <c r="P881" s="484"/>
      <c r="Q881" s="484"/>
      <c r="R881" s="484"/>
      <c r="S881" s="484"/>
      <c r="T881" s="484"/>
      <c r="U881" s="484"/>
      <c r="V881" s="484"/>
      <c r="W881" s="484"/>
      <c r="X881" s="484"/>
      <c r="Y881" s="484"/>
    </row>
    <row r="882">
      <c r="A882" s="484"/>
      <c r="B882" s="484"/>
      <c r="C882" s="484"/>
      <c r="D882" s="484"/>
      <c r="E882" s="484"/>
      <c r="F882" s="484"/>
      <c r="G882" s="484"/>
      <c r="H882" s="484"/>
      <c r="I882" s="484"/>
      <c r="J882" s="484"/>
      <c r="K882" s="484"/>
      <c r="L882" s="484"/>
      <c r="M882" s="484"/>
      <c r="N882" s="484"/>
      <c r="O882" s="484"/>
      <c r="P882" s="484"/>
      <c r="Q882" s="484"/>
      <c r="R882" s="484"/>
      <c r="S882" s="484"/>
      <c r="T882" s="484"/>
      <c r="U882" s="484"/>
      <c r="V882" s="484"/>
      <c r="W882" s="484"/>
      <c r="X882" s="484"/>
      <c r="Y882" s="484"/>
    </row>
    <row r="883">
      <c r="A883" s="484"/>
      <c r="B883" s="484"/>
      <c r="C883" s="484"/>
      <c r="D883" s="484"/>
      <c r="E883" s="484"/>
      <c r="F883" s="484"/>
      <c r="G883" s="484"/>
      <c r="H883" s="484"/>
      <c r="I883" s="484"/>
      <c r="J883" s="484"/>
      <c r="K883" s="484"/>
      <c r="L883" s="484"/>
      <c r="M883" s="484"/>
      <c r="N883" s="484"/>
      <c r="O883" s="484"/>
      <c r="P883" s="484"/>
      <c r="Q883" s="484"/>
      <c r="R883" s="484"/>
      <c r="S883" s="484"/>
      <c r="T883" s="484"/>
      <c r="U883" s="484"/>
      <c r="V883" s="484"/>
      <c r="W883" s="484"/>
      <c r="X883" s="484"/>
      <c r="Y883" s="484"/>
    </row>
    <row r="884">
      <c r="A884" s="484"/>
      <c r="B884" s="484"/>
      <c r="C884" s="484"/>
      <c r="D884" s="484"/>
      <c r="E884" s="484"/>
      <c r="F884" s="484"/>
      <c r="G884" s="484"/>
      <c r="H884" s="484"/>
      <c r="I884" s="484"/>
      <c r="J884" s="484"/>
      <c r="K884" s="484"/>
      <c r="L884" s="484"/>
      <c r="M884" s="484"/>
      <c r="N884" s="484"/>
      <c r="O884" s="484"/>
      <c r="P884" s="484"/>
      <c r="Q884" s="484"/>
      <c r="R884" s="484"/>
      <c r="S884" s="484"/>
      <c r="T884" s="484"/>
      <c r="U884" s="484"/>
      <c r="V884" s="484"/>
      <c r="W884" s="484"/>
      <c r="X884" s="484"/>
      <c r="Y884" s="484"/>
    </row>
    <row r="885">
      <c r="A885" s="484"/>
      <c r="B885" s="484"/>
      <c r="C885" s="484"/>
      <c r="D885" s="484"/>
      <c r="E885" s="484"/>
      <c r="F885" s="484"/>
      <c r="G885" s="484"/>
      <c r="H885" s="484"/>
      <c r="I885" s="484"/>
      <c r="J885" s="484"/>
      <c r="K885" s="484"/>
      <c r="L885" s="484"/>
      <c r="M885" s="484"/>
      <c r="N885" s="484"/>
      <c r="O885" s="484"/>
      <c r="P885" s="484"/>
      <c r="Q885" s="484"/>
      <c r="R885" s="484"/>
      <c r="S885" s="484"/>
      <c r="T885" s="484"/>
      <c r="U885" s="484"/>
      <c r="V885" s="484"/>
      <c r="W885" s="484"/>
      <c r="X885" s="484"/>
      <c r="Y885" s="484"/>
    </row>
    <row r="886">
      <c r="A886" s="484"/>
      <c r="B886" s="484"/>
      <c r="C886" s="484"/>
      <c r="D886" s="484"/>
      <c r="E886" s="484"/>
      <c r="F886" s="484"/>
      <c r="G886" s="484"/>
      <c r="H886" s="484"/>
      <c r="I886" s="484"/>
      <c r="J886" s="484"/>
      <c r="K886" s="484"/>
      <c r="L886" s="484"/>
      <c r="M886" s="484"/>
      <c r="N886" s="484"/>
      <c r="O886" s="484"/>
      <c r="P886" s="484"/>
      <c r="Q886" s="484"/>
      <c r="R886" s="484"/>
      <c r="S886" s="484"/>
      <c r="T886" s="484"/>
      <c r="U886" s="484"/>
      <c r="V886" s="484"/>
      <c r="W886" s="484"/>
      <c r="X886" s="484"/>
      <c r="Y886" s="484"/>
    </row>
    <row r="887">
      <c r="A887" s="484"/>
      <c r="B887" s="484"/>
      <c r="C887" s="484"/>
      <c r="D887" s="484"/>
      <c r="E887" s="484"/>
      <c r="F887" s="484"/>
      <c r="G887" s="484"/>
      <c r="H887" s="484"/>
      <c r="I887" s="484"/>
      <c r="J887" s="484"/>
      <c r="K887" s="484"/>
      <c r="L887" s="484"/>
      <c r="M887" s="484"/>
      <c r="N887" s="484"/>
      <c r="O887" s="484"/>
      <c r="P887" s="484"/>
      <c r="Q887" s="484"/>
      <c r="R887" s="484"/>
      <c r="S887" s="484"/>
      <c r="T887" s="484"/>
      <c r="U887" s="484"/>
      <c r="V887" s="484"/>
      <c r="W887" s="484"/>
      <c r="X887" s="484"/>
      <c r="Y887" s="484"/>
    </row>
    <row r="888">
      <c r="A888" s="484"/>
      <c r="B888" s="484"/>
      <c r="C888" s="484"/>
      <c r="D888" s="484"/>
      <c r="E888" s="484"/>
      <c r="F888" s="484"/>
      <c r="G888" s="484"/>
      <c r="H888" s="484"/>
      <c r="I888" s="484"/>
      <c r="J888" s="484"/>
      <c r="K888" s="484"/>
      <c r="L888" s="484"/>
      <c r="M888" s="484"/>
      <c r="N888" s="484"/>
      <c r="O888" s="484"/>
      <c r="P888" s="484"/>
      <c r="Q888" s="484"/>
      <c r="R888" s="484"/>
      <c r="S888" s="484"/>
      <c r="T888" s="484"/>
      <c r="U888" s="484"/>
      <c r="V888" s="484"/>
      <c r="W888" s="484"/>
      <c r="X888" s="484"/>
      <c r="Y888" s="484"/>
    </row>
    <row r="889">
      <c r="A889" s="484"/>
      <c r="B889" s="484"/>
      <c r="C889" s="484"/>
      <c r="D889" s="484"/>
      <c r="E889" s="484"/>
      <c r="F889" s="484"/>
      <c r="G889" s="484"/>
      <c r="H889" s="484"/>
      <c r="I889" s="484"/>
      <c r="J889" s="484"/>
      <c r="K889" s="484"/>
      <c r="L889" s="484"/>
      <c r="M889" s="484"/>
      <c r="N889" s="484"/>
      <c r="O889" s="484"/>
      <c r="P889" s="484"/>
      <c r="Q889" s="484"/>
      <c r="R889" s="484"/>
      <c r="S889" s="484"/>
      <c r="T889" s="484"/>
      <c r="U889" s="484"/>
      <c r="V889" s="484"/>
      <c r="W889" s="484"/>
      <c r="X889" s="484"/>
      <c r="Y889" s="484"/>
    </row>
    <row r="890">
      <c r="A890" s="484"/>
      <c r="B890" s="484"/>
      <c r="C890" s="484"/>
      <c r="D890" s="484"/>
      <c r="E890" s="484"/>
      <c r="F890" s="484"/>
      <c r="G890" s="484"/>
      <c r="H890" s="484"/>
      <c r="I890" s="484"/>
      <c r="J890" s="484"/>
      <c r="K890" s="484"/>
      <c r="L890" s="484"/>
      <c r="M890" s="484"/>
      <c r="N890" s="484"/>
      <c r="O890" s="484"/>
      <c r="P890" s="484"/>
      <c r="Q890" s="484"/>
      <c r="R890" s="484"/>
      <c r="S890" s="484"/>
      <c r="T890" s="484"/>
      <c r="U890" s="484"/>
      <c r="V890" s="484"/>
      <c r="W890" s="484"/>
      <c r="X890" s="484"/>
      <c r="Y890" s="484"/>
    </row>
    <row r="891">
      <c r="A891" s="484"/>
      <c r="B891" s="484"/>
      <c r="C891" s="484"/>
      <c r="D891" s="484"/>
      <c r="E891" s="484"/>
      <c r="F891" s="484"/>
      <c r="G891" s="484"/>
      <c r="H891" s="484"/>
      <c r="I891" s="484"/>
      <c r="J891" s="484"/>
      <c r="K891" s="484"/>
      <c r="L891" s="484"/>
      <c r="M891" s="484"/>
      <c r="N891" s="484"/>
      <c r="O891" s="484"/>
      <c r="P891" s="484"/>
      <c r="Q891" s="484"/>
      <c r="R891" s="484"/>
      <c r="S891" s="484"/>
      <c r="T891" s="484"/>
      <c r="U891" s="484"/>
      <c r="V891" s="484"/>
      <c r="W891" s="484"/>
      <c r="X891" s="484"/>
      <c r="Y891" s="484"/>
    </row>
    <row r="892">
      <c r="A892" s="484"/>
      <c r="B892" s="484"/>
      <c r="C892" s="484"/>
      <c r="D892" s="484"/>
      <c r="E892" s="484"/>
      <c r="F892" s="484"/>
      <c r="G892" s="484"/>
      <c r="H892" s="484"/>
      <c r="I892" s="484"/>
      <c r="J892" s="484"/>
      <c r="K892" s="484"/>
      <c r="L892" s="484"/>
      <c r="M892" s="484"/>
      <c r="N892" s="484"/>
      <c r="O892" s="484"/>
      <c r="P892" s="484"/>
      <c r="Q892" s="484"/>
      <c r="R892" s="484"/>
      <c r="S892" s="484"/>
      <c r="T892" s="484"/>
      <c r="U892" s="484"/>
      <c r="V892" s="484"/>
      <c r="W892" s="484"/>
      <c r="X892" s="484"/>
      <c r="Y892" s="484"/>
    </row>
    <row r="893">
      <c r="A893" s="484"/>
      <c r="B893" s="484"/>
      <c r="C893" s="484"/>
      <c r="D893" s="484"/>
      <c r="E893" s="484"/>
      <c r="F893" s="484"/>
      <c r="G893" s="484"/>
      <c r="H893" s="484"/>
      <c r="I893" s="484"/>
      <c r="J893" s="484"/>
      <c r="K893" s="484"/>
      <c r="L893" s="484"/>
      <c r="M893" s="484"/>
      <c r="N893" s="484"/>
      <c r="O893" s="484"/>
      <c r="P893" s="484"/>
      <c r="Q893" s="484"/>
      <c r="R893" s="484"/>
      <c r="S893" s="484"/>
      <c r="T893" s="484"/>
      <c r="U893" s="484"/>
      <c r="V893" s="484"/>
      <c r="W893" s="484"/>
      <c r="X893" s="484"/>
      <c r="Y893" s="484"/>
    </row>
    <row r="894">
      <c r="A894" s="484"/>
      <c r="B894" s="484"/>
      <c r="C894" s="484"/>
      <c r="D894" s="484"/>
      <c r="E894" s="484"/>
      <c r="F894" s="484"/>
      <c r="G894" s="484"/>
      <c r="H894" s="484"/>
      <c r="I894" s="484"/>
      <c r="J894" s="484"/>
      <c r="K894" s="484"/>
      <c r="L894" s="484"/>
      <c r="M894" s="484"/>
      <c r="N894" s="484"/>
      <c r="O894" s="484"/>
      <c r="P894" s="484"/>
      <c r="Q894" s="484"/>
      <c r="R894" s="484"/>
      <c r="S894" s="484"/>
      <c r="T894" s="484"/>
      <c r="U894" s="484"/>
      <c r="V894" s="484"/>
      <c r="W894" s="484"/>
      <c r="X894" s="484"/>
      <c r="Y894" s="484"/>
    </row>
    <row r="895">
      <c r="A895" s="484"/>
      <c r="B895" s="484"/>
      <c r="C895" s="484"/>
      <c r="D895" s="484"/>
      <c r="E895" s="484"/>
      <c r="F895" s="484"/>
      <c r="G895" s="484"/>
      <c r="H895" s="484"/>
      <c r="I895" s="484"/>
      <c r="J895" s="484"/>
      <c r="K895" s="484"/>
      <c r="L895" s="484"/>
      <c r="M895" s="484"/>
      <c r="N895" s="484"/>
      <c r="O895" s="484"/>
      <c r="P895" s="484"/>
      <c r="Q895" s="484"/>
      <c r="R895" s="484"/>
      <c r="S895" s="484"/>
      <c r="T895" s="484"/>
      <c r="U895" s="484"/>
      <c r="V895" s="484"/>
      <c r="W895" s="484"/>
      <c r="X895" s="484"/>
      <c r="Y895" s="484"/>
    </row>
    <row r="896">
      <c r="A896" s="484"/>
      <c r="B896" s="484"/>
      <c r="C896" s="484"/>
      <c r="D896" s="484"/>
      <c r="E896" s="484"/>
      <c r="F896" s="484"/>
      <c r="G896" s="484"/>
      <c r="H896" s="484"/>
      <c r="I896" s="484"/>
      <c r="J896" s="484"/>
      <c r="K896" s="484"/>
      <c r="L896" s="484"/>
      <c r="M896" s="484"/>
      <c r="N896" s="484"/>
      <c r="O896" s="484"/>
      <c r="P896" s="484"/>
      <c r="Q896" s="484"/>
      <c r="R896" s="484"/>
      <c r="S896" s="484"/>
      <c r="T896" s="484"/>
      <c r="U896" s="484"/>
      <c r="V896" s="484"/>
      <c r="W896" s="484"/>
      <c r="X896" s="484"/>
      <c r="Y896" s="484"/>
    </row>
    <row r="897">
      <c r="A897" s="484"/>
      <c r="B897" s="484"/>
      <c r="C897" s="484"/>
      <c r="D897" s="484"/>
      <c r="E897" s="484"/>
      <c r="F897" s="484"/>
      <c r="G897" s="484"/>
      <c r="H897" s="484"/>
      <c r="I897" s="484"/>
      <c r="J897" s="484"/>
      <c r="K897" s="484"/>
      <c r="L897" s="484"/>
      <c r="M897" s="484"/>
      <c r="N897" s="484"/>
      <c r="O897" s="484"/>
      <c r="P897" s="484"/>
      <c r="Q897" s="484"/>
      <c r="R897" s="484"/>
      <c r="S897" s="484"/>
      <c r="T897" s="484"/>
      <c r="U897" s="484"/>
      <c r="V897" s="484"/>
      <c r="W897" s="484"/>
      <c r="X897" s="484"/>
      <c r="Y897" s="484"/>
    </row>
    <row r="898">
      <c r="A898" s="484"/>
      <c r="B898" s="484"/>
      <c r="C898" s="484"/>
      <c r="D898" s="484"/>
      <c r="E898" s="484"/>
      <c r="F898" s="484"/>
      <c r="G898" s="484"/>
      <c r="H898" s="484"/>
      <c r="I898" s="484"/>
      <c r="J898" s="484"/>
      <c r="K898" s="484"/>
      <c r="L898" s="484"/>
      <c r="M898" s="484"/>
      <c r="N898" s="484"/>
      <c r="O898" s="484"/>
      <c r="P898" s="484"/>
      <c r="Q898" s="484"/>
      <c r="R898" s="484"/>
      <c r="S898" s="484"/>
      <c r="T898" s="484"/>
      <c r="U898" s="484"/>
      <c r="V898" s="484"/>
      <c r="W898" s="484"/>
      <c r="X898" s="484"/>
      <c r="Y898" s="484"/>
    </row>
    <row r="899">
      <c r="A899" s="484"/>
      <c r="B899" s="484"/>
      <c r="C899" s="484"/>
      <c r="D899" s="484"/>
      <c r="E899" s="484"/>
      <c r="F899" s="484"/>
      <c r="G899" s="484"/>
      <c r="H899" s="484"/>
      <c r="I899" s="484"/>
      <c r="J899" s="484"/>
      <c r="K899" s="484"/>
      <c r="L899" s="484"/>
      <c r="M899" s="484"/>
      <c r="N899" s="484"/>
      <c r="O899" s="484"/>
      <c r="P899" s="484"/>
      <c r="Q899" s="484"/>
      <c r="R899" s="484"/>
      <c r="S899" s="484"/>
      <c r="T899" s="484"/>
      <c r="U899" s="484"/>
      <c r="V899" s="484"/>
      <c r="W899" s="484"/>
      <c r="X899" s="484"/>
      <c r="Y899" s="484"/>
    </row>
    <row r="900">
      <c r="A900" s="484"/>
      <c r="B900" s="484"/>
      <c r="C900" s="484"/>
      <c r="D900" s="484"/>
      <c r="E900" s="484"/>
      <c r="F900" s="484"/>
      <c r="G900" s="484"/>
      <c r="H900" s="484"/>
      <c r="I900" s="484"/>
      <c r="J900" s="484"/>
      <c r="K900" s="484"/>
      <c r="L900" s="484"/>
      <c r="M900" s="484"/>
      <c r="N900" s="484"/>
      <c r="O900" s="484"/>
      <c r="P900" s="484"/>
      <c r="Q900" s="484"/>
      <c r="R900" s="484"/>
      <c r="S900" s="484"/>
      <c r="T900" s="484"/>
      <c r="U900" s="484"/>
      <c r="V900" s="484"/>
      <c r="W900" s="484"/>
      <c r="X900" s="484"/>
      <c r="Y900" s="484"/>
    </row>
    <row r="901">
      <c r="A901" s="484"/>
      <c r="B901" s="484"/>
      <c r="C901" s="484"/>
      <c r="D901" s="484"/>
      <c r="E901" s="484"/>
      <c r="F901" s="484"/>
      <c r="G901" s="484"/>
      <c r="H901" s="484"/>
      <c r="I901" s="484"/>
      <c r="J901" s="484"/>
      <c r="K901" s="484"/>
      <c r="L901" s="484"/>
      <c r="M901" s="484"/>
      <c r="N901" s="484"/>
      <c r="O901" s="484"/>
      <c r="P901" s="484"/>
      <c r="Q901" s="484"/>
      <c r="R901" s="484"/>
      <c r="S901" s="484"/>
      <c r="T901" s="484"/>
      <c r="U901" s="484"/>
      <c r="V901" s="484"/>
      <c r="W901" s="484"/>
      <c r="X901" s="484"/>
      <c r="Y901" s="484"/>
    </row>
    <row r="902">
      <c r="A902" s="484"/>
      <c r="B902" s="484"/>
      <c r="C902" s="484"/>
      <c r="D902" s="484"/>
      <c r="E902" s="484"/>
      <c r="F902" s="484"/>
      <c r="G902" s="484"/>
      <c r="H902" s="484"/>
      <c r="I902" s="484"/>
      <c r="J902" s="484"/>
      <c r="K902" s="484"/>
      <c r="L902" s="484"/>
      <c r="M902" s="484"/>
      <c r="N902" s="484"/>
      <c r="O902" s="484"/>
      <c r="P902" s="484"/>
      <c r="Q902" s="484"/>
      <c r="R902" s="484"/>
      <c r="S902" s="484"/>
      <c r="T902" s="484"/>
      <c r="U902" s="484"/>
      <c r="V902" s="484"/>
      <c r="W902" s="484"/>
      <c r="X902" s="484"/>
      <c r="Y902" s="484"/>
    </row>
    <row r="903">
      <c r="A903" s="484"/>
      <c r="B903" s="484"/>
      <c r="C903" s="484"/>
      <c r="D903" s="484"/>
      <c r="E903" s="484"/>
      <c r="F903" s="484"/>
      <c r="G903" s="484"/>
      <c r="H903" s="484"/>
      <c r="I903" s="484"/>
      <c r="J903" s="484"/>
      <c r="K903" s="484"/>
      <c r="L903" s="484"/>
      <c r="M903" s="484"/>
      <c r="N903" s="484"/>
      <c r="O903" s="484"/>
      <c r="P903" s="484"/>
      <c r="Q903" s="484"/>
      <c r="R903" s="484"/>
      <c r="S903" s="484"/>
      <c r="T903" s="484"/>
      <c r="U903" s="484"/>
      <c r="V903" s="484"/>
      <c r="W903" s="484"/>
      <c r="X903" s="484"/>
      <c r="Y903" s="484"/>
    </row>
    <row r="904">
      <c r="A904" s="484"/>
      <c r="B904" s="484"/>
      <c r="C904" s="484"/>
      <c r="D904" s="484"/>
      <c r="E904" s="484"/>
      <c r="F904" s="484"/>
      <c r="G904" s="484"/>
      <c r="H904" s="484"/>
      <c r="I904" s="484"/>
      <c r="J904" s="484"/>
      <c r="K904" s="484"/>
      <c r="L904" s="484"/>
      <c r="M904" s="484"/>
      <c r="N904" s="484"/>
      <c r="O904" s="484"/>
      <c r="P904" s="484"/>
      <c r="Q904" s="484"/>
      <c r="R904" s="484"/>
      <c r="S904" s="484"/>
      <c r="T904" s="484"/>
      <c r="U904" s="484"/>
      <c r="V904" s="484"/>
      <c r="W904" s="484"/>
      <c r="X904" s="484"/>
      <c r="Y904" s="484"/>
    </row>
    <row r="905">
      <c r="A905" s="484"/>
      <c r="B905" s="484"/>
      <c r="C905" s="484"/>
      <c r="D905" s="484"/>
      <c r="E905" s="484"/>
      <c r="F905" s="484"/>
      <c r="G905" s="484"/>
      <c r="H905" s="484"/>
      <c r="I905" s="484"/>
      <c r="J905" s="484"/>
      <c r="K905" s="484"/>
      <c r="L905" s="484"/>
      <c r="M905" s="484"/>
      <c r="N905" s="484"/>
      <c r="O905" s="484"/>
      <c r="P905" s="484"/>
      <c r="Q905" s="484"/>
      <c r="R905" s="484"/>
      <c r="S905" s="484"/>
      <c r="T905" s="484"/>
      <c r="U905" s="484"/>
      <c r="V905" s="484"/>
      <c r="W905" s="484"/>
      <c r="X905" s="484"/>
      <c r="Y905" s="484"/>
    </row>
    <row r="906">
      <c r="A906" s="484"/>
      <c r="B906" s="484"/>
      <c r="C906" s="484"/>
      <c r="D906" s="484"/>
      <c r="E906" s="484"/>
      <c r="F906" s="484"/>
      <c r="G906" s="484"/>
      <c r="H906" s="484"/>
      <c r="I906" s="484"/>
      <c r="J906" s="484"/>
      <c r="K906" s="484"/>
      <c r="L906" s="484"/>
      <c r="M906" s="484"/>
      <c r="N906" s="484"/>
      <c r="O906" s="484"/>
      <c r="P906" s="484"/>
      <c r="Q906" s="484"/>
      <c r="R906" s="484"/>
      <c r="S906" s="484"/>
      <c r="T906" s="484"/>
      <c r="U906" s="484"/>
      <c r="V906" s="484"/>
      <c r="W906" s="484"/>
      <c r="X906" s="484"/>
      <c r="Y906" s="484"/>
    </row>
    <row r="907">
      <c r="A907" s="484"/>
      <c r="B907" s="484"/>
      <c r="C907" s="484"/>
      <c r="D907" s="484"/>
      <c r="E907" s="484"/>
      <c r="F907" s="484"/>
      <c r="G907" s="484"/>
      <c r="H907" s="484"/>
      <c r="I907" s="484"/>
      <c r="J907" s="484"/>
      <c r="K907" s="484"/>
      <c r="L907" s="484"/>
      <c r="M907" s="484"/>
      <c r="N907" s="484"/>
      <c r="O907" s="484"/>
      <c r="P907" s="484"/>
      <c r="Q907" s="484"/>
      <c r="R907" s="484"/>
      <c r="S907" s="484"/>
      <c r="T907" s="484"/>
      <c r="U907" s="484"/>
      <c r="V907" s="484"/>
      <c r="W907" s="484"/>
      <c r="X907" s="484"/>
      <c r="Y907" s="484"/>
    </row>
    <row r="908">
      <c r="A908" s="484"/>
      <c r="B908" s="484"/>
      <c r="C908" s="484"/>
      <c r="D908" s="484"/>
      <c r="E908" s="484"/>
      <c r="F908" s="484"/>
      <c r="G908" s="484"/>
      <c r="H908" s="484"/>
      <c r="I908" s="484"/>
      <c r="J908" s="484"/>
      <c r="K908" s="484"/>
      <c r="L908" s="484"/>
      <c r="M908" s="484"/>
      <c r="N908" s="484"/>
      <c r="O908" s="484"/>
      <c r="P908" s="484"/>
      <c r="Q908" s="484"/>
      <c r="R908" s="484"/>
      <c r="S908" s="484"/>
      <c r="T908" s="484"/>
      <c r="U908" s="484"/>
      <c r="V908" s="484"/>
      <c r="W908" s="484"/>
      <c r="X908" s="484"/>
      <c r="Y908" s="484"/>
    </row>
    <row r="909">
      <c r="A909" s="484"/>
      <c r="B909" s="484"/>
      <c r="C909" s="484"/>
      <c r="D909" s="484"/>
      <c r="E909" s="484"/>
      <c r="F909" s="484"/>
      <c r="G909" s="484"/>
      <c r="H909" s="484"/>
      <c r="I909" s="484"/>
      <c r="J909" s="484"/>
      <c r="K909" s="484"/>
      <c r="L909" s="484"/>
      <c r="M909" s="484"/>
      <c r="N909" s="484"/>
      <c r="O909" s="484"/>
      <c r="P909" s="484"/>
      <c r="Q909" s="484"/>
      <c r="R909" s="484"/>
      <c r="S909" s="484"/>
      <c r="T909" s="484"/>
      <c r="U909" s="484"/>
      <c r="V909" s="484"/>
      <c r="W909" s="484"/>
      <c r="X909" s="484"/>
      <c r="Y909" s="484"/>
    </row>
    <row r="910">
      <c r="A910" s="484"/>
      <c r="B910" s="484"/>
      <c r="C910" s="484"/>
      <c r="D910" s="484"/>
      <c r="E910" s="484"/>
      <c r="F910" s="484"/>
      <c r="G910" s="484"/>
      <c r="H910" s="484"/>
      <c r="I910" s="484"/>
      <c r="J910" s="484"/>
      <c r="K910" s="484"/>
      <c r="L910" s="484"/>
      <c r="M910" s="484"/>
      <c r="N910" s="484"/>
      <c r="O910" s="484"/>
      <c r="P910" s="484"/>
      <c r="Q910" s="484"/>
      <c r="R910" s="484"/>
      <c r="S910" s="484"/>
      <c r="T910" s="484"/>
      <c r="U910" s="484"/>
      <c r="V910" s="484"/>
      <c r="W910" s="484"/>
      <c r="X910" s="484"/>
      <c r="Y910" s="484"/>
    </row>
    <row r="911">
      <c r="A911" s="484"/>
      <c r="B911" s="484"/>
      <c r="C911" s="484"/>
      <c r="D911" s="484"/>
      <c r="E911" s="484"/>
      <c r="F911" s="484"/>
      <c r="G911" s="484"/>
      <c r="H911" s="484"/>
      <c r="I911" s="484"/>
      <c r="J911" s="484"/>
      <c r="K911" s="484"/>
      <c r="L911" s="484"/>
      <c r="M911" s="484"/>
      <c r="N911" s="484"/>
      <c r="O911" s="484"/>
      <c r="P911" s="484"/>
      <c r="Q911" s="484"/>
      <c r="R911" s="484"/>
      <c r="S911" s="484"/>
      <c r="T911" s="484"/>
      <c r="U911" s="484"/>
      <c r="V911" s="484"/>
      <c r="W911" s="484"/>
      <c r="X911" s="484"/>
      <c r="Y911" s="484"/>
    </row>
    <row r="912">
      <c r="A912" s="484"/>
      <c r="B912" s="484"/>
      <c r="C912" s="484"/>
      <c r="D912" s="484"/>
      <c r="E912" s="484"/>
      <c r="F912" s="484"/>
      <c r="G912" s="484"/>
      <c r="H912" s="484"/>
      <c r="I912" s="484"/>
      <c r="J912" s="484"/>
      <c r="K912" s="484"/>
      <c r="L912" s="484"/>
      <c r="M912" s="484"/>
      <c r="N912" s="484"/>
      <c r="O912" s="484"/>
      <c r="P912" s="484"/>
      <c r="Q912" s="484"/>
      <c r="R912" s="484"/>
      <c r="S912" s="484"/>
      <c r="T912" s="484"/>
      <c r="U912" s="484"/>
      <c r="V912" s="484"/>
      <c r="W912" s="484"/>
      <c r="X912" s="484"/>
      <c r="Y912" s="484"/>
    </row>
    <row r="913">
      <c r="A913" s="484"/>
      <c r="B913" s="484"/>
      <c r="C913" s="484"/>
      <c r="D913" s="484"/>
      <c r="E913" s="484"/>
      <c r="F913" s="484"/>
      <c r="G913" s="484"/>
      <c r="H913" s="484"/>
      <c r="I913" s="484"/>
      <c r="J913" s="484"/>
      <c r="K913" s="484"/>
      <c r="L913" s="484"/>
      <c r="M913" s="484"/>
      <c r="N913" s="484"/>
      <c r="O913" s="484"/>
      <c r="P913" s="484"/>
      <c r="Q913" s="484"/>
      <c r="R913" s="484"/>
      <c r="S913" s="484"/>
      <c r="T913" s="484"/>
      <c r="U913" s="484"/>
      <c r="V913" s="484"/>
      <c r="W913" s="484"/>
      <c r="X913" s="484"/>
      <c r="Y913" s="484"/>
    </row>
    <row r="914">
      <c r="A914" s="484"/>
      <c r="B914" s="484"/>
      <c r="C914" s="484"/>
      <c r="D914" s="484"/>
      <c r="E914" s="484"/>
      <c r="F914" s="484"/>
      <c r="G914" s="484"/>
      <c r="H914" s="484"/>
      <c r="I914" s="484"/>
      <c r="J914" s="484"/>
      <c r="K914" s="484"/>
      <c r="L914" s="484"/>
      <c r="M914" s="484"/>
      <c r="N914" s="484"/>
      <c r="O914" s="484"/>
      <c r="P914" s="484"/>
      <c r="Q914" s="484"/>
      <c r="R914" s="484"/>
      <c r="S914" s="484"/>
      <c r="T914" s="484"/>
      <c r="U914" s="484"/>
      <c r="V914" s="484"/>
      <c r="W914" s="484"/>
      <c r="X914" s="484"/>
      <c r="Y914" s="484"/>
    </row>
    <row r="915">
      <c r="A915" s="484"/>
      <c r="B915" s="484"/>
      <c r="C915" s="484"/>
      <c r="D915" s="484"/>
      <c r="E915" s="484"/>
      <c r="F915" s="484"/>
      <c r="G915" s="484"/>
      <c r="H915" s="484"/>
      <c r="I915" s="484"/>
      <c r="J915" s="484"/>
      <c r="K915" s="484"/>
      <c r="L915" s="484"/>
      <c r="M915" s="484"/>
      <c r="N915" s="484"/>
      <c r="O915" s="484"/>
      <c r="P915" s="484"/>
      <c r="Q915" s="484"/>
      <c r="R915" s="484"/>
      <c r="S915" s="484"/>
      <c r="T915" s="484"/>
      <c r="U915" s="484"/>
      <c r="V915" s="484"/>
      <c r="W915" s="484"/>
      <c r="X915" s="484"/>
      <c r="Y915" s="484"/>
    </row>
    <row r="916">
      <c r="A916" s="484"/>
      <c r="B916" s="484"/>
      <c r="C916" s="484"/>
      <c r="D916" s="484"/>
      <c r="E916" s="484"/>
      <c r="F916" s="484"/>
      <c r="G916" s="484"/>
      <c r="H916" s="484"/>
      <c r="I916" s="484"/>
      <c r="J916" s="484"/>
      <c r="K916" s="484"/>
      <c r="L916" s="484"/>
      <c r="M916" s="484"/>
      <c r="N916" s="484"/>
      <c r="O916" s="484"/>
      <c r="P916" s="484"/>
      <c r="Q916" s="484"/>
      <c r="R916" s="484"/>
      <c r="S916" s="484"/>
      <c r="T916" s="484"/>
      <c r="U916" s="484"/>
      <c r="V916" s="484"/>
      <c r="W916" s="484"/>
      <c r="X916" s="484"/>
      <c r="Y916" s="484"/>
    </row>
    <row r="917">
      <c r="A917" s="484"/>
      <c r="B917" s="484"/>
      <c r="C917" s="484"/>
      <c r="D917" s="484"/>
      <c r="E917" s="484"/>
      <c r="F917" s="484"/>
      <c r="G917" s="484"/>
      <c r="H917" s="484"/>
      <c r="I917" s="484"/>
      <c r="J917" s="484"/>
      <c r="K917" s="484"/>
      <c r="L917" s="484"/>
      <c r="M917" s="484"/>
      <c r="N917" s="484"/>
      <c r="O917" s="484"/>
      <c r="P917" s="484"/>
      <c r="Q917" s="484"/>
      <c r="R917" s="484"/>
      <c r="S917" s="484"/>
      <c r="T917" s="484"/>
      <c r="U917" s="484"/>
      <c r="V917" s="484"/>
      <c r="W917" s="484"/>
      <c r="X917" s="484"/>
      <c r="Y917" s="484"/>
    </row>
    <row r="918">
      <c r="A918" s="484"/>
      <c r="B918" s="484"/>
      <c r="C918" s="484"/>
      <c r="D918" s="484"/>
      <c r="E918" s="484"/>
      <c r="F918" s="484"/>
      <c r="G918" s="484"/>
      <c r="H918" s="484"/>
      <c r="I918" s="484"/>
      <c r="J918" s="484"/>
      <c r="K918" s="484"/>
      <c r="L918" s="484"/>
      <c r="M918" s="484"/>
      <c r="N918" s="484"/>
      <c r="O918" s="484"/>
      <c r="P918" s="484"/>
      <c r="Q918" s="484"/>
      <c r="R918" s="484"/>
      <c r="S918" s="484"/>
      <c r="T918" s="484"/>
      <c r="U918" s="484"/>
      <c r="V918" s="484"/>
      <c r="W918" s="484"/>
      <c r="X918" s="484"/>
      <c r="Y918" s="484"/>
    </row>
    <row r="919">
      <c r="A919" s="484"/>
      <c r="B919" s="484"/>
      <c r="C919" s="484"/>
      <c r="D919" s="484"/>
      <c r="E919" s="484"/>
      <c r="F919" s="484"/>
      <c r="G919" s="484"/>
      <c r="H919" s="484"/>
      <c r="I919" s="484"/>
      <c r="J919" s="484"/>
      <c r="K919" s="484"/>
      <c r="L919" s="484"/>
      <c r="M919" s="484"/>
      <c r="N919" s="484"/>
      <c r="O919" s="484"/>
      <c r="P919" s="484"/>
      <c r="Q919" s="484"/>
      <c r="R919" s="484"/>
      <c r="S919" s="484"/>
      <c r="T919" s="484"/>
      <c r="U919" s="484"/>
      <c r="V919" s="484"/>
      <c r="W919" s="484"/>
      <c r="X919" s="484"/>
      <c r="Y919" s="484"/>
    </row>
    <row r="920">
      <c r="A920" s="484"/>
      <c r="B920" s="484"/>
      <c r="C920" s="484"/>
      <c r="D920" s="484"/>
      <c r="E920" s="484"/>
      <c r="F920" s="484"/>
      <c r="G920" s="484"/>
      <c r="H920" s="484"/>
      <c r="I920" s="484"/>
      <c r="J920" s="484"/>
      <c r="K920" s="484"/>
      <c r="L920" s="484"/>
      <c r="M920" s="484"/>
      <c r="N920" s="484"/>
      <c r="O920" s="484"/>
      <c r="P920" s="484"/>
      <c r="Q920" s="484"/>
      <c r="R920" s="484"/>
      <c r="S920" s="484"/>
      <c r="T920" s="484"/>
      <c r="U920" s="484"/>
      <c r="V920" s="484"/>
      <c r="W920" s="484"/>
      <c r="X920" s="484"/>
      <c r="Y920" s="484"/>
    </row>
    <row r="921">
      <c r="A921" s="484"/>
      <c r="B921" s="484"/>
      <c r="C921" s="484"/>
      <c r="D921" s="484"/>
      <c r="E921" s="484"/>
      <c r="F921" s="484"/>
      <c r="G921" s="484"/>
      <c r="H921" s="484"/>
      <c r="I921" s="484"/>
      <c r="J921" s="484"/>
      <c r="K921" s="484"/>
      <c r="L921" s="484"/>
      <c r="M921" s="484"/>
      <c r="N921" s="484"/>
      <c r="O921" s="484"/>
      <c r="P921" s="484"/>
      <c r="Q921" s="484"/>
      <c r="R921" s="484"/>
      <c r="S921" s="484"/>
      <c r="T921" s="484"/>
      <c r="U921" s="484"/>
      <c r="V921" s="484"/>
      <c r="W921" s="484"/>
      <c r="X921" s="484"/>
      <c r="Y921" s="484"/>
    </row>
    <row r="922">
      <c r="A922" s="484"/>
      <c r="B922" s="484"/>
      <c r="C922" s="484"/>
      <c r="D922" s="484"/>
      <c r="E922" s="484"/>
      <c r="F922" s="484"/>
      <c r="G922" s="484"/>
      <c r="H922" s="484"/>
      <c r="I922" s="484"/>
      <c r="J922" s="484"/>
      <c r="K922" s="484"/>
      <c r="L922" s="484"/>
      <c r="M922" s="484"/>
      <c r="N922" s="484"/>
      <c r="O922" s="484"/>
      <c r="P922" s="484"/>
      <c r="Q922" s="484"/>
      <c r="R922" s="484"/>
      <c r="S922" s="484"/>
      <c r="T922" s="484"/>
      <c r="U922" s="484"/>
      <c r="V922" s="484"/>
      <c r="W922" s="484"/>
      <c r="X922" s="484"/>
      <c r="Y922" s="484"/>
    </row>
    <row r="923">
      <c r="A923" s="484"/>
      <c r="B923" s="484"/>
      <c r="C923" s="484"/>
      <c r="D923" s="484"/>
      <c r="E923" s="484"/>
      <c r="F923" s="484"/>
      <c r="G923" s="484"/>
      <c r="H923" s="484"/>
      <c r="I923" s="484"/>
      <c r="J923" s="484"/>
      <c r="K923" s="484"/>
      <c r="L923" s="484"/>
      <c r="M923" s="484"/>
      <c r="N923" s="484"/>
      <c r="O923" s="484"/>
      <c r="P923" s="484"/>
      <c r="Q923" s="484"/>
      <c r="R923" s="484"/>
      <c r="S923" s="484"/>
      <c r="T923" s="484"/>
      <c r="U923" s="484"/>
      <c r="V923" s="484"/>
      <c r="W923" s="484"/>
      <c r="X923" s="484"/>
      <c r="Y923" s="484"/>
    </row>
    <row r="924">
      <c r="A924" s="484"/>
      <c r="B924" s="484"/>
      <c r="C924" s="484"/>
      <c r="D924" s="484"/>
      <c r="E924" s="484"/>
      <c r="F924" s="484"/>
      <c r="G924" s="484"/>
      <c r="H924" s="484"/>
      <c r="I924" s="484"/>
      <c r="J924" s="484"/>
      <c r="K924" s="484"/>
      <c r="L924" s="484"/>
      <c r="M924" s="484"/>
      <c r="N924" s="484"/>
      <c r="O924" s="484"/>
      <c r="P924" s="484"/>
      <c r="Q924" s="484"/>
      <c r="R924" s="484"/>
      <c r="S924" s="484"/>
      <c r="T924" s="484"/>
      <c r="U924" s="484"/>
      <c r="V924" s="484"/>
      <c r="W924" s="484"/>
      <c r="X924" s="484"/>
      <c r="Y924" s="484"/>
    </row>
    <row r="925">
      <c r="A925" s="484"/>
      <c r="B925" s="484"/>
      <c r="C925" s="484"/>
      <c r="D925" s="484"/>
      <c r="E925" s="484"/>
      <c r="F925" s="484"/>
      <c r="G925" s="484"/>
      <c r="H925" s="484"/>
      <c r="I925" s="484"/>
      <c r="J925" s="484"/>
      <c r="K925" s="484"/>
      <c r="L925" s="484"/>
      <c r="M925" s="484"/>
      <c r="N925" s="484"/>
      <c r="O925" s="484"/>
      <c r="P925" s="484"/>
      <c r="Q925" s="484"/>
      <c r="R925" s="484"/>
      <c r="S925" s="484"/>
      <c r="T925" s="484"/>
      <c r="U925" s="484"/>
      <c r="V925" s="484"/>
      <c r="W925" s="484"/>
      <c r="X925" s="484"/>
      <c r="Y925" s="484"/>
    </row>
    <row r="926">
      <c r="A926" s="484"/>
      <c r="B926" s="484"/>
      <c r="C926" s="484"/>
      <c r="D926" s="484"/>
      <c r="E926" s="484"/>
      <c r="F926" s="484"/>
      <c r="G926" s="484"/>
      <c r="H926" s="484"/>
      <c r="I926" s="484"/>
      <c r="J926" s="484"/>
      <c r="K926" s="484"/>
      <c r="L926" s="484"/>
      <c r="M926" s="484"/>
      <c r="N926" s="484"/>
      <c r="O926" s="484"/>
      <c r="P926" s="484"/>
      <c r="Q926" s="484"/>
      <c r="R926" s="484"/>
      <c r="S926" s="484"/>
      <c r="T926" s="484"/>
      <c r="U926" s="484"/>
      <c r="V926" s="484"/>
      <c r="W926" s="484"/>
      <c r="X926" s="484"/>
      <c r="Y926" s="484"/>
    </row>
    <row r="927">
      <c r="A927" s="484"/>
      <c r="B927" s="484"/>
      <c r="C927" s="484"/>
      <c r="D927" s="484"/>
      <c r="E927" s="484"/>
      <c r="F927" s="484"/>
      <c r="G927" s="484"/>
      <c r="H927" s="484"/>
      <c r="I927" s="484"/>
      <c r="J927" s="484"/>
      <c r="K927" s="484"/>
      <c r="L927" s="484"/>
      <c r="M927" s="484"/>
      <c r="N927" s="484"/>
      <c r="O927" s="484"/>
      <c r="P927" s="484"/>
      <c r="Q927" s="484"/>
      <c r="R927" s="484"/>
      <c r="S927" s="484"/>
      <c r="T927" s="484"/>
      <c r="U927" s="484"/>
      <c r="V927" s="484"/>
      <c r="W927" s="484"/>
      <c r="X927" s="484"/>
      <c r="Y927" s="484"/>
    </row>
    <row r="928">
      <c r="A928" s="484"/>
      <c r="B928" s="484"/>
      <c r="C928" s="484"/>
      <c r="D928" s="484"/>
      <c r="E928" s="484"/>
      <c r="F928" s="484"/>
      <c r="G928" s="484"/>
      <c r="H928" s="484"/>
      <c r="I928" s="484"/>
      <c r="J928" s="484"/>
      <c r="K928" s="484"/>
      <c r="L928" s="484"/>
      <c r="M928" s="484"/>
      <c r="N928" s="484"/>
      <c r="O928" s="484"/>
      <c r="P928" s="484"/>
      <c r="Q928" s="484"/>
      <c r="R928" s="484"/>
      <c r="S928" s="484"/>
      <c r="T928" s="484"/>
      <c r="U928" s="484"/>
      <c r="V928" s="484"/>
      <c r="W928" s="484"/>
      <c r="X928" s="484"/>
      <c r="Y928" s="484"/>
    </row>
    <row r="929">
      <c r="A929" s="484"/>
      <c r="B929" s="484"/>
      <c r="C929" s="484"/>
      <c r="D929" s="484"/>
      <c r="E929" s="484"/>
      <c r="F929" s="484"/>
      <c r="G929" s="484"/>
      <c r="H929" s="484"/>
      <c r="I929" s="484"/>
      <c r="J929" s="484"/>
      <c r="K929" s="484"/>
      <c r="L929" s="484"/>
      <c r="M929" s="484"/>
      <c r="N929" s="484"/>
      <c r="O929" s="484"/>
      <c r="P929" s="484"/>
      <c r="Q929" s="484"/>
      <c r="R929" s="484"/>
      <c r="S929" s="484"/>
      <c r="T929" s="484"/>
      <c r="U929" s="484"/>
      <c r="V929" s="484"/>
      <c r="W929" s="484"/>
      <c r="X929" s="484"/>
      <c r="Y929" s="484"/>
    </row>
    <row r="930">
      <c r="A930" s="484"/>
      <c r="B930" s="484"/>
      <c r="C930" s="484"/>
      <c r="D930" s="484"/>
      <c r="E930" s="484"/>
      <c r="F930" s="484"/>
      <c r="G930" s="484"/>
      <c r="H930" s="484"/>
      <c r="I930" s="484"/>
      <c r="J930" s="484"/>
      <c r="K930" s="484"/>
      <c r="L930" s="484"/>
      <c r="M930" s="484"/>
      <c r="N930" s="484"/>
      <c r="O930" s="484"/>
      <c r="P930" s="484"/>
      <c r="Q930" s="484"/>
      <c r="R930" s="484"/>
      <c r="S930" s="484"/>
      <c r="T930" s="484"/>
      <c r="U930" s="484"/>
      <c r="V930" s="484"/>
      <c r="W930" s="484"/>
      <c r="X930" s="484"/>
      <c r="Y930" s="484"/>
    </row>
    <row r="931">
      <c r="A931" s="484"/>
      <c r="B931" s="484"/>
      <c r="C931" s="484"/>
      <c r="D931" s="484"/>
      <c r="E931" s="484"/>
      <c r="F931" s="484"/>
      <c r="G931" s="484"/>
      <c r="H931" s="484"/>
      <c r="I931" s="484"/>
      <c r="J931" s="484"/>
      <c r="K931" s="484"/>
      <c r="L931" s="484"/>
      <c r="M931" s="484"/>
      <c r="N931" s="484"/>
      <c r="O931" s="484"/>
      <c r="P931" s="484"/>
      <c r="Q931" s="484"/>
      <c r="R931" s="484"/>
      <c r="S931" s="484"/>
      <c r="T931" s="484"/>
      <c r="U931" s="484"/>
      <c r="V931" s="484"/>
      <c r="W931" s="484"/>
      <c r="X931" s="484"/>
      <c r="Y931" s="484"/>
    </row>
    <row r="932">
      <c r="A932" s="484"/>
      <c r="B932" s="484"/>
      <c r="C932" s="484"/>
      <c r="D932" s="484"/>
      <c r="E932" s="484"/>
      <c r="F932" s="484"/>
      <c r="G932" s="484"/>
      <c r="H932" s="484"/>
      <c r="I932" s="484"/>
      <c r="J932" s="484"/>
      <c r="K932" s="484"/>
      <c r="L932" s="484"/>
      <c r="M932" s="484"/>
      <c r="N932" s="484"/>
      <c r="O932" s="484"/>
      <c r="P932" s="484"/>
      <c r="Q932" s="484"/>
      <c r="R932" s="484"/>
      <c r="S932" s="484"/>
      <c r="T932" s="484"/>
      <c r="U932" s="484"/>
      <c r="V932" s="484"/>
      <c r="W932" s="484"/>
      <c r="X932" s="484"/>
      <c r="Y932" s="484"/>
    </row>
    <row r="933">
      <c r="A933" s="484"/>
      <c r="B933" s="484"/>
      <c r="C933" s="484"/>
      <c r="D933" s="484"/>
      <c r="E933" s="484"/>
      <c r="F933" s="484"/>
      <c r="G933" s="484"/>
      <c r="H933" s="484"/>
      <c r="I933" s="484"/>
      <c r="J933" s="484"/>
      <c r="K933" s="484"/>
      <c r="L933" s="484"/>
      <c r="M933" s="484"/>
      <c r="N933" s="484"/>
      <c r="O933" s="484"/>
      <c r="P933" s="484"/>
      <c r="Q933" s="484"/>
      <c r="R933" s="484"/>
      <c r="S933" s="484"/>
      <c r="T933" s="484"/>
      <c r="U933" s="484"/>
      <c r="V933" s="484"/>
      <c r="W933" s="484"/>
      <c r="X933" s="484"/>
      <c r="Y933" s="484"/>
    </row>
    <row r="934">
      <c r="A934" s="484"/>
      <c r="B934" s="484"/>
      <c r="C934" s="484"/>
      <c r="D934" s="484"/>
      <c r="E934" s="484"/>
      <c r="F934" s="484"/>
      <c r="G934" s="484"/>
      <c r="H934" s="484"/>
      <c r="I934" s="484"/>
      <c r="J934" s="484"/>
      <c r="K934" s="484"/>
      <c r="L934" s="484"/>
      <c r="M934" s="484"/>
      <c r="N934" s="484"/>
      <c r="O934" s="484"/>
      <c r="P934" s="484"/>
      <c r="Q934" s="484"/>
      <c r="R934" s="484"/>
      <c r="S934" s="484"/>
      <c r="T934" s="484"/>
      <c r="U934" s="484"/>
      <c r="V934" s="484"/>
      <c r="W934" s="484"/>
      <c r="X934" s="484"/>
      <c r="Y934" s="484"/>
    </row>
    <row r="935">
      <c r="A935" s="484"/>
      <c r="B935" s="484"/>
      <c r="C935" s="484"/>
      <c r="D935" s="484"/>
      <c r="E935" s="484"/>
      <c r="F935" s="484"/>
      <c r="G935" s="484"/>
      <c r="H935" s="484"/>
      <c r="I935" s="484"/>
      <c r="J935" s="484"/>
      <c r="K935" s="484"/>
      <c r="L935" s="484"/>
      <c r="M935" s="484"/>
      <c r="N935" s="484"/>
      <c r="O935" s="484"/>
      <c r="P935" s="484"/>
      <c r="Q935" s="484"/>
      <c r="R935" s="484"/>
      <c r="S935" s="484"/>
      <c r="T935" s="484"/>
      <c r="U935" s="484"/>
      <c r="V935" s="484"/>
      <c r="W935" s="484"/>
      <c r="X935" s="484"/>
      <c r="Y935" s="484"/>
    </row>
    <row r="936">
      <c r="A936" s="484"/>
      <c r="B936" s="484"/>
      <c r="C936" s="484"/>
      <c r="D936" s="484"/>
      <c r="E936" s="484"/>
      <c r="F936" s="484"/>
      <c r="G936" s="484"/>
      <c r="H936" s="484"/>
      <c r="I936" s="484"/>
      <c r="J936" s="484"/>
      <c r="K936" s="484"/>
      <c r="L936" s="484"/>
      <c r="M936" s="484"/>
      <c r="N936" s="484"/>
      <c r="O936" s="484"/>
      <c r="P936" s="484"/>
      <c r="Q936" s="484"/>
      <c r="R936" s="484"/>
      <c r="S936" s="484"/>
      <c r="T936" s="484"/>
      <c r="U936" s="484"/>
      <c r="V936" s="484"/>
      <c r="W936" s="484"/>
      <c r="X936" s="484"/>
      <c r="Y936" s="484"/>
    </row>
    <row r="937">
      <c r="A937" s="484"/>
      <c r="B937" s="484"/>
      <c r="C937" s="484"/>
      <c r="D937" s="484"/>
      <c r="E937" s="484"/>
      <c r="F937" s="484"/>
      <c r="G937" s="484"/>
      <c r="H937" s="484"/>
      <c r="I937" s="484"/>
      <c r="J937" s="484"/>
      <c r="K937" s="484"/>
      <c r="L937" s="484"/>
      <c r="M937" s="484"/>
      <c r="N937" s="484"/>
      <c r="O937" s="484"/>
      <c r="P937" s="484"/>
      <c r="Q937" s="484"/>
      <c r="R937" s="484"/>
      <c r="S937" s="484"/>
      <c r="T937" s="484"/>
      <c r="U937" s="484"/>
      <c r="V937" s="484"/>
      <c r="W937" s="484"/>
      <c r="X937" s="484"/>
      <c r="Y937" s="484"/>
    </row>
    <row r="938">
      <c r="A938" s="484"/>
      <c r="B938" s="484"/>
      <c r="C938" s="484"/>
      <c r="D938" s="484"/>
      <c r="E938" s="484"/>
      <c r="F938" s="484"/>
      <c r="G938" s="484"/>
      <c r="H938" s="484"/>
      <c r="I938" s="484"/>
      <c r="J938" s="484"/>
      <c r="K938" s="484"/>
      <c r="L938" s="484"/>
      <c r="M938" s="484"/>
      <c r="N938" s="484"/>
      <c r="O938" s="484"/>
      <c r="P938" s="484"/>
      <c r="Q938" s="484"/>
      <c r="R938" s="484"/>
      <c r="S938" s="484"/>
      <c r="T938" s="484"/>
      <c r="U938" s="484"/>
      <c r="V938" s="484"/>
      <c r="W938" s="484"/>
      <c r="X938" s="484"/>
      <c r="Y938" s="484"/>
    </row>
    <row r="939">
      <c r="A939" s="484"/>
      <c r="B939" s="484"/>
      <c r="C939" s="484"/>
      <c r="D939" s="484"/>
      <c r="E939" s="484"/>
      <c r="F939" s="484"/>
      <c r="G939" s="484"/>
      <c r="H939" s="484"/>
      <c r="I939" s="484"/>
      <c r="J939" s="484"/>
      <c r="K939" s="484"/>
      <c r="L939" s="484"/>
      <c r="M939" s="484"/>
      <c r="N939" s="484"/>
      <c r="O939" s="484"/>
      <c r="P939" s="484"/>
      <c r="Q939" s="484"/>
      <c r="R939" s="484"/>
      <c r="S939" s="484"/>
      <c r="T939" s="484"/>
      <c r="U939" s="484"/>
      <c r="V939" s="484"/>
      <c r="W939" s="484"/>
      <c r="X939" s="484"/>
      <c r="Y939" s="484"/>
    </row>
    <row r="940">
      <c r="A940" s="484"/>
      <c r="B940" s="484"/>
      <c r="C940" s="484"/>
      <c r="D940" s="484"/>
      <c r="E940" s="484"/>
      <c r="F940" s="484"/>
      <c r="G940" s="484"/>
      <c r="H940" s="484"/>
      <c r="I940" s="484"/>
      <c r="J940" s="484"/>
      <c r="K940" s="484"/>
      <c r="L940" s="484"/>
      <c r="M940" s="484"/>
      <c r="N940" s="484"/>
      <c r="O940" s="484"/>
      <c r="P940" s="484"/>
      <c r="Q940" s="484"/>
      <c r="R940" s="484"/>
      <c r="S940" s="484"/>
      <c r="T940" s="484"/>
      <c r="U940" s="484"/>
      <c r="V940" s="484"/>
      <c r="W940" s="484"/>
      <c r="X940" s="484"/>
      <c r="Y940" s="484"/>
    </row>
    <row r="941">
      <c r="A941" s="484"/>
      <c r="B941" s="484"/>
      <c r="C941" s="484"/>
      <c r="D941" s="484"/>
      <c r="E941" s="484"/>
      <c r="F941" s="484"/>
      <c r="G941" s="484"/>
      <c r="H941" s="484"/>
      <c r="I941" s="484"/>
      <c r="J941" s="484"/>
      <c r="K941" s="484"/>
      <c r="L941" s="484"/>
      <c r="M941" s="484"/>
      <c r="N941" s="484"/>
      <c r="O941" s="484"/>
      <c r="P941" s="484"/>
      <c r="Q941" s="484"/>
      <c r="R941" s="484"/>
      <c r="S941" s="484"/>
      <c r="T941" s="484"/>
      <c r="U941" s="484"/>
      <c r="V941" s="484"/>
      <c r="W941" s="484"/>
      <c r="X941" s="484"/>
      <c r="Y941" s="484"/>
    </row>
    <row r="942">
      <c r="A942" s="484"/>
      <c r="B942" s="484"/>
      <c r="C942" s="484"/>
      <c r="D942" s="484"/>
      <c r="E942" s="484"/>
      <c r="F942" s="484"/>
      <c r="G942" s="484"/>
      <c r="H942" s="484"/>
      <c r="I942" s="484"/>
      <c r="J942" s="484"/>
      <c r="K942" s="484"/>
      <c r="L942" s="484"/>
      <c r="M942" s="484"/>
      <c r="N942" s="484"/>
      <c r="O942" s="484"/>
      <c r="P942" s="484"/>
      <c r="Q942" s="484"/>
      <c r="R942" s="484"/>
      <c r="S942" s="484"/>
      <c r="T942" s="484"/>
      <c r="U942" s="484"/>
      <c r="V942" s="484"/>
      <c r="W942" s="484"/>
      <c r="X942" s="484"/>
      <c r="Y942" s="484"/>
    </row>
    <row r="943">
      <c r="A943" s="484"/>
      <c r="B943" s="484"/>
      <c r="C943" s="484"/>
      <c r="D943" s="484"/>
      <c r="E943" s="484"/>
      <c r="F943" s="484"/>
      <c r="G943" s="484"/>
      <c r="H943" s="484"/>
      <c r="I943" s="484"/>
      <c r="J943" s="484"/>
      <c r="K943" s="484"/>
      <c r="L943" s="484"/>
      <c r="M943" s="484"/>
      <c r="N943" s="484"/>
      <c r="O943" s="484"/>
      <c r="P943" s="484"/>
      <c r="Q943" s="484"/>
      <c r="R943" s="484"/>
      <c r="S943" s="484"/>
      <c r="T943" s="484"/>
      <c r="U943" s="484"/>
      <c r="V943" s="484"/>
      <c r="W943" s="484"/>
      <c r="X943" s="484"/>
      <c r="Y943" s="484"/>
    </row>
    <row r="944">
      <c r="A944" s="484"/>
      <c r="B944" s="484"/>
      <c r="C944" s="484"/>
      <c r="D944" s="484"/>
      <c r="E944" s="484"/>
      <c r="F944" s="484"/>
      <c r="G944" s="484"/>
      <c r="H944" s="484"/>
      <c r="I944" s="484"/>
      <c r="J944" s="484"/>
      <c r="K944" s="484"/>
      <c r="L944" s="484"/>
      <c r="M944" s="484"/>
      <c r="N944" s="484"/>
      <c r="O944" s="484"/>
      <c r="P944" s="484"/>
      <c r="Q944" s="484"/>
      <c r="R944" s="484"/>
      <c r="S944" s="484"/>
      <c r="T944" s="484"/>
      <c r="U944" s="484"/>
      <c r="V944" s="484"/>
      <c r="W944" s="484"/>
      <c r="X944" s="484"/>
      <c r="Y944" s="484"/>
    </row>
    <row r="945">
      <c r="A945" s="484"/>
      <c r="B945" s="484"/>
      <c r="C945" s="484"/>
      <c r="D945" s="484"/>
      <c r="E945" s="484"/>
      <c r="F945" s="484"/>
      <c r="G945" s="484"/>
      <c r="H945" s="484"/>
      <c r="I945" s="484"/>
      <c r="J945" s="484"/>
      <c r="K945" s="484"/>
      <c r="L945" s="484"/>
      <c r="M945" s="484"/>
      <c r="N945" s="484"/>
      <c r="O945" s="484"/>
      <c r="P945" s="484"/>
      <c r="Q945" s="484"/>
      <c r="R945" s="484"/>
      <c r="S945" s="484"/>
      <c r="T945" s="484"/>
      <c r="U945" s="484"/>
      <c r="V945" s="484"/>
      <c r="W945" s="484"/>
      <c r="X945" s="484"/>
      <c r="Y945" s="484"/>
    </row>
    <row r="946">
      <c r="A946" s="484"/>
      <c r="B946" s="484"/>
      <c r="C946" s="484"/>
      <c r="D946" s="484"/>
      <c r="E946" s="484"/>
      <c r="F946" s="484"/>
      <c r="G946" s="484"/>
      <c r="H946" s="484"/>
      <c r="I946" s="484"/>
      <c r="J946" s="484"/>
      <c r="K946" s="484"/>
      <c r="L946" s="484"/>
      <c r="M946" s="484"/>
      <c r="N946" s="484"/>
      <c r="O946" s="484"/>
      <c r="P946" s="484"/>
      <c r="Q946" s="484"/>
      <c r="R946" s="484"/>
      <c r="S946" s="484"/>
      <c r="T946" s="484"/>
      <c r="U946" s="484"/>
      <c r="V946" s="484"/>
      <c r="W946" s="484"/>
      <c r="X946" s="484"/>
      <c r="Y946" s="484"/>
    </row>
    <row r="947">
      <c r="A947" s="484"/>
      <c r="B947" s="484"/>
      <c r="C947" s="484"/>
      <c r="D947" s="484"/>
      <c r="E947" s="484"/>
      <c r="F947" s="484"/>
      <c r="G947" s="484"/>
      <c r="H947" s="484"/>
      <c r="I947" s="484"/>
      <c r="J947" s="484"/>
      <c r="K947" s="484"/>
      <c r="L947" s="484"/>
      <c r="M947" s="484"/>
      <c r="N947" s="484"/>
      <c r="O947" s="484"/>
      <c r="P947" s="484"/>
      <c r="Q947" s="484"/>
      <c r="R947" s="484"/>
      <c r="S947" s="484"/>
      <c r="T947" s="484"/>
      <c r="U947" s="484"/>
      <c r="V947" s="484"/>
      <c r="W947" s="484"/>
      <c r="X947" s="484"/>
      <c r="Y947" s="484"/>
    </row>
    <row r="948">
      <c r="A948" s="484"/>
      <c r="B948" s="484"/>
      <c r="C948" s="484"/>
      <c r="D948" s="484"/>
      <c r="E948" s="484"/>
      <c r="F948" s="484"/>
      <c r="G948" s="484"/>
      <c r="H948" s="484"/>
      <c r="I948" s="484"/>
      <c r="J948" s="484"/>
      <c r="K948" s="484"/>
      <c r="L948" s="484"/>
      <c r="M948" s="484"/>
      <c r="N948" s="484"/>
      <c r="O948" s="484"/>
      <c r="P948" s="484"/>
      <c r="Q948" s="484"/>
      <c r="R948" s="484"/>
      <c r="S948" s="484"/>
      <c r="T948" s="484"/>
      <c r="U948" s="484"/>
      <c r="V948" s="484"/>
      <c r="W948" s="484"/>
      <c r="X948" s="484"/>
      <c r="Y948" s="484"/>
    </row>
    <row r="949">
      <c r="A949" s="484"/>
      <c r="B949" s="484"/>
      <c r="C949" s="484"/>
      <c r="D949" s="484"/>
      <c r="E949" s="484"/>
      <c r="F949" s="484"/>
      <c r="G949" s="484"/>
      <c r="H949" s="484"/>
      <c r="I949" s="484"/>
      <c r="J949" s="484"/>
      <c r="K949" s="484"/>
      <c r="L949" s="484"/>
      <c r="M949" s="484"/>
      <c r="N949" s="484"/>
      <c r="O949" s="484"/>
      <c r="P949" s="484"/>
      <c r="Q949" s="484"/>
      <c r="R949" s="484"/>
      <c r="S949" s="484"/>
      <c r="T949" s="484"/>
      <c r="U949" s="484"/>
      <c r="V949" s="484"/>
      <c r="W949" s="484"/>
      <c r="X949" s="484"/>
      <c r="Y949" s="484"/>
    </row>
    <row r="950">
      <c r="A950" s="484"/>
      <c r="B950" s="484"/>
      <c r="C950" s="484"/>
      <c r="D950" s="484"/>
      <c r="E950" s="484"/>
      <c r="F950" s="484"/>
      <c r="G950" s="484"/>
      <c r="H950" s="484"/>
      <c r="I950" s="484"/>
      <c r="J950" s="484"/>
      <c r="K950" s="484"/>
      <c r="L950" s="484"/>
      <c r="M950" s="484"/>
      <c r="N950" s="484"/>
      <c r="O950" s="484"/>
      <c r="P950" s="484"/>
      <c r="Q950" s="484"/>
      <c r="R950" s="484"/>
      <c r="S950" s="484"/>
      <c r="T950" s="484"/>
      <c r="U950" s="484"/>
      <c r="V950" s="484"/>
      <c r="W950" s="484"/>
      <c r="X950" s="484"/>
      <c r="Y950" s="484"/>
    </row>
    <row r="951">
      <c r="A951" s="484"/>
      <c r="B951" s="484"/>
      <c r="C951" s="484"/>
      <c r="D951" s="484"/>
      <c r="E951" s="484"/>
      <c r="F951" s="484"/>
      <c r="G951" s="484"/>
      <c r="H951" s="484"/>
      <c r="I951" s="484"/>
      <c r="J951" s="484"/>
      <c r="K951" s="484"/>
      <c r="L951" s="484"/>
      <c r="M951" s="484"/>
      <c r="N951" s="484"/>
      <c r="O951" s="484"/>
      <c r="P951" s="484"/>
      <c r="Q951" s="484"/>
      <c r="R951" s="484"/>
      <c r="S951" s="484"/>
      <c r="T951" s="484"/>
      <c r="U951" s="484"/>
      <c r="V951" s="484"/>
      <c r="W951" s="484"/>
      <c r="X951" s="484"/>
      <c r="Y951" s="484"/>
    </row>
    <row r="952">
      <c r="A952" s="484"/>
      <c r="B952" s="484"/>
      <c r="C952" s="484"/>
      <c r="D952" s="484"/>
      <c r="E952" s="484"/>
      <c r="F952" s="484"/>
      <c r="G952" s="484"/>
      <c r="H952" s="484"/>
      <c r="I952" s="484"/>
      <c r="J952" s="484"/>
      <c r="K952" s="484"/>
      <c r="L952" s="484"/>
      <c r="M952" s="484"/>
      <c r="N952" s="484"/>
      <c r="O952" s="484"/>
      <c r="P952" s="484"/>
      <c r="Q952" s="484"/>
      <c r="R952" s="484"/>
      <c r="S952" s="484"/>
      <c r="T952" s="484"/>
      <c r="U952" s="484"/>
      <c r="V952" s="484"/>
      <c r="W952" s="484"/>
      <c r="X952" s="484"/>
      <c r="Y952" s="484"/>
    </row>
    <row r="953">
      <c r="A953" s="484"/>
      <c r="B953" s="484"/>
      <c r="C953" s="484"/>
      <c r="D953" s="484"/>
      <c r="E953" s="484"/>
      <c r="F953" s="484"/>
      <c r="G953" s="484"/>
      <c r="H953" s="484"/>
      <c r="I953" s="484"/>
      <c r="J953" s="484"/>
      <c r="K953" s="484"/>
      <c r="L953" s="484"/>
      <c r="M953" s="484"/>
      <c r="N953" s="484"/>
      <c r="O953" s="484"/>
      <c r="P953" s="484"/>
      <c r="Q953" s="484"/>
      <c r="R953" s="484"/>
      <c r="S953" s="484"/>
      <c r="T953" s="484"/>
      <c r="U953" s="484"/>
      <c r="V953" s="484"/>
      <c r="W953" s="484"/>
      <c r="X953" s="484"/>
      <c r="Y953" s="484"/>
    </row>
    <row r="954">
      <c r="A954" s="484"/>
      <c r="B954" s="484"/>
      <c r="C954" s="484"/>
      <c r="D954" s="484"/>
      <c r="E954" s="484"/>
      <c r="F954" s="484"/>
      <c r="G954" s="484"/>
      <c r="H954" s="484"/>
      <c r="I954" s="484"/>
      <c r="J954" s="484"/>
      <c r="K954" s="484"/>
      <c r="L954" s="484"/>
      <c r="M954" s="484"/>
      <c r="N954" s="484"/>
      <c r="O954" s="484"/>
      <c r="P954" s="484"/>
      <c r="Q954" s="484"/>
      <c r="R954" s="484"/>
      <c r="S954" s="484"/>
      <c r="T954" s="484"/>
      <c r="U954" s="484"/>
      <c r="V954" s="484"/>
      <c r="W954" s="484"/>
      <c r="X954" s="484"/>
      <c r="Y954" s="484"/>
    </row>
    <row r="955">
      <c r="A955" s="484"/>
      <c r="B955" s="484"/>
      <c r="C955" s="484"/>
      <c r="D955" s="484"/>
      <c r="E955" s="484"/>
      <c r="F955" s="484"/>
      <c r="G955" s="484"/>
      <c r="H955" s="484"/>
      <c r="I955" s="484"/>
      <c r="J955" s="484"/>
      <c r="K955" s="484"/>
      <c r="L955" s="484"/>
      <c r="M955" s="484"/>
      <c r="N955" s="484"/>
      <c r="O955" s="484"/>
      <c r="P955" s="484"/>
      <c r="Q955" s="484"/>
      <c r="R955" s="484"/>
      <c r="S955" s="484"/>
      <c r="T955" s="484"/>
      <c r="U955" s="484"/>
      <c r="V955" s="484"/>
      <c r="W955" s="484"/>
      <c r="X955" s="484"/>
      <c r="Y955" s="484"/>
    </row>
    <row r="956">
      <c r="A956" s="484"/>
      <c r="B956" s="484"/>
      <c r="C956" s="484"/>
      <c r="D956" s="484"/>
      <c r="E956" s="484"/>
      <c r="F956" s="484"/>
      <c r="G956" s="484"/>
      <c r="H956" s="484"/>
      <c r="I956" s="484"/>
      <c r="J956" s="484"/>
      <c r="K956" s="484"/>
      <c r="L956" s="484"/>
      <c r="M956" s="484"/>
      <c r="N956" s="484"/>
      <c r="O956" s="484"/>
      <c r="P956" s="484"/>
      <c r="Q956" s="484"/>
      <c r="R956" s="484"/>
      <c r="S956" s="484"/>
      <c r="T956" s="484"/>
      <c r="U956" s="484"/>
      <c r="V956" s="484"/>
      <c r="W956" s="484"/>
      <c r="X956" s="484"/>
      <c r="Y956" s="484"/>
    </row>
    <row r="957">
      <c r="A957" s="484"/>
      <c r="B957" s="484"/>
      <c r="C957" s="484"/>
      <c r="D957" s="484"/>
      <c r="E957" s="484"/>
      <c r="F957" s="484"/>
      <c r="G957" s="484"/>
      <c r="H957" s="484"/>
      <c r="I957" s="484"/>
      <c r="J957" s="484"/>
      <c r="K957" s="484"/>
      <c r="L957" s="484"/>
      <c r="M957" s="484"/>
      <c r="N957" s="484"/>
      <c r="O957" s="484"/>
      <c r="P957" s="484"/>
      <c r="Q957" s="484"/>
      <c r="R957" s="484"/>
      <c r="S957" s="484"/>
      <c r="T957" s="484"/>
      <c r="U957" s="484"/>
      <c r="V957" s="484"/>
      <c r="W957" s="484"/>
      <c r="X957" s="484"/>
      <c r="Y957" s="484"/>
    </row>
    <row r="958">
      <c r="A958" s="484"/>
      <c r="B958" s="484"/>
      <c r="C958" s="484"/>
      <c r="D958" s="484"/>
      <c r="E958" s="484"/>
      <c r="F958" s="484"/>
      <c r="G958" s="484"/>
      <c r="H958" s="484"/>
      <c r="I958" s="484"/>
      <c r="J958" s="484"/>
      <c r="K958" s="484"/>
      <c r="L958" s="484"/>
      <c r="M958" s="484"/>
      <c r="N958" s="484"/>
      <c r="O958" s="484"/>
      <c r="P958" s="484"/>
      <c r="Q958" s="484"/>
      <c r="R958" s="484"/>
      <c r="S958" s="484"/>
      <c r="T958" s="484"/>
      <c r="U958" s="484"/>
      <c r="V958" s="484"/>
      <c r="W958" s="484"/>
      <c r="X958" s="484"/>
      <c r="Y958" s="484"/>
    </row>
    <row r="959">
      <c r="A959" s="484"/>
      <c r="B959" s="484"/>
      <c r="C959" s="484"/>
      <c r="D959" s="484"/>
      <c r="E959" s="484"/>
      <c r="F959" s="484"/>
      <c r="G959" s="484"/>
      <c r="H959" s="484"/>
      <c r="I959" s="484"/>
      <c r="J959" s="484"/>
      <c r="K959" s="484"/>
      <c r="L959" s="484"/>
      <c r="M959" s="484"/>
      <c r="N959" s="484"/>
      <c r="O959" s="484"/>
      <c r="P959" s="484"/>
      <c r="Q959" s="484"/>
      <c r="R959" s="484"/>
      <c r="S959" s="484"/>
      <c r="T959" s="484"/>
      <c r="U959" s="484"/>
      <c r="V959" s="484"/>
      <c r="W959" s="484"/>
      <c r="X959" s="484"/>
      <c r="Y959" s="484"/>
    </row>
    <row r="960">
      <c r="A960" s="484"/>
      <c r="B960" s="484"/>
      <c r="C960" s="484"/>
      <c r="D960" s="484"/>
      <c r="E960" s="484"/>
      <c r="F960" s="484"/>
      <c r="G960" s="484"/>
      <c r="H960" s="484"/>
      <c r="I960" s="484"/>
      <c r="J960" s="484"/>
      <c r="K960" s="484"/>
      <c r="L960" s="484"/>
      <c r="M960" s="484"/>
      <c r="N960" s="484"/>
      <c r="O960" s="484"/>
      <c r="P960" s="484"/>
      <c r="Q960" s="484"/>
      <c r="R960" s="484"/>
      <c r="S960" s="484"/>
      <c r="T960" s="484"/>
      <c r="U960" s="484"/>
      <c r="V960" s="484"/>
      <c r="W960" s="484"/>
      <c r="X960" s="484"/>
      <c r="Y960" s="484"/>
    </row>
    <row r="961">
      <c r="A961" s="484"/>
      <c r="B961" s="484"/>
      <c r="C961" s="484"/>
      <c r="D961" s="484"/>
      <c r="E961" s="484"/>
      <c r="F961" s="484"/>
      <c r="G961" s="484"/>
      <c r="H961" s="484"/>
      <c r="I961" s="484"/>
      <c r="J961" s="484"/>
      <c r="K961" s="484"/>
      <c r="L961" s="484"/>
      <c r="M961" s="484"/>
      <c r="N961" s="484"/>
      <c r="O961" s="484"/>
      <c r="P961" s="484"/>
      <c r="Q961" s="484"/>
      <c r="R961" s="484"/>
      <c r="S961" s="484"/>
      <c r="T961" s="484"/>
      <c r="U961" s="484"/>
      <c r="V961" s="484"/>
      <c r="W961" s="484"/>
      <c r="X961" s="484"/>
      <c r="Y961" s="484"/>
    </row>
    <row r="962">
      <c r="A962" s="484"/>
      <c r="B962" s="484"/>
      <c r="C962" s="484"/>
      <c r="D962" s="484"/>
      <c r="E962" s="484"/>
      <c r="F962" s="484"/>
      <c r="G962" s="484"/>
      <c r="H962" s="484"/>
      <c r="I962" s="484"/>
      <c r="J962" s="484"/>
      <c r="K962" s="484"/>
      <c r="L962" s="484"/>
      <c r="M962" s="484"/>
      <c r="N962" s="484"/>
      <c r="O962" s="484"/>
      <c r="P962" s="484"/>
      <c r="Q962" s="484"/>
      <c r="R962" s="484"/>
      <c r="S962" s="484"/>
      <c r="T962" s="484"/>
      <c r="U962" s="484"/>
      <c r="V962" s="484"/>
      <c r="W962" s="484"/>
      <c r="X962" s="484"/>
      <c r="Y962" s="484"/>
    </row>
    <row r="963">
      <c r="A963" s="484"/>
      <c r="B963" s="484"/>
      <c r="C963" s="484"/>
      <c r="D963" s="484"/>
      <c r="E963" s="484"/>
      <c r="F963" s="484"/>
      <c r="G963" s="484"/>
      <c r="H963" s="484"/>
      <c r="I963" s="484"/>
      <c r="J963" s="484"/>
      <c r="K963" s="484"/>
      <c r="L963" s="484"/>
      <c r="M963" s="484"/>
      <c r="N963" s="484"/>
      <c r="O963" s="484"/>
      <c r="P963" s="484"/>
      <c r="Q963" s="484"/>
      <c r="R963" s="484"/>
      <c r="S963" s="484"/>
      <c r="T963" s="484"/>
      <c r="U963" s="484"/>
      <c r="V963" s="484"/>
      <c r="W963" s="484"/>
      <c r="X963" s="484"/>
      <c r="Y963" s="484"/>
    </row>
    <row r="964">
      <c r="A964" s="484"/>
      <c r="B964" s="484"/>
      <c r="C964" s="484"/>
      <c r="D964" s="484"/>
      <c r="E964" s="484"/>
      <c r="F964" s="484"/>
      <c r="G964" s="484"/>
      <c r="H964" s="484"/>
      <c r="I964" s="484"/>
      <c r="J964" s="484"/>
      <c r="K964" s="484"/>
      <c r="L964" s="484"/>
      <c r="M964" s="484"/>
      <c r="N964" s="484"/>
      <c r="O964" s="484"/>
      <c r="P964" s="484"/>
      <c r="Q964" s="484"/>
      <c r="R964" s="484"/>
      <c r="S964" s="484"/>
      <c r="T964" s="484"/>
      <c r="U964" s="484"/>
      <c r="V964" s="484"/>
      <c r="W964" s="484"/>
      <c r="X964" s="484"/>
      <c r="Y964" s="484"/>
    </row>
    <row r="965">
      <c r="A965" s="484"/>
      <c r="B965" s="484"/>
      <c r="C965" s="484"/>
      <c r="D965" s="484"/>
      <c r="E965" s="484"/>
      <c r="F965" s="484"/>
      <c r="G965" s="484"/>
      <c r="H965" s="484"/>
      <c r="I965" s="484"/>
      <c r="J965" s="484"/>
      <c r="K965" s="484"/>
      <c r="L965" s="484"/>
      <c r="M965" s="484"/>
      <c r="N965" s="484"/>
      <c r="O965" s="484"/>
      <c r="P965" s="484"/>
      <c r="Q965" s="484"/>
      <c r="R965" s="484"/>
      <c r="S965" s="484"/>
      <c r="T965" s="484"/>
      <c r="U965" s="484"/>
      <c r="V965" s="484"/>
      <c r="W965" s="484"/>
      <c r="X965" s="484"/>
      <c r="Y965" s="484"/>
    </row>
    <row r="966">
      <c r="A966" s="484"/>
      <c r="B966" s="484"/>
      <c r="C966" s="484"/>
      <c r="D966" s="484"/>
      <c r="E966" s="484"/>
      <c r="F966" s="484"/>
      <c r="G966" s="484"/>
      <c r="H966" s="484"/>
      <c r="I966" s="484"/>
      <c r="J966" s="484"/>
      <c r="K966" s="484"/>
      <c r="L966" s="484"/>
      <c r="M966" s="484"/>
      <c r="N966" s="484"/>
      <c r="O966" s="484"/>
      <c r="P966" s="484"/>
      <c r="Q966" s="484"/>
      <c r="R966" s="484"/>
      <c r="S966" s="484"/>
      <c r="T966" s="484"/>
      <c r="U966" s="484"/>
      <c r="V966" s="484"/>
      <c r="W966" s="484"/>
      <c r="X966" s="484"/>
      <c r="Y966" s="484"/>
    </row>
    <row r="967">
      <c r="A967" s="484"/>
      <c r="B967" s="484"/>
      <c r="C967" s="484"/>
      <c r="D967" s="484"/>
      <c r="E967" s="484"/>
      <c r="F967" s="484"/>
      <c r="G967" s="484"/>
      <c r="H967" s="484"/>
      <c r="I967" s="484"/>
      <c r="J967" s="484"/>
      <c r="K967" s="484"/>
      <c r="L967" s="484"/>
      <c r="M967" s="484"/>
      <c r="N967" s="484"/>
      <c r="O967" s="484"/>
      <c r="P967" s="484"/>
      <c r="Q967" s="484"/>
      <c r="R967" s="484"/>
      <c r="S967" s="484"/>
      <c r="T967" s="484"/>
      <c r="U967" s="484"/>
      <c r="V967" s="484"/>
      <c r="W967" s="484"/>
      <c r="X967" s="484"/>
      <c r="Y967" s="484"/>
    </row>
    <row r="968">
      <c r="A968" s="484"/>
      <c r="B968" s="484"/>
      <c r="C968" s="484"/>
      <c r="D968" s="484"/>
      <c r="E968" s="484"/>
      <c r="F968" s="484"/>
      <c r="G968" s="484"/>
      <c r="H968" s="484"/>
      <c r="I968" s="484"/>
      <c r="J968" s="484"/>
      <c r="K968" s="484"/>
      <c r="L968" s="484"/>
      <c r="M968" s="484"/>
      <c r="N968" s="484"/>
      <c r="O968" s="484"/>
      <c r="P968" s="484"/>
      <c r="Q968" s="484"/>
      <c r="R968" s="484"/>
      <c r="S968" s="484"/>
      <c r="T968" s="484"/>
      <c r="U968" s="484"/>
      <c r="V968" s="484"/>
      <c r="W968" s="484"/>
      <c r="X968" s="484"/>
      <c r="Y968" s="484"/>
    </row>
    <row r="969">
      <c r="A969" s="484"/>
      <c r="B969" s="484"/>
      <c r="C969" s="484"/>
      <c r="D969" s="484"/>
      <c r="E969" s="484"/>
      <c r="F969" s="484"/>
      <c r="G969" s="484"/>
      <c r="H969" s="484"/>
      <c r="I969" s="484"/>
      <c r="J969" s="484"/>
      <c r="K969" s="484"/>
      <c r="L969" s="484"/>
      <c r="M969" s="484"/>
      <c r="N969" s="484"/>
      <c r="O969" s="484"/>
      <c r="P969" s="484"/>
      <c r="Q969" s="484"/>
      <c r="R969" s="484"/>
      <c r="S969" s="484"/>
      <c r="T969" s="484"/>
      <c r="U969" s="484"/>
      <c r="V969" s="484"/>
      <c r="W969" s="484"/>
      <c r="X969" s="484"/>
      <c r="Y969" s="484"/>
    </row>
    <row r="970">
      <c r="A970" s="484"/>
      <c r="B970" s="484"/>
      <c r="C970" s="484"/>
      <c r="D970" s="484"/>
      <c r="E970" s="484"/>
      <c r="F970" s="484"/>
      <c r="G970" s="484"/>
      <c r="H970" s="484"/>
      <c r="I970" s="484"/>
      <c r="J970" s="484"/>
      <c r="K970" s="484"/>
      <c r="L970" s="484"/>
      <c r="M970" s="484"/>
      <c r="N970" s="484"/>
      <c r="O970" s="484"/>
      <c r="P970" s="484"/>
      <c r="Q970" s="484"/>
      <c r="R970" s="484"/>
      <c r="S970" s="484"/>
      <c r="T970" s="484"/>
      <c r="U970" s="484"/>
      <c r="V970" s="484"/>
      <c r="W970" s="484"/>
      <c r="X970" s="484"/>
      <c r="Y970" s="484"/>
    </row>
    <row r="971">
      <c r="A971" s="484"/>
      <c r="B971" s="484"/>
      <c r="C971" s="484"/>
      <c r="D971" s="484"/>
      <c r="E971" s="484"/>
      <c r="F971" s="484"/>
      <c r="G971" s="484"/>
      <c r="H971" s="484"/>
      <c r="I971" s="484"/>
      <c r="J971" s="484"/>
      <c r="K971" s="484"/>
      <c r="L971" s="484"/>
      <c r="M971" s="484"/>
      <c r="N971" s="484"/>
      <c r="O971" s="484"/>
      <c r="P971" s="484"/>
      <c r="Q971" s="484"/>
      <c r="R971" s="484"/>
      <c r="S971" s="484"/>
      <c r="T971" s="484"/>
      <c r="U971" s="484"/>
      <c r="V971" s="484"/>
      <c r="W971" s="484"/>
      <c r="X971" s="484"/>
      <c r="Y971" s="484"/>
    </row>
    <row r="972">
      <c r="A972" s="484"/>
      <c r="B972" s="484"/>
      <c r="C972" s="484"/>
      <c r="D972" s="484"/>
      <c r="E972" s="484"/>
      <c r="F972" s="484"/>
      <c r="G972" s="484"/>
      <c r="H972" s="484"/>
      <c r="I972" s="484"/>
      <c r="J972" s="484"/>
      <c r="K972" s="484"/>
      <c r="L972" s="484"/>
      <c r="M972" s="484"/>
      <c r="N972" s="484"/>
      <c r="O972" s="484"/>
      <c r="P972" s="484"/>
      <c r="Q972" s="484"/>
      <c r="R972" s="484"/>
      <c r="S972" s="484"/>
      <c r="T972" s="484"/>
      <c r="U972" s="484"/>
      <c r="V972" s="484"/>
      <c r="W972" s="484"/>
      <c r="X972" s="484"/>
      <c r="Y972" s="484"/>
    </row>
    <row r="973">
      <c r="A973" s="484"/>
      <c r="B973" s="484"/>
      <c r="C973" s="484"/>
      <c r="D973" s="484"/>
      <c r="E973" s="484"/>
      <c r="F973" s="484"/>
      <c r="G973" s="484"/>
      <c r="H973" s="484"/>
      <c r="I973" s="484"/>
      <c r="J973" s="484"/>
      <c r="K973" s="484"/>
      <c r="L973" s="484"/>
      <c r="M973" s="484"/>
      <c r="N973" s="484"/>
      <c r="O973" s="484"/>
      <c r="P973" s="484"/>
      <c r="Q973" s="484"/>
      <c r="R973" s="484"/>
      <c r="S973" s="484"/>
      <c r="T973" s="484"/>
      <c r="U973" s="484"/>
      <c r="V973" s="484"/>
      <c r="W973" s="484"/>
      <c r="X973" s="484"/>
      <c r="Y973" s="484"/>
    </row>
    <row r="974">
      <c r="A974" s="484"/>
      <c r="B974" s="484"/>
      <c r="C974" s="484"/>
      <c r="D974" s="484"/>
      <c r="E974" s="484"/>
      <c r="F974" s="484"/>
      <c r="G974" s="484"/>
      <c r="H974" s="484"/>
      <c r="I974" s="484"/>
      <c r="J974" s="484"/>
      <c r="K974" s="484"/>
      <c r="L974" s="484"/>
      <c r="M974" s="484"/>
      <c r="N974" s="484"/>
      <c r="O974" s="484"/>
      <c r="P974" s="484"/>
      <c r="Q974" s="484"/>
      <c r="R974" s="484"/>
      <c r="S974" s="484"/>
      <c r="T974" s="484"/>
      <c r="U974" s="484"/>
      <c r="V974" s="484"/>
      <c r="W974" s="484"/>
      <c r="X974" s="484"/>
      <c r="Y974" s="484"/>
    </row>
    <row r="975">
      <c r="A975" s="484"/>
      <c r="B975" s="484"/>
      <c r="C975" s="484"/>
      <c r="D975" s="484"/>
      <c r="E975" s="484"/>
      <c r="F975" s="484"/>
      <c r="G975" s="484"/>
      <c r="H975" s="484"/>
      <c r="I975" s="484"/>
      <c r="J975" s="484"/>
      <c r="K975" s="484"/>
      <c r="L975" s="484"/>
      <c r="M975" s="484"/>
      <c r="N975" s="484"/>
      <c r="O975" s="484"/>
      <c r="P975" s="484"/>
      <c r="Q975" s="484"/>
      <c r="R975" s="484"/>
      <c r="S975" s="484"/>
      <c r="T975" s="484"/>
      <c r="U975" s="484"/>
      <c r="V975" s="484"/>
      <c r="W975" s="484"/>
      <c r="X975" s="484"/>
      <c r="Y975" s="484"/>
    </row>
    <row r="976">
      <c r="A976" s="484"/>
      <c r="B976" s="484"/>
      <c r="C976" s="484"/>
      <c r="D976" s="484"/>
      <c r="E976" s="484"/>
      <c r="F976" s="484"/>
      <c r="G976" s="484"/>
      <c r="H976" s="484"/>
      <c r="I976" s="484"/>
      <c r="J976" s="484"/>
      <c r="K976" s="484"/>
      <c r="L976" s="484"/>
      <c r="M976" s="484"/>
      <c r="N976" s="484"/>
      <c r="O976" s="484"/>
      <c r="P976" s="484"/>
      <c r="Q976" s="484"/>
      <c r="R976" s="484"/>
      <c r="S976" s="484"/>
      <c r="T976" s="484"/>
      <c r="U976" s="484"/>
      <c r="V976" s="484"/>
      <c r="W976" s="484"/>
      <c r="X976" s="484"/>
      <c r="Y976" s="484"/>
    </row>
    <row r="977">
      <c r="A977" s="484"/>
      <c r="B977" s="484"/>
      <c r="C977" s="484"/>
      <c r="D977" s="484"/>
      <c r="E977" s="484"/>
      <c r="F977" s="484"/>
      <c r="G977" s="484"/>
      <c r="H977" s="484"/>
      <c r="I977" s="484"/>
      <c r="J977" s="484"/>
      <c r="K977" s="484"/>
      <c r="L977" s="484"/>
      <c r="M977" s="484"/>
      <c r="N977" s="484"/>
      <c r="O977" s="484"/>
      <c r="P977" s="484"/>
      <c r="Q977" s="484"/>
      <c r="R977" s="484"/>
      <c r="S977" s="484"/>
      <c r="T977" s="484"/>
      <c r="U977" s="484"/>
      <c r="V977" s="484"/>
      <c r="W977" s="484"/>
      <c r="X977" s="484"/>
      <c r="Y977" s="484"/>
    </row>
    <row r="978">
      <c r="A978" s="484"/>
      <c r="B978" s="484"/>
      <c r="C978" s="484"/>
      <c r="D978" s="484"/>
      <c r="E978" s="484"/>
      <c r="F978" s="484"/>
      <c r="G978" s="484"/>
      <c r="H978" s="484"/>
      <c r="I978" s="484"/>
      <c r="J978" s="484"/>
      <c r="K978" s="484"/>
      <c r="L978" s="484"/>
      <c r="M978" s="484"/>
      <c r="N978" s="484"/>
      <c r="O978" s="484"/>
      <c r="P978" s="484"/>
      <c r="Q978" s="484"/>
      <c r="R978" s="484"/>
      <c r="S978" s="484"/>
      <c r="T978" s="484"/>
      <c r="U978" s="484"/>
      <c r="V978" s="484"/>
      <c r="W978" s="484"/>
      <c r="X978" s="484"/>
      <c r="Y978" s="484"/>
    </row>
    <row r="979">
      <c r="A979" s="484"/>
      <c r="B979" s="484"/>
      <c r="C979" s="484"/>
      <c r="D979" s="484"/>
      <c r="E979" s="484"/>
      <c r="F979" s="484"/>
      <c r="G979" s="484"/>
      <c r="H979" s="484"/>
      <c r="I979" s="484"/>
      <c r="J979" s="484"/>
      <c r="K979" s="484"/>
      <c r="L979" s="484"/>
      <c r="M979" s="484"/>
      <c r="N979" s="484"/>
      <c r="O979" s="484"/>
      <c r="P979" s="484"/>
      <c r="Q979" s="484"/>
      <c r="R979" s="484"/>
      <c r="S979" s="484"/>
      <c r="T979" s="484"/>
      <c r="U979" s="484"/>
      <c r="V979" s="484"/>
      <c r="W979" s="484"/>
      <c r="X979" s="484"/>
      <c r="Y979" s="484"/>
    </row>
    <row r="980">
      <c r="A980" s="484"/>
      <c r="B980" s="484"/>
      <c r="C980" s="484"/>
      <c r="D980" s="484"/>
      <c r="E980" s="484"/>
      <c r="F980" s="484"/>
      <c r="G980" s="484"/>
      <c r="H980" s="484"/>
      <c r="I980" s="484"/>
      <c r="J980" s="484"/>
      <c r="K980" s="484"/>
      <c r="L980" s="484"/>
      <c r="M980" s="484"/>
      <c r="N980" s="484"/>
      <c r="O980" s="484"/>
      <c r="P980" s="484"/>
      <c r="Q980" s="484"/>
      <c r="R980" s="484"/>
      <c r="S980" s="484"/>
      <c r="T980" s="484"/>
      <c r="U980" s="484"/>
      <c r="V980" s="484"/>
      <c r="W980" s="484"/>
      <c r="X980" s="484"/>
      <c r="Y980" s="484"/>
    </row>
    <row r="981">
      <c r="A981" s="484"/>
      <c r="B981" s="484"/>
      <c r="C981" s="484"/>
      <c r="D981" s="484"/>
      <c r="E981" s="484"/>
      <c r="F981" s="484"/>
      <c r="G981" s="484"/>
      <c r="H981" s="484"/>
      <c r="I981" s="484"/>
      <c r="J981" s="484"/>
      <c r="K981" s="484"/>
      <c r="L981" s="484"/>
      <c r="M981" s="484"/>
      <c r="N981" s="484"/>
      <c r="O981" s="484"/>
      <c r="P981" s="484"/>
      <c r="Q981" s="484"/>
      <c r="R981" s="484"/>
      <c r="S981" s="484"/>
      <c r="T981" s="484"/>
      <c r="U981" s="484"/>
      <c r="V981" s="484"/>
      <c r="W981" s="484"/>
      <c r="X981" s="484"/>
      <c r="Y981" s="484"/>
    </row>
    <row r="982">
      <c r="A982" s="484"/>
      <c r="B982" s="484"/>
      <c r="C982" s="484"/>
      <c r="D982" s="484"/>
      <c r="E982" s="484"/>
      <c r="F982" s="484"/>
      <c r="G982" s="484"/>
      <c r="H982" s="484"/>
      <c r="I982" s="484"/>
      <c r="J982" s="484"/>
      <c r="K982" s="484"/>
      <c r="L982" s="484"/>
      <c r="M982" s="484"/>
      <c r="N982" s="484"/>
      <c r="O982" s="484"/>
      <c r="P982" s="484"/>
      <c r="Q982" s="484"/>
      <c r="R982" s="484"/>
      <c r="S982" s="484"/>
      <c r="T982" s="484"/>
      <c r="U982" s="484"/>
      <c r="V982" s="484"/>
      <c r="W982" s="484"/>
      <c r="X982" s="484"/>
      <c r="Y982" s="484"/>
    </row>
    <row r="983">
      <c r="A983" s="484"/>
      <c r="B983" s="484"/>
      <c r="C983" s="484"/>
      <c r="D983" s="484"/>
      <c r="E983" s="484"/>
      <c r="F983" s="484"/>
      <c r="G983" s="484"/>
      <c r="H983" s="484"/>
      <c r="I983" s="484"/>
      <c r="J983" s="484"/>
      <c r="K983" s="484"/>
      <c r="L983" s="484"/>
      <c r="M983" s="484"/>
      <c r="N983" s="484"/>
      <c r="O983" s="484"/>
      <c r="P983" s="484"/>
      <c r="Q983" s="484"/>
      <c r="R983" s="484"/>
      <c r="S983" s="484"/>
      <c r="T983" s="484"/>
      <c r="U983" s="484"/>
      <c r="V983" s="484"/>
      <c r="W983" s="484"/>
      <c r="X983" s="484"/>
      <c r="Y983" s="484"/>
    </row>
    <row r="984">
      <c r="A984" s="484"/>
      <c r="B984" s="484"/>
      <c r="C984" s="484"/>
      <c r="D984" s="484"/>
      <c r="E984" s="484"/>
      <c r="F984" s="484"/>
      <c r="G984" s="484"/>
      <c r="H984" s="484"/>
      <c r="I984" s="484"/>
      <c r="J984" s="484"/>
      <c r="K984" s="484"/>
      <c r="L984" s="484"/>
      <c r="M984" s="484"/>
      <c r="N984" s="484"/>
      <c r="O984" s="484"/>
      <c r="P984" s="484"/>
      <c r="Q984" s="484"/>
      <c r="R984" s="484"/>
      <c r="S984" s="484"/>
      <c r="T984" s="484"/>
      <c r="U984" s="484"/>
      <c r="V984" s="484"/>
      <c r="W984" s="484"/>
      <c r="X984" s="484"/>
      <c r="Y984" s="484"/>
    </row>
    <row r="985">
      <c r="A985" s="484"/>
      <c r="B985" s="484"/>
      <c r="C985" s="484"/>
      <c r="D985" s="484"/>
      <c r="E985" s="484"/>
      <c r="F985" s="484"/>
      <c r="G985" s="484"/>
      <c r="H985" s="484"/>
      <c r="I985" s="484"/>
      <c r="J985" s="484"/>
      <c r="K985" s="484"/>
      <c r="L985" s="484"/>
      <c r="M985" s="484"/>
      <c r="N985" s="484"/>
      <c r="O985" s="484"/>
      <c r="P985" s="484"/>
      <c r="Q985" s="484"/>
      <c r="R985" s="484"/>
      <c r="S985" s="484"/>
      <c r="T985" s="484"/>
      <c r="U985" s="484"/>
      <c r="V985" s="484"/>
      <c r="W985" s="484"/>
      <c r="X985" s="484"/>
      <c r="Y985" s="484"/>
    </row>
    <row r="986">
      <c r="A986" s="484"/>
      <c r="B986" s="484"/>
      <c r="C986" s="484"/>
      <c r="D986" s="484"/>
      <c r="E986" s="484"/>
      <c r="F986" s="484"/>
      <c r="G986" s="484"/>
      <c r="H986" s="484"/>
      <c r="I986" s="484"/>
      <c r="J986" s="484"/>
      <c r="K986" s="484"/>
      <c r="L986" s="484"/>
      <c r="M986" s="484"/>
      <c r="N986" s="484"/>
      <c r="O986" s="484"/>
      <c r="P986" s="484"/>
      <c r="Q986" s="484"/>
      <c r="R986" s="484"/>
      <c r="S986" s="484"/>
      <c r="T986" s="484"/>
      <c r="U986" s="484"/>
      <c r="V986" s="484"/>
      <c r="W986" s="484"/>
      <c r="X986" s="484"/>
      <c r="Y986" s="484"/>
    </row>
    <row r="987">
      <c r="A987" s="484"/>
      <c r="B987" s="484"/>
      <c r="C987" s="484"/>
      <c r="D987" s="484"/>
      <c r="E987" s="484"/>
      <c r="F987" s="484"/>
      <c r="G987" s="484"/>
      <c r="H987" s="484"/>
      <c r="I987" s="484"/>
      <c r="J987" s="484"/>
      <c r="K987" s="484"/>
      <c r="L987" s="484"/>
      <c r="M987" s="484"/>
      <c r="N987" s="484"/>
      <c r="O987" s="484"/>
      <c r="P987" s="484"/>
      <c r="Q987" s="484"/>
      <c r="R987" s="484"/>
      <c r="S987" s="484"/>
      <c r="T987" s="484"/>
      <c r="U987" s="484"/>
      <c r="V987" s="484"/>
      <c r="W987" s="484"/>
      <c r="X987" s="484"/>
      <c r="Y987" s="484"/>
    </row>
    <row r="988">
      <c r="A988" s="484"/>
      <c r="B988" s="484"/>
      <c r="C988" s="484"/>
      <c r="D988" s="484"/>
      <c r="E988" s="484"/>
      <c r="F988" s="484"/>
      <c r="G988" s="484"/>
      <c r="H988" s="484"/>
      <c r="I988" s="484"/>
      <c r="J988" s="484"/>
      <c r="K988" s="484"/>
      <c r="L988" s="484"/>
      <c r="M988" s="484"/>
      <c r="O988" s="484"/>
      <c r="P988" s="484"/>
      <c r="Q988" s="484"/>
      <c r="R988" s="484"/>
      <c r="S988" s="484"/>
      <c r="T988" s="484"/>
      <c r="U988" s="484"/>
      <c r="V988" s="484"/>
      <c r="W988" s="484"/>
      <c r="X988" s="484"/>
      <c r="Y988" s="484"/>
    </row>
    <row r="989">
      <c r="A989" s="484"/>
      <c r="B989" s="484"/>
      <c r="C989" s="484"/>
      <c r="D989" s="484"/>
      <c r="E989" s="484"/>
      <c r="F989" s="484"/>
      <c r="G989" s="484"/>
      <c r="H989" s="484"/>
      <c r="I989" s="484"/>
      <c r="J989" s="484"/>
      <c r="K989" s="484"/>
      <c r="L989" s="484"/>
      <c r="M989" s="484"/>
      <c r="O989" s="484"/>
      <c r="P989" s="484"/>
      <c r="Q989" s="484"/>
      <c r="R989" s="484"/>
      <c r="S989" s="484"/>
      <c r="T989" s="484"/>
      <c r="U989" s="484"/>
      <c r="V989" s="484"/>
      <c r="W989" s="484"/>
      <c r="X989" s="484"/>
      <c r="Y989" s="484"/>
    </row>
    <row r="990">
      <c r="A990" s="484"/>
      <c r="B990" s="484"/>
      <c r="C990" s="484"/>
      <c r="D990" s="484"/>
      <c r="E990" s="484"/>
      <c r="F990" s="484"/>
      <c r="G990" s="484"/>
      <c r="H990" s="484"/>
      <c r="I990" s="484"/>
      <c r="J990" s="484"/>
      <c r="K990" s="484"/>
      <c r="L990" s="484"/>
      <c r="M990" s="484"/>
      <c r="O990" s="484"/>
      <c r="P990" s="484"/>
      <c r="Q990" s="484"/>
      <c r="R990" s="484"/>
      <c r="S990" s="484"/>
      <c r="T990" s="484"/>
      <c r="U990" s="484"/>
      <c r="V990" s="484"/>
      <c r="W990" s="484"/>
      <c r="X990" s="484"/>
      <c r="Y990" s="484"/>
    </row>
    <row r="991">
      <c r="A991" s="484"/>
      <c r="B991" s="484"/>
      <c r="C991" s="484"/>
      <c r="D991" s="484"/>
      <c r="E991" s="484"/>
      <c r="F991" s="484"/>
      <c r="G991" s="484"/>
      <c r="H991" s="484"/>
      <c r="I991" s="484"/>
      <c r="J991" s="484"/>
      <c r="K991" s="484"/>
      <c r="L991" s="484"/>
      <c r="M991" s="484"/>
      <c r="O991" s="484"/>
      <c r="P991" s="484"/>
      <c r="Q991" s="484"/>
      <c r="R991" s="484"/>
      <c r="S991" s="484"/>
      <c r="T991" s="484"/>
      <c r="U991" s="484"/>
      <c r="V991" s="484"/>
      <c r="W991" s="484"/>
      <c r="X991" s="484"/>
      <c r="Y991" s="484"/>
    </row>
    <row r="992">
      <c r="A992" s="484"/>
      <c r="B992" s="484"/>
      <c r="C992" s="484"/>
      <c r="D992" s="484"/>
      <c r="E992" s="484"/>
      <c r="F992" s="484"/>
      <c r="G992" s="484"/>
      <c r="H992" s="484"/>
      <c r="I992" s="484"/>
      <c r="J992" s="484"/>
      <c r="K992" s="484"/>
      <c r="L992" s="484"/>
      <c r="M992" s="484"/>
      <c r="O992" s="484"/>
      <c r="P992" s="484"/>
      <c r="Q992" s="484"/>
      <c r="R992" s="484"/>
      <c r="S992" s="484"/>
      <c r="T992" s="484"/>
      <c r="U992" s="484"/>
      <c r="V992" s="484"/>
      <c r="W992" s="484"/>
      <c r="X992" s="484"/>
      <c r="Y992" s="484"/>
    </row>
    <row r="993">
      <c r="A993" s="484"/>
      <c r="B993" s="484"/>
      <c r="C993" s="484"/>
      <c r="D993" s="484"/>
      <c r="E993" s="484"/>
      <c r="F993" s="484"/>
      <c r="G993" s="484"/>
      <c r="H993" s="484"/>
      <c r="I993" s="484"/>
      <c r="J993" s="484"/>
      <c r="K993" s="484"/>
      <c r="L993" s="484"/>
      <c r="M993" s="484"/>
      <c r="O993" s="484"/>
      <c r="P993" s="484"/>
      <c r="Q993" s="484"/>
      <c r="R993" s="484"/>
      <c r="S993" s="484"/>
      <c r="T993" s="484"/>
      <c r="U993" s="484"/>
      <c r="V993" s="484"/>
      <c r="W993" s="484"/>
      <c r="X993" s="484"/>
      <c r="Y993" s="484"/>
    </row>
    <row r="994">
      <c r="A994" s="484"/>
      <c r="B994" s="484"/>
      <c r="C994" s="484"/>
      <c r="D994" s="484"/>
      <c r="E994" s="484"/>
      <c r="F994" s="484"/>
      <c r="G994" s="484"/>
      <c r="H994" s="484"/>
      <c r="I994" s="484"/>
      <c r="J994" s="484"/>
      <c r="K994" s="484"/>
      <c r="L994" s="484"/>
      <c r="M994" s="484"/>
      <c r="O994" s="484"/>
      <c r="P994" s="484"/>
      <c r="Q994" s="484"/>
      <c r="R994" s="484"/>
      <c r="S994" s="484"/>
      <c r="T994" s="484"/>
      <c r="U994" s="484"/>
      <c r="V994" s="484"/>
      <c r="W994" s="484"/>
      <c r="X994" s="484"/>
      <c r="Y994" s="484"/>
    </row>
    <row r="995">
      <c r="A995" s="484"/>
      <c r="B995" s="484"/>
      <c r="C995" s="484"/>
      <c r="D995" s="484"/>
      <c r="E995" s="484"/>
      <c r="F995" s="484"/>
      <c r="G995" s="484"/>
      <c r="H995" s="484"/>
      <c r="I995" s="484"/>
      <c r="J995" s="484"/>
      <c r="K995" s="484"/>
      <c r="L995" s="484"/>
      <c r="M995" s="484"/>
      <c r="O995" s="484"/>
      <c r="P995" s="484"/>
      <c r="Q995" s="484"/>
      <c r="R995" s="484"/>
      <c r="S995" s="484"/>
      <c r="T995" s="484"/>
      <c r="U995" s="484"/>
      <c r="V995" s="484"/>
      <c r="W995" s="484"/>
      <c r="X995" s="484"/>
      <c r="Y995" s="484"/>
    </row>
    <row r="996">
      <c r="A996" s="484"/>
      <c r="B996" s="484"/>
      <c r="C996" s="484"/>
      <c r="D996" s="484"/>
      <c r="E996" s="484"/>
      <c r="F996" s="484"/>
      <c r="G996" s="484"/>
      <c r="H996" s="484"/>
      <c r="I996" s="484"/>
      <c r="J996" s="484"/>
      <c r="K996" s="484"/>
      <c r="L996" s="484"/>
      <c r="M996" s="484"/>
      <c r="O996" s="484"/>
      <c r="P996" s="484"/>
      <c r="Q996" s="484"/>
      <c r="R996" s="484"/>
      <c r="S996" s="484"/>
      <c r="T996" s="484"/>
      <c r="U996" s="484"/>
      <c r="V996" s="484"/>
      <c r="W996" s="484"/>
      <c r="X996" s="484"/>
      <c r="Y996" s="484"/>
    </row>
    <row r="997">
      <c r="A997" s="484"/>
      <c r="B997" s="484"/>
      <c r="C997" s="484"/>
      <c r="D997" s="484"/>
      <c r="E997" s="484"/>
      <c r="F997" s="484"/>
      <c r="G997" s="484"/>
      <c r="H997" s="484"/>
      <c r="I997" s="484"/>
      <c r="J997" s="484"/>
      <c r="K997" s="484"/>
      <c r="L997" s="484"/>
      <c r="M997" s="484"/>
      <c r="O997" s="484"/>
      <c r="P997" s="484"/>
      <c r="Q997" s="484"/>
      <c r="R997" s="484"/>
      <c r="S997" s="484"/>
      <c r="T997" s="484"/>
      <c r="U997" s="484"/>
      <c r="V997" s="484"/>
      <c r="W997" s="484"/>
      <c r="X997" s="484"/>
      <c r="Y997" s="484"/>
    </row>
    <row r="998">
      <c r="A998" s="484"/>
      <c r="B998" s="484"/>
      <c r="C998" s="484"/>
      <c r="D998" s="484"/>
      <c r="E998" s="484"/>
      <c r="F998" s="484"/>
      <c r="G998" s="484"/>
      <c r="H998" s="484"/>
      <c r="I998" s="484"/>
      <c r="J998" s="484"/>
      <c r="K998" s="484"/>
      <c r="L998" s="484"/>
      <c r="M998" s="484"/>
      <c r="O998" s="484"/>
      <c r="P998" s="484"/>
      <c r="Q998" s="484"/>
      <c r="R998" s="484"/>
      <c r="S998" s="484"/>
      <c r="T998" s="484"/>
      <c r="U998" s="484"/>
      <c r="V998" s="484"/>
      <c r="W998" s="484"/>
      <c r="X998" s="484"/>
      <c r="Y998" s="484"/>
    </row>
    <row r="999">
      <c r="A999" s="484"/>
      <c r="B999" s="484"/>
      <c r="C999" s="484"/>
      <c r="D999" s="484"/>
      <c r="E999" s="484"/>
      <c r="F999" s="484"/>
      <c r="G999" s="484"/>
      <c r="H999" s="484"/>
      <c r="I999" s="484"/>
      <c r="J999" s="484"/>
      <c r="K999" s="484"/>
      <c r="L999" s="484"/>
      <c r="M999" s="484"/>
      <c r="O999" s="484"/>
      <c r="P999" s="484"/>
      <c r="Q999" s="484"/>
      <c r="R999" s="484"/>
      <c r="S999" s="484"/>
      <c r="T999" s="484"/>
      <c r="U999" s="484"/>
      <c r="V999" s="484"/>
      <c r="W999" s="484"/>
      <c r="X999" s="484"/>
      <c r="Y999" s="484"/>
    </row>
    <row r="1000">
      <c r="A1000" s="484"/>
      <c r="B1000" s="484"/>
      <c r="C1000" s="484"/>
      <c r="D1000" s="484"/>
      <c r="E1000" s="484"/>
      <c r="F1000" s="484"/>
      <c r="G1000" s="484"/>
      <c r="H1000" s="484"/>
      <c r="I1000" s="484"/>
      <c r="J1000" s="484"/>
      <c r="K1000" s="484"/>
      <c r="L1000" s="484"/>
      <c r="M1000" s="484"/>
      <c r="O1000" s="484"/>
      <c r="P1000" s="484"/>
      <c r="Q1000" s="484"/>
      <c r="R1000" s="484"/>
      <c r="S1000" s="484"/>
      <c r="T1000" s="484"/>
      <c r="U1000" s="484"/>
      <c r="V1000" s="484"/>
      <c r="W1000" s="484"/>
      <c r="X1000" s="484"/>
      <c r="Y1000" s="484"/>
    </row>
    <row r="1001">
      <c r="A1001" s="484"/>
      <c r="B1001" s="484"/>
      <c r="C1001" s="484"/>
      <c r="D1001" s="484"/>
      <c r="E1001" s="484"/>
      <c r="F1001" s="484"/>
      <c r="G1001" s="484"/>
      <c r="H1001" s="484"/>
      <c r="I1001" s="484"/>
      <c r="J1001" s="484"/>
      <c r="K1001" s="484"/>
      <c r="L1001" s="484"/>
      <c r="M1001" s="484"/>
      <c r="O1001" s="484"/>
      <c r="P1001" s="484"/>
      <c r="Q1001" s="484"/>
      <c r="R1001" s="484"/>
      <c r="S1001" s="484"/>
      <c r="T1001" s="484"/>
      <c r="U1001" s="484"/>
      <c r="V1001" s="484"/>
      <c r="W1001" s="484"/>
      <c r="X1001" s="484"/>
      <c r="Y1001" s="484"/>
    </row>
  </sheetData>
  <drawing r:id="rId1"/>
</worksheet>
</file>