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ASPTS\Joanne Atha\Current as of Nov 8-05\COMP 2364 - Joanne\Current 201830\Session 11 and 5\"/>
    </mc:Choice>
  </mc:AlternateContent>
  <bookViews>
    <workbookView xWindow="0" yWindow="0" windowWidth="17970" windowHeight="6060" firstSheet="29" activeTab="34"/>
  </bookViews>
  <sheets>
    <sheet name="NestedIF-vlookup" sheetId="62" r:id="rId1"/>
    <sheet name="Source" sheetId="63" r:id="rId2"/>
    <sheet name="IFS" sheetId="64" r:id="rId3"/>
    <sheet name="NestedIF_Vlookup" sheetId="37" r:id="rId4"/>
    <sheet name="NestedIF_Vlookup complete" sheetId="41" r:id="rId5"/>
    <sheet name="Grades" sheetId="40" r:id="rId6"/>
    <sheet name="Grades complete" sheetId="39" r:id="rId7"/>
    <sheet name="Sort" sheetId="18" r:id="rId8"/>
    <sheet name="Sort complete" sheetId="42" r:id="rId9"/>
    <sheet name="Filter" sheetId="19" r:id="rId10"/>
    <sheet name="Filter complete" sheetId="43" r:id="rId11"/>
    <sheet name="Subtotaling" sheetId="20" r:id="rId12"/>
    <sheet name="Subtotaling two" sheetId="44" r:id="rId13"/>
    <sheet name="PivotTable" sheetId="21" r:id="rId14"/>
    <sheet name="PivotTable complete" sheetId="45" r:id="rId15"/>
    <sheet name="Range Names" sheetId="38" r:id="rId16"/>
    <sheet name="Range Names complete" sheetId="46" r:id="rId17"/>
    <sheet name="One-variable" sheetId="23" r:id="rId18"/>
    <sheet name="One-variable complete" sheetId="47" r:id="rId19"/>
    <sheet name="Two-variable" sheetId="24" r:id="rId20"/>
    <sheet name="Two-variable complete" sheetId="48" r:id="rId21"/>
    <sheet name="Goal Seek" sheetId="25" r:id="rId22"/>
    <sheet name="Goal Seek complete" sheetId="49" r:id="rId23"/>
    <sheet name="Solver" sheetId="26" r:id="rId24"/>
    <sheet name="Solver complete" sheetId="50" r:id="rId25"/>
    <sheet name="Scenario Manager" sheetId="27" r:id="rId26"/>
    <sheet name="Scenario Manager complete" sheetId="57" r:id="rId27"/>
    <sheet name="Scenario Summary" sheetId="58" r:id="rId28"/>
    <sheet name="Logic-Lookup" sheetId="28" r:id="rId29"/>
    <sheet name="Logic-Lookup complete" sheetId="59" r:id="rId30"/>
    <sheet name="Database" sheetId="29" r:id="rId31"/>
    <sheet name="Database complete" sheetId="60" r:id="rId32"/>
    <sheet name="Advanced Filtering complete" sheetId="61" r:id="rId33"/>
    <sheet name="Finance" sheetId="30" r:id="rId34"/>
    <sheet name="Data Validation" sheetId="14" r:id="rId35"/>
    <sheet name="3D Formulas " sheetId="15" r:id="rId36"/>
    <sheet name="Qtr1" sheetId="31" r:id="rId37"/>
    <sheet name="Qtr2" sheetId="32" r:id="rId38"/>
    <sheet name="Qtr3" sheetId="33" r:id="rId39"/>
    <sheet name="Qtr4" sheetId="34" r:id="rId40"/>
    <sheet name="Yearly Totals" sheetId="35" r:id="rId41"/>
  </sheets>
  <externalReferences>
    <externalReference r:id="rId42"/>
    <externalReference r:id="rId43"/>
  </externalReferences>
  <definedNames>
    <definedName name="_xlnm._FilterDatabase" localSheetId="32" hidden="1">'Advanced Filtering complete'!$A$2:$F$22</definedName>
    <definedName name="_xlnm._FilterDatabase" localSheetId="10" hidden="1">'Filter complete'!$A$4:$L$50</definedName>
    <definedName name="_xlnm._FilterDatabase" localSheetId="2" hidden="1">IFS!$A$1:$J$21</definedName>
    <definedName name="_xlnm.Criteria" localSheetId="32">'Advanced Filtering complete'!$A$25:$F$26</definedName>
    <definedName name="Deluxe" localSheetId="16">'Range Names complete'!$A$18</definedName>
    <definedName name="DeluxeCost">'Range Names complete'!$B$18</definedName>
    <definedName name="DeluxeDownPayment">'Range Names complete'!$C$18</definedName>
    <definedName name="_xlnm.Extract" localSheetId="32">'Advanced Filtering complete'!$A$29:$F$29</definedName>
    <definedName name="Family" localSheetId="16">'Range Names complete'!$A$19</definedName>
    <definedName name="FamilyCost">'Range Names complete'!$B$19</definedName>
    <definedName name="FamilyDownPayment">'Range Names complete'!$C$19</definedName>
    <definedName name="Increase">'[2]Range Names'!$B$1</definedName>
    <definedName name="Individual" localSheetId="16">'Range Names complete'!$A$20</definedName>
    <definedName name="IndividualCost">'Range Names complete'!$B$20</definedName>
    <definedName name="IndividualDownPayment">'Range Names complete'!$C$20</definedName>
    <definedName name="RetailRate" localSheetId="9">Filter!$J$1</definedName>
    <definedName name="RetailRate" localSheetId="10">'Filter complete'!$J$1</definedName>
    <definedName name="RetailRate" localSheetId="13">PivotTable!$J$1</definedName>
    <definedName name="RetailRate" localSheetId="14">'PivotTable complete'!$J$1</definedName>
    <definedName name="RetailRate" localSheetId="7">Sort!$J$1</definedName>
    <definedName name="RetailRate" localSheetId="8">'Sort complete'!$J$4</definedName>
    <definedName name="RetailRate" localSheetId="11">Subtotaling!$J$1</definedName>
    <definedName name="RetailRate" localSheetId="12">'Subtotaling two'!$J$1</definedName>
    <definedName name="RetailRate">'[1]Books Data'!$J$1</definedName>
    <definedName name="solver_adj" localSheetId="24" hidden="1">'Solver complete'!$B$2:$B$4</definedName>
    <definedName name="solver_cvg" localSheetId="24" hidden="1">0.0001</definedName>
    <definedName name="solver_drv" localSheetId="24" hidden="1">2</definedName>
    <definedName name="solver_eng" localSheetId="23" hidden="1">1</definedName>
    <definedName name="solver_eng" localSheetId="24" hidden="1">1</definedName>
    <definedName name="solver_est" localSheetId="24" hidden="1">1</definedName>
    <definedName name="solver_itr" localSheetId="24" hidden="1">2147483647</definedName>
    <definedName name="solver_lhs1" localSheetId="24" hidden="1">'Solver complete'!$B$2</definedName>
    <definedName name="solver_lhs2" localSheetId="24" hidden="1">'Solver complete'!$B$3</definedName>
    <definedName name="solver_lhs3" localSheetId="24" hidden="1">'Solver complete'!$B$4</definedName>
    <definedName name="solver_lhs4" localSheetId="24" hidden="1">'Solver complete'!$B$4</definedName>
    <definedName name="solver_lhs5" localSheetId="24" hidden="1">'Solver complete'!$B$4</definedName>
    <definedName name="solver_lhs6" localSheetId="24" hidden="1">'Solver complete'!$B$4</definedName>
    <definedName name="solver_lhs7" localSheetId="24" hidden="1">'Solver complete'!$B$5</definedName>
    <definedName name="solver_lhs8" localSheetId="24" hidden="1">'Solver complete'!$B$5</definedName>
    <definedName name="solver_mip" localSheetId="24" hidden="1">2147483647</definedName>
    <definedName name="solver_mni" localSheetId="24" hidden="1">30</definedName>
    <definedName name="solver_mrt" localSheetId="24" hidden="1">0.075</definedName>
    <definedName name="solver_msl" localSheetId="24" hidden="1">2</definedName>
    <definedName name="solver_neg" localSheetId="23" hidden="1">1</definedName>
    <definedName name="solver_neg" localSheetId="24" hidden="1">1</definedName>
    <definedName name="solver_nod" localSheetId="24" hidden="1">2147483647</definedName>
    <definedName name="solver_num" localSheetId="23" hidden="1">0</definedName>
    <definedName name="solver_num" localSheetId="24" hidden="1">3</definedName>
    <definedName name="solver_nwt" localSheetId="24" hidden="1">1</definedName>
    <definedName name="solver_opt" localSheetId="23" hidden="1">Solver!$D$12</definedName>
    <definedName name="solver_opt" localSheetId="24" hidden="1">'Solver complete'!$B$12</definedName>
    <definedName name="solver_pre" localSheetId="24" hidden="1">0.000001</definedName>
    <definedName name="solver_rbv" localSheetId="24" hidden="1">2</definedName>
    <definedName name="solver_rel1" localSheetId="24" hidden="1">1</definedName>
    <definedName name="solver_rel2" localSheetId="24" hidden="1">1</definedName>
    <definedName name="solver_rel3" localSheetId="24" hidden="1">1</definedName>
    <definedName name="solver_rel4" localSheetId="24" hidden="1">3</definedName>
    <definedName name="solver_rel5" localSheetId="24" hidden="1">3</definedName>
    <definedName name="solver_rel6" localSheetId="24" hidden="1">3</definedName>
    <definedName name="solver_rel7" localSheetId="24" hidden="1">1</definedName>
    <definedName name="solver_rel8" localSheetId="24" hidden="1">3</definedName>
    <definedName name="solver_rhs1" localSheetId="24" hidden="1">'Solver complete'!$C$2</definedName>
    <definedName name="solver_rhs2" localSheetId="24" hidden="1">'Solver complete'!$C$3</definedName>
    <definedName name="solver_rhs3" localSheetId="24" hidden="1">'Solver complete'!$C$4</definedName>
    <definedName name="solver_rhs4" localSheetId="24" hidden="1">'Solver complete'!$D$4</definedName>
    <definedName name="solver_rhs5" localSheetId="24" hidden="1">'Solver complete'!$D$4</definedName>
    <definedName name="solver_rhs6" localSheetId="24" hidden="1">'Solver complete'!$D$4</definedName>
    <definedName name="solver_rhs7" localSheetId="24" hidden="1">'Solver complete'!$C$5</definedName>
    <definedName name="solver_rhs8" localSheetId="24" hidden="1">'Solver complete'!$D$5</definedName>
    <definedName name="solver_rlx" localSheetId="24" hidden="1">2</definedName>
    <definedName name="solver_rsd" localSheetId="24" hidden="1">0</definedName>
    <definedName name="solver_scl" localSheetId="24" hidden="1">2</definedName>
    <definedName name="solver_sho" localSheetId="24" hidden="1">2</definedName>
    <definedName name="solver_ssz" localSheetId="24" hidden="1">100</definedName>
    <definedName name="solver_tim" localSheetId="24" hidden="1">2147483647</definedName>
    <definedName name="solver_tol" localSheetId="24" hidden="1">0.01</definedName>
    <definedName name="solver_typ" localSheetId="23" hidden="1">1</definedName>
    <definedName name="solver_typ" localSheetId="24" hidden="1">1</definedName>
    <definedName name="solver_val" localSheetId="23" hidden="1">0</definedName>
    <definedName name="solver_val" localSheetId="24" hidden="1">0</definedName>
    <definedName name="solver_ver" localSheetId="23" hidden="1">3</definedName>
    <definedName name="solver_ver" localSheetId="24" hidden="1">3</definedName>
  </definedNames>
  <calcPr calcId="162913"/>
  <pivotCaches>
    <pivotCache cacheId="0" r:id="rId4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64" l="1"/>
  <c r="C25" i="64"/>
  <c r="D25" i="64"/>
  <c r="B26" i="64"/>
  <c r="C26" i="64"/>
  <c r="D26" i="64"/>
  <c r="D24" i="64"/>
  <c r="B24" i="64"/>
  <c r="C24" i="64"/>
  <c r="F7" i="62"/>
  <c r="F9" i="62"/>
  <c r="F11" i="62"/>
  <c r="F5" i="62"/>
  <c r="E9" i="62"/>
  <c r="E5" i="62"/>
  <c r="B16" i="62"/>
  <c r="B17" i="62" s="1"/>
  <c r="I6" i="62"/>
  <c r="I7" i="62"/>
  <c r="I8" i="62"/>
  <c r="I9" i="62"/>
  <c r="I10" i="62"/>
  <c r="I11" i="62"/>
  <c r="I12" i="62"/>
  <c r="I5" i="62"/>
  <c r="C6" i="62"/>
  <c r="E6" i="62" s="1"/>
  <c r="C7" i="62"/>
  <c r="E7" i="62" s="1"/>
  <c r="G7" i="62" s="1"/>
  <c r="C8" i="62"/>
  <c r="E8" i="62" s="1"/>
  <c r="C9" i="62"/>
  <c r="C10" i="62"/>
  <c r="E10" i="62" s="1"/>
  <c r="C11" i="62"/>
  <c r="E11" i="62" s="1"/>
  <c r="G11" i="62" s="1"/>
  <c r="C12" i="62"/>
  <c r="E12" i="62" s="1"/>
  <c r="C5" i="62"/>
  <c r="B6" i="62"/>
  <c r="B7" i="62"/>
  <c r="B8" i="62"/>
  <c r="B9" i="62"/>
  <c r="B10" i="62"/>
  <c r="B11" i="62"/>
  <c r="B12" i="62"/>
  <c r="B5" i="62"/>
  <c r="F10" i="62" l="1"/>
  <c r="G10" i="62" s="1"/>
  <c r="F8" i="62"/>
  <c r="G8" i="62"/>
  <c r="F6" i="62"/>
  <c r="G6" i="62" s="1"/>
  <c r="F12" i="62"/>
  <c r="G12" i="62" s="1"/>
  <c r="G9" i="62"/>
  <c r="G5" i="62"/>
  <c r="B4" i="35" l="1"/>
  <c r="B5" i="35"/>
  <c r="B6" i="35"/>
  <c r="B7" i="35"/>
  <c r="B8" i="35"/>
  <c r="B9" i="35"/>
  <c r="B10" i="35"/>
  <c r="B3" i="35"/>
  <c r="E3" i="31"/>
  <c r="E3" i="34"/>
  <c r="E3" i="33"/>
  <c r="E3" i="32"/>
  <c r="E4" i="31"/>
  <c r="E4" i="34"/>
  <c r="E4" i="33"/>
  <c r="E4" i="32"/>
  <c r="E5" i="31"/>
  <c r="E5" i="34"/>
  <c r="E5" i="33"/>
  <c r="E5" i="32"/>
  <c r="E6" i="31"/>
  <c r="E6" i="34"/>
  <c r="E6" i="33"/>
  <c r="E6" i="32"/>
  <c r="E7" i="31"/>
  <c r="E7" i="34"/>
  <c r="E7" i="33"/>
  <c r="E7" i="32"/>
  <c r="E8" i="31"/>
  <c r="E8" i="34"/>
  <c r="E8" i="33"/>
  <c r="E8" i="32"/>
  <c r="E9" i="31"/>
  <c r="E9" i="34"/>
  <c r="E9" i="33"/>
  <c r="E9" i="32"/>
  <c r="E10" i="31"/>
  <c r="E10" i="34"/>
  <c r="E10" i="33"/>
  <c r="E10" i="32"/>
  <c r="H56" i="30"/>
  <c r="H9" i="30"/>
  <c r="I9" i="30"/>
  <c r="H10" i="30"/>
  <c r="I10" i="30"/>
  <c r="H11" i="30"/>
  <c r="I11" i="30"/>
  <c r="H12" i="30"/>
  <c r="I12" i="30"/>
  <c r="H13" i="30"/>
  <c r="I13" i="30"/>
  <c r="H14" i="30"/>
  <c r="I14" i="30"/>
  <c r="H15" i="30"/>
  <c r="I15" i="30"/>
  <c r="H16" i="30"/>
  <c r="I16" i="30"/>
  <c r="H17" i="30"/>
  <c r="I17" i="30"/>
  <c r="H18" i="30"/>
  <c r="I18" i="30"/>
  <c r="H19" i="30"/>
  <c r="I19" i="30"/>
  <c r="H20" i="30"/>
  <c r="I20" i="30"/>
  <c r="H21" i="30"/>
  <c r="I21" i="30"/>
  <c r="H22" i="30"/>
  <c r="I22" i="30"/>
  <c r="H23" i="30"/>
  <c r="I23" i="30"/>
  <c r="H24" i="30"/>
  <c r="I24" i="30"/>
  <c r="H25" i="30"/>
  <c r="I25" i="30"/>
  <c r="H26" i="30"/>
  <c r="I26" i="30"/>
  <c r="H27" i="30"/>
  <c r="I27" i="30"/>
  <c r="H28" i="30"/>
  <c r="I28" i="30"/>
  <c r="H29" i="30"/>
  <c r="I29" i="30"/>
  <c r="H30" i="30"/>
  <c r="I30" i="30"/>
  <c r="H31" i="30"/>
  <c r="I31" i="30"/>
  <c r="H32" i="30"/>
  <c r="I32" i="30"/>
  <c r="H33" i="30"/>
  <c r="I33" i="30"/>
  <c r="H34" i="30"/>
  <c r="I34" i="30"/>
  <c r="H35" i="30"/>
  <c r="I35" i="30"/>
  <c r="H36" i="30"/>
  <c r="I36" i="30"/>
  <c r="H37" i="30"/>
  <c r="I37" i="30"/>
  <c r="H38" i="30"/>
  <c r="I38" i="30"/>
  <c r="H39" i="30"/>
  <c r="I39" i="30"/>
  <c r="H40" i="30"/>
  <c r="I40" i="30"/>
  <c r="H41" i="30"/>
  <c r="I41" i="30"/>
  <c r="H42" i="30"/>
  <c r="I42" i="30"/>
  <c r="H43" i="30"/>
  <c r="I43" i="30"/>
  <c r="H44" i="30"/>
  <c r="I44" i="30"/>
  <c r="H45" i="30"/>
  <c r="I45" i="30"/>
  <c r="H46" i="30"/>
  <c r="I46" i="30"/>
  <c r="H47" i="30"/>
  <c r="I47" i="30"/>
  <c r="H48" i="30"/>
  <c r="I48" i="30"/>
  <c r="H49" i="30"/>
  <c r="I49" i="30"/>
  <c r="H50" i="30"/>
  <c r="I50" i="30"/>
  <c r="H51" i="30"/>
  <c r="I51" i="30"/>
  <c r="H52" i="30"/>
  <c r="I52" i="30"/>
  <c r="H53" i="30"/>
  <c r="I53" i="30"/>
  <c r="H54" i="30"/>
  <c r="I54" i="30"/>
  <c r="H55" i="30"/>
  <c r="I55" i="30"/>
  <c r="I8" i="30"/>
  <c r="H8" i="30"/>
  <c r="D57" i="30"/>
  <c r="C56" i="30"/>
  <c r="D56" i="30"/>
  <c r="E56" i="30"/>
  <c r="B10" i="30"/>
  <c r="C10" i="30"/>
  <c r="D10" i="30"/>
  <c r="E10" i="30"/>
  <c r="F10" i="30"/>
  <c r="B11" i="30"/>
  <c r="F11" i="30"/>
  <c r="B12" i="30"/>
  <c r="F12" i="30"/>
  <c r="B13" i="30"/>
  <c r="F13" i="30"/>
  <c r="B14" i="30"/>
  <c r="F14" i="30"/>
  <c r="B15" i="30"/>
  <c r="F15" i="30"/>
  <c r="B16" i="30"/>
  <c r="F16" i="30"/>
  <c r="B17" i="30"/>
  <c r="F17" i="30"/>
  <c r="B18" i="30"/>
  <c r="F18" i="30"/>
  <c r="B19" i="30"/>
  <c r="F19" i="30"/>
  <c r="B20" i="30"/>
  <c r="F20" i="30"/>
  <c r="B21" i="30"/>
  <c r="F21" i="30"/>
  <c r="B22" i="30"/>
  <c r="F22" i="30"/>
  <c r="B23" i="30"/>
  <c r="F23" i="30"/>
  <c r="B24" i="30"/>
  <c r="F24" i="30"/>
  <c r="B25" i="30"/>
  <c r="F25" i="30"/>
  <c r="B26" i="30"/>
  <c r="F26" i="30"/>
  <c r="B27" i="30"/>
  <c r="F27" i="30"/>
  <c r="B28" i="30"/>
  <c r="F28" i="30"/>
  <c r="B29" i="30"/>
  <c r="F29" i="30"/>
  <c r="B30" i="30"/>
  <c r="F30" i="30"/>
  <c r="B31" i="30"/>
  <c r="F31" i="30"/>
  <c r="B32" i="30"/>
  <c r="F32" i="30"/>
  <c r="B33" i="30"/>
  <c r="F33" i="30"/>
  <c r="B34" i="30"/>
  <c r="F34" i="30"/>
  <c r="B35" i="30"/>
  <c r="F35" i="30"/>
  <c r="B36" i="30"/>
  <c r="F36" i="30"/>
  <c r="B37" i="30"/>
  <c r="F37" i="30"/>
  <c r="B38" i="30"/>
  <c r="F38" i="30"/>
  <c r="B39" i="30"/>
  <c r="F39" i="30"/>
  <c r="B40" i="30"/>
  <c r="F40" i="30"/>
  <c r="B41" i="30"/>
  <c r="F41" i="30"/>
  <c r="B42" i="30"/>
  <c r="F42" i="30"/>
  <c r="B43" i="30"/>
  <c r="F43" i="30"/>
  <c r="B44" i="30"/>
  <c r="F44" i="30"/>
  <c r="B45" i="30"/>
  <c r="F45" i="30"/>
  <c r="B46" i="30"/>
  <c r="F46" i="30"/>
  <c r="B47" i="30"/>
  <c r="F47" i="30"/>
  <c r="B48" i="30"/>
  <c r="F48" i="30"/>
  <c r="B49" i="30"/>
  <c r="F49" i="30"/>
  <c r="B50" i="30"/>
  <c r="F50" i="30"/>
  <c r="B51" i="30"/>
  <c r="F51" i="30"/>
  <c r="B52" i="30"/>
  <c r="F52" i="30"/>
  <c r="B53" i="30"/>
  <c r="F53" i="30"/>
  <c r="B54" i="30"/>
  <c r="F54" i="30"/>
  <c r="B55" i="30"/>
  <c r="F55" i="30"/>
  <c r="C11" i="30"/>
  <c r="D11" i="30"/>
  <c r="E11" i="30"/>
  <c r="C12" i="30"/>
  <c r="D12" i="30"/>
  <c r="E12" i="30"/>
  <c r="C13" i="30"/>
  <c r="D13" i="30"/>
  <c r="E13" i="30"/>
  <c r="C14" i="30"/>
  <c r="D14" i="30"/>
  <c r="E14" i="30"/>
  <c r="C15" i="30"/>
  <c r="D15" i="30"/>
  <c r="E15" i="30"/>
  <c r="C16" i="30"/>
  <c r="D16" i="30"/>
  <c r="E16" i="30"/>
  <c r="C17" i="30"/>
  <c r="D17" i="30"/>
  <c r="E17" i="30"/>
  <c r="C18" i="30"/>
  <c r="D18" i="30"/>
  <c r="E18" i="30"/>
  <c r="C19" i="30"/>
  <c r="D19" i="30"/>
  <c r="E19" i="30"/>
  <c r="C20" i="30"/>
  <c r="D20" i="30"/>
  <c r="E20" i="30"/>
  <c r="C21" i="30"/>
  <c r="D21" i="30"/>
  <c r="E21" i="30"/>
  <c r="C22" i="30"/>
  <c r="D22" i="30"/>
  <c r="E22" i="30"/>
  <c r="C23" i="30"/>
  <c r="D23" i="30"/>
  <c r="E23" i="30"/>
  <c r="C24" i="30"/>
  <c r="D24" i="30"/>
  <c r="E24" i="30"/>
  <c r="C25" i="30"/>
  <c r="D25" i="30"/>
  <c r="E25" i="30"/>
  <c r="C26" i="30"/>
  <c r="D26" i="30"/>
  <c r="E26" i="30"/>
  <c r="C27" i="30"/>
  <c r="D27" i="30"/>
  <c r="E27" i="30"/>
  <c r="C28" i="30"/>
  <c r="D28" i="30"/>
  <c r="E28" i="30"/>
  <c r="C29" i="30"/>
  <c r="D29" i="30"/>
  <c r="E29" i="30"/>
  <c r="C30" i="30"/>
  <c r="D30" i="30"/>
  <c r="E30" i="30"/>
  <c r="C31" i="30"/>
  <c r="D31" i="30"/>
  <c r="E31" i="30"/>
  <c r="C32" i="30"/>
  <c r="D32" i="30"/>
  <c r="E32" i="30"/>
  <c r="C33" i="30"/>
  <c r="D33" i="30"/>
  <c r="E33" i="30"/>
  <c r="C34" i="30"/>
  <c r="D34" i="30"/>
  <c r="E34" i="30"/>
  <c r="C35" i="30"/>
  <c r="D35" i="30"/>
  <c r="E35" i="30"/>
  <c r="C36" i="30"/>
  <c r="D36" i="30"/>
  <c r="E36" i="30"/>
  <c r="C37" i="30"/>
  <c r="D37" i="30"/>
  <c r="E37" i="30"/>
  <c r="C38" i="30"/>
  <c r="D38" i="30"/>
  <c r="E38" i="30"/>
  <c r="C39" i="30"/>
  <c r="D39" i="30"/>
  <c r="E39" i="30"/>
  <c r="C40" i="30"/>
  <c r="D40" i="30"/>
  <c r="E40" i="30"/>
  <c r="C41" i="30"/>
  <c r="D41" i="30"/>
  <c r="E41" i="30"/>
  <c r="C42" i="30"/>
  <c r="D42" i="30"/>
  <c r="E42" i="30"/>
  <c r="C43" i="30"/>
  <c r="D43" i="30"/>
  <c r="E43" i="30"/>
  <c r="C44" i="30"/>
  <c r="D44" i="30"/>
  <c r="E44" i="30"/>
  <c r="C45" i="30"/>
  <c r="D45" i="30"/>
  <c r="E45" i="30"/>
  <c r="C46" i="30"/>
  <c r="D46" i="30"/>
  <c r="E46" i="30"/>
  <c r="C47" i="30"/>
  <c r="D47" i="30"/>
  <c r="E47" i="30"/>
  <c r="C48" i="30"/>
  <c r="D48" i="30"/>
  <c r="E48" i="30"/>
  <c r="C49" i="30"/>
  <c r="D49" i="30"/>
  <c r="E49" i="30"/>
  <c r="C50" i="30"/>
  <c r="D50" i="30"/>
  <c r="E50" i="30"/>
  <c r="C51" i="30"/>
  <c r="D51" i="30"/>
  <c r="E51" i="30"/>
  <c r="C52" i="30"/>
  <c r="D52" i="30"/>
  <c r="E52" i="30"/>
  <c r="C53" i="30"/>
  <c r="D53" i="30"/>
  <c r="E53" i="30"/>
  <c r="C54" i="30"/>
  <c r="D54" i="30"/>
  <c r="E54" i="30"/>
  <c r="C55" i="30"/>
  <c r="D55" i="30"/>
  <c r="E55" i="30"/>
  <c r="D9" i="30"/>
  <c r="E9" i="30"/>
  <c r="E8" i="30"/>
  <c r="F8" i="30"/>
  <c r="B9" i="30"/>
  <c r="D8" i="30"/>
  <c r="C9" i="30"/>
  <c r="E3" i="30"/>
  <c r="C8" i="30"/>
  <c r="B8" i="30"/>
  <c r="E4" i="30"/>
  <c r="E2" i="30"/>
  <c r="I28" i="60"/>
  <c r="I27" i="60"/>
  <c r="I26" i="60"/>
  <c r="I25" i="60"/>
  <c r="I8" i="59"/>
  <c r="I9" i="59"/>
  <c r="I10" i="59"/>
  <c r="I11" i="59"/>
  <c r="I12" i="59"/>
  <c r="I13" i="59"/>
  <c r="I14" i="59"/>
  <c r="I15" i="59"/>
  <c r="I16" i="59"/>
  <c r="I17" i="59"/>
  <c r="I18" i="59"/>
  <c r="I19" i="59"/>
  <c r="I20" i="59"/>
  <c r="I21" i="59"/>
  <c r="I22" i="59"/>
  <c r="I23" i="59"/>
  <c r="I24" i="59"/>
  <c r="I25" i="59"/>
  <c r="I26" i="59"/>
  <c r="I7" i="59"/>
  <c r="F9" i="30"/>
  <c r="H8" i="59"/>
  <c r="H9" i="59"/>
  <c r="H10" i="59"/>
  <c r="H11" i="59"/>
  <c r="H12" i="59"/>
  <c r="H13" i="59"/>
  <c r="H14" i="59"/>
  <c r="H15" i="59"/>
  <c r="H16" i="59"/>
  <c r="H17" i="59"/>
  <c r="H18" i="59"/>
  <c r="H19" i="59"/>
  <c r="H20" i="59"/>
  <c r="H21" i="59"/>
  <c r="H22" i="59"/>
  <c r="H23" i="59"/>
  <c r="H24" i="59"/>
  <c r="H25" i="59"/>
  <c r="H26" i="59"/>
  <c r="H7" i="59"/>
  <c r="F8" i="59"/>
  <c r="F9" i="59"/>
  <c r="F10" i="59"/>
  <c r="F11" i="59"/>
  <c r="F12" i="59"/>
  <c r="F13" i="59"/>
  <c r="F14" i="59"/>
  <c r="F15" i="59"/>
  <c r="F16" i="59"/>
  <c r="F17" i="59"/>
  <c r="F18" i="59"/>
  <c r="F19" i="59"/>
  <c r="F20" i="59"/>
  <c r="F21" i="59"/>
  <c r="F22" i="59"/>
  <c r="F23" i="59"/>
  <c r="F24" i="59"/>
  <c r="F25" i="59"/>
  <c r="F26" i="59"/>
  <c r="F7" i="59"/>
  <c r="F1" i="59"/>
  <c r="B11" i="57"/>
  <c r="B10" i="57"/>
  <c r="B12" i="57"/>
  <c r="B9" i="57"/>
  <c r="B13" i="57"/>
  <c r="B14" i="57"/>
  <c r="B11" i="50"/>
  <c r="B10" i="50"/>
  <c r="B12" i="50"/>
  <c r="B9" i="50"/>
  <c r="B11" i="49"/>
  <c r="B10" i="49"/>
  <c r="B9" i="49"/>
  <c r="B11" i="48"/>
  <c r="B10" i="48"/>
  <c r="B9" i="48"/>
  <c r="B11" i="47"/>
  <c r="B10" i="47"/>
  <c r="B9" i="47"/>
  <c r="B2" i="46"/>
  <c r="D6" i="46"/>
  <c r="D7" i="46"/>
  <c r="D8" i="46"/>
  <c r="D9" i="46"/>
  <c r="D10" i="46"/>
  <c r="D11" i="46"/>
  <c r="D12" i="46"/>
  <c r="D13" i="46"/>
  <c r="D5" i="46"/>
  <c r="C6" i="46"/>
  <c r="C7" i="46"/>
  <c r="C8" i="46"/>
  <c r="C9" i="46"/>
  <c r="C10" i="46"/>
  <c r="C11" i="46"/>
  <c r="C12" i="46"/>
  <c r="C13" i="46"/>
  <c r="C5" i="46"/>
  <c r="J50" i="45"/>
  <c r="K50" i="45" s="1"/>
  <c r="L50" i="45" s="1"/>
  <c r="H50" i="45"/>
  <c r="J49" i="45"/>
  <c r="K49" i="45" s="1"/>
  <c r="L49" i="45" s="1"/>
  <c r="H49" i="45"/>
  <c r="J48" i="45"/>
  <c r="K48" i="45"/>
  <c r="H48" i="45"/>
  <c r="J47" i="45"/>
  <c r="K47" i="45" s="1"/>
  <c r="L47" i="45" s="1"/>
  <c r="H47" i="45"/>
  <c r="J46" i="45"/>
  <c r="K46" i="45"/>
  <c r="H46" i="45"/>
  <c r="J45" i="45"/>
  <c r="K45" i="45" s="1"/>
  <c r="L45" i="45" s="1"/>
  <c r="H45" i="45"/>
  <c r="J44" i="45"/>
  <c r="K44" i="45"/>
  <c r="L44" i="45" s="1"/>
  <c r="H44" i="45"/>
  <c r="J43" i="45"/>
  <c r="K43" i="45" s="1"/>
  <c r="L43" i="45" s="1"/>
  <c r="H43" i="45"/>
  <c r="J42" i="45"/>
  <c r="K42" i="45"/>
  <c r="H42" i="45"/>
  <c r="K41" i="45"/>
  <c r="L41" i="45" s="1"/>
  <c r="J41" i="45"/>
  <c r="H41" i="45"/>
  <c r="J40" i="45"/>
  <c r="K40" i="45"/>
  <c r="H40" i="45"/>
  <c r="J39" i="45"/>
  <c r="K39" i="45" s="1"/>
  <c r="L39" i="45" s="1"/>
  <c r="H39" i="45"/>
  <c r="J38" i="45"/>
  <c r="K38" i="45"/>
  <c r="H38" i="45"/>
  <c r="J37" i="45"/>
  <c r="K37" i="45" s="1"/>
  <c r="H37" i="45"/>
  <c r="J36" i="45"/>
  <c r="K36" i="45"/>
  <c r="L36" i="45" s="1"/>
  <c r="H36" i="45"/>
  <c r="J35" i="45"/>
  <c r="K35" i="45" s="1"/>
  <c r="H35" i="45"/>
  <c r="J34" i="45"/>
  <c r="K34" i="45"/>
  <c r="H34" i="45"/>
  <c r="J33" i="45"/>
  <c r="K33" i="45" s="1"/>
  <c r="L33" i="45" s="1"/>
  <c r="H33" i="45"/>
  <c r="J32" i="45"/>
  <c r="K32" i="45"/>
  <c r="H32" i="45"/>
  <c r="J31" i="45"/>
  <c r="K31" i="45" s="1"/>
  <c r="H31" i="45"/>
  <c r="J30" i="45"/>
  <c r="K30" i="45"/>
  <c r="H30" i="45"/>
  <c r="J29" i="45"/>
  <c r="K29" i="45" s="1"/>
  <c r="L29" i="45" s="1"/>
  <c r="H29" i="45"/>
  <c r="J28" i="45"/>
  <c r="K28" i="45"/>
  <c r="L28" i="45" s="1"/>
  <c r="H28" i="45"/>
  <c r="J27" i="45"/>
  <c r="K27" i="45" s="1"/>
  <c r="L27" i="45" s="1"/>
  <c r="H27" i="45"/>
  <c r="J26" i="45"/>
  <c r="K26" i="45"/>
  <c r="H26" i="45"/>
  <c r="J25" i="45"/>
  <c r="K25" i="45" s="1"/>
  <c r="L25" i="45" s="1"/>
  <c r="H25" i="45"/>
  <c r="J24" i="45"/>
  <c r="K24" i="45"/>
  <c r="H24" i="45"/>
  <c r="J23" i="45"/>
  <c r="K23" i="45" s="1"/>
  <c r="L23" i="45" s="1"/>
  <c r="H23" i="45"/>
  <c r="J22" i="45"/>
  <c r="K22" i="45"/>
  <c r="H22" i="45"/>
  <c r="J21" i="45"/>
  <c r="K21" i="45" s="1"/>
  <c r="L21" i="45" s="1"/>
  <c r="H21" i="45"/>
  <c r="J20" i="45"/>
  <c r="K20" i="45"/>
  <c r="L20" i="45" s="1"/>
  <c r="H20" i="45"/>
  <c r="J19" i="45"/>
  <c r="K19" i="45" s="1"/>
  <c r="H19" i="45"/>
  <c r="J18" i="45"/>
  <c r="K18" i="45"/>
  <c r="H18" i="45"/>
  <c r="J17" i="45"/>
  <c r="K17" i="45" s="1"/>
  <c r="L17" i="45" s="1"/>
  <c r="H17" i="45"/>
  <c r="J16" i="45"/>
  <c r="K16" i="45"/>
  <c r="L16" i="45" s="1"/>
  <c r="H16" i="45"/>
  <c r="J15" i="45"/>
  <c r="K15" i="45" s="1"/>
  <c r="H15" i="45"/>
  <c r="J14" i="45"/>
  <c r="K14" i="45"/>
  <c r="H14" i="45"/>
  <c r="J13" i="45"/>
  <c r="K13" i="45" s="1"/>
  <c r="L13" i="45" s="1"/>
  <c r="H13" i="45"/>
  <c r="J12" i="45"/>
  <c r="K12" i="45"/>
  <c r="L12" i="45" s="1"/>
  <c r="H12" i="45"/>
  <c r="J11" i="45"/>
  <c r="K11" i="45" s="1"/>
  <c r="H11" i="45"/>
  <c r="J10" i="45"/>
  <c r="K10" i="45"/>
  <c r="H10" i="45"/>
  <c r="J9" i="45"/>
  <c r="K9" i="45" s="1"/>
  <c r="L9" i="45" s="1"/>
  <c r="H9" i="45"/>
  <c r="J8" i="45"/>
  <c r="K8" i="45"/>
  <c r="L8" i="45" s="1"/>
  <c r="H8" i="45"/>
  <c r="J7" i="45"/>
  <c r="K7" i="45" s="1"/>
  <c r="H7" i="45"/>
  <c r="J6" i="45"/>
  <c r="K6" i="45"/>
  <c r="H6" i="45"/>
  <c r="J5" i="45"/>
  <c r="K5" i="45" s="1"/>
  <c r="L5" i="45" s="1"/>
  <c r="H5" i="45"/>
  <c r="J73" i="44"/>
  <c r="K73" i="44"/>
  <c r="L73" i="44" s="1"/>
  <c r="H73" i="44"/>
  <c r="J72" i="44"/>
  <c r="K72" i="44"/>
  <c r="L72" i="44" s="1"/>
  <c r="H72" i="44"/>
  <c r="J71" i="44"/>
  <c r="K71" i="44"/>
  <c r="L71" i="44" s="1"/>
  <c r="H71" i="44"/>
  <c r="J69" i="44"/>
  <c r="K69" i="44"/>
  <c r="L69" i="44" s="1"/>
  <c r="H69" i="44"/>
  <c r="J68" i="44"/>
  <c r="K68" i="44"/>
  <c r="L68" i="44" s="1"/>
  <c r="H68" i="44"/>
  <c r="J67" i="44"/>
  <c r="K67" i="44"/>
  <c r="L67" i="44" s="1"/>
  <c r="H67" i="44"/>
  <c r="J65" i="44"/>
  <c r="K65" i="44"/>
  <c r="L65" i="44" s="1"/>
  <c r="H65" i="44"/>
  <c r="J64" i="44"/>
  <c r="K64" i="44"/>
  <c r="L64" i="44" s="1"/>
  <c r="H64" i="44"/>
  <c r="J63" i="44"/>
  <c r="K63" i="44"/>
  <c r="L63" i="44" s="1"/>
  <c r="H63" i="44"/>
  <c r="J60" i="44"/>
  <c r="K60" i="44"/>
  <c r="L60" i="44" s="1"/>
  <c r="H60" i="44"/>
  <c r="J59" i="44"/>
  <c r="K59" i="44"/>
  <c r="L59" i="44" s="1"/>
  <c r="H59" i="44"/>
  <c r="J57" i="44"/>
  <c r="K57" i="44"/>
  <c r="L57" i="44" s="1"/>
  <c r="H57" i="44"/>
  <c r="J56" i="44"/>
  <c r="K56" i="44"/>
  <c r="L56" i="44" s="1"/>
  <c r="H56" i="44"/>
  <c r="J53" i="44"/>
  <c r="K53" i="44"/>
  <c r="H53" i="44"/>
  <c r="J52" i="44"/>
  <c r="K52" i="44"/>
  <c r="H52" i="44"/>
  <c r="J51" i="44"/>
  <c r="K51" i="44"/>
  <c r="H51" i="44"/>
  <c r="J49" i="44"/>
  <c r="K49" i="44" s="1"/>
  <c r="L49" i="44" s="1"/>
  <c r="H49" i="44"/>
  <c r="J48" i="44"/>
  <c r="K48" i="44"/>
  <c r="H48" i="44"/>
  <c r="J47" i="44"/>
  <c r="K47" i="44"/>
  <c r="H47" i="44"/>
  <c r="J45" i="44"/>
  <c r="K45" i="44"/>
  <c r="H45" i="44"/>
  <c r="J44" i="44"/>
  <c r="K44" i="44" s="1"/>
  <c r="L44" i="44" s="1"/>
  <c r="H44" i="44"/>
  <c r="J43" i="44"/>
  <c r="K43" i="44"/>
  <c r="H43" i="44"/>
  <c r="J40" i="44"/>
  <c r="K40" i="44"/>
  <c r="H40" i="44"/>
  <c r="J39" i="44"/>
  <c r="K39" i="44"/>
  <c r="H39" i="44"/>
  <c r="J37" i="44"/>
  <c r="K37" i="44" s="1"/>
  <c r="L37" i="44" s="1"/>
  <c r="H37" i="44"/>
  <c r="J36" i="44"/>
  <c r="K36" i="44"/>
  <c r="H36" i="44"/>
  <c r="J35" i="44"/>
  <c r="K35" i="44"/>
  <c r="H35" i="44"/>
  <c r="J34" i="44"/>
  <c r="K34" i="44"/>
  <c r="H34" i="44"/>
  <c r="J31" i="44"/>
  <c r="K31" i="44" s="1"/>
  <c r="L31" i="44" s="1"/>
  <c r="H31" i="44"/>
  <c r="J30" i="44"/>
  <c r="K30" i="44" s="1"/>
  <c r="L30" i="44" s="1"/>
  <c r="H30" i="44"/>
  <c r="J28" i="44"/>
  <c r="K28" i="44" s="1"/>
  <c r="L28" i="44" s="1"/>
  <c r="H28" i="44"/>
  <c r="J27" i="44"/>
  <c r="K27" i="44" s="1"/>
  <c r="L27" i="44" s="1"/>
  <c r="H27" i="44"/>
  <c r="J24" i="44"/>
  <c r="K24" i="44" s="1"/>
  <c r="L24" i="44" s="1"/>
  <c r="H24" i="44"/>
  <c r="J23" i="44"/>
  <c r="K23" i="44" s="1"/>
  <c r="L23" i="44" s="1"/>
  <c r="H23" i="44"/>
  <c r="J22" i="44"/>
  <c r="K22" i="44" s="1"/>
  <c r="L22" i="44" s="1"/>
  <c r="H22" i="44"/>
  <c r="J20" i="44"/>
  <c r="K20" i="44" s="1"/>
  <c r="L20" i="44" s="1"/>
  <c r="H20" i="44"/>
  <c r="J19" i="44"/>
  <c r="K19" i="44" s="1"/>
  <c r="L19" i="44" s="1"/>
  <c r="H19" i="44"/>
  <c r="J18" i="44"/>
  <c r="K18" i="44" s="1"/>
  <c r="L18" i="44" s="1"/>
  <c r="H18" i="44"/>
  <c r="J17" i="44"/>
  <c r="K17" i="44" s="1"/>
  <c r="L17" i="44" s="1"/>
  <c r="H17" i="44"/>
  <c r="J15" i="44"/>
  <c r="K15" i="44" s="1"/>
  <c r="L15" i="44" s="1"/>
  <c r="H15" i="44"/>
  <c r="J14" i="44"/>
  <c r="K14" i="44" s="1"/>
  <c r="L14" i="44" s="1"/>
  <c r="L16" i="44" s="1"/>
  <c r="L26" i="44" s="1"/>
  <c r="H14" i="44"/>
  <c r="J11" i="44"/>
  <c r="K11" i="44" s="1"/>
  <c r="L11" i="44" s="1"/>
  <c r="H11" i="44"/>
  <c r="J10" i="44"/>
  <c r="K10" i="44"/>
  <c r="H10" i="44"/>
  <c r="J8" i="44"/>
  <c r="K8" i="44" s="1"/>
  <c r="H8" i="44"/>
  <c r="J7" i="44"/>
  <c r="K7" i="44"/>
  <c r="H7" i="44"/>
  <c r="J6" i="44"/>
  <c r="K6" i="44" s="1"/>
  <c r="L6" i="44" s="1"/>
  <c r="H6" i="44"/>
  <c r="J50" i="43"/>
  <c r="K50" i="43"/>
  <c r="H50" i="43"/>
  <c r="J49" i="43"/>
  <c r="K49" i="43" s="1"/>
  <c r="H49" i="43"/>
  <c r="J48" i="43"/>
  <c r="K48" i="43"/>
  <c r="H48" i="43"/>
  <c r="J47" i="43"/>
  <c r="K47" i="43" s="1"/>
  <c r="L47" i="43" s="1"/>
  <c r="H47" i="43"/>
  <c r="J46" i="43"/>
  <c r="K46" i="43"/>
  <c r="H46" i="43"/>
  <c r="J45" i="43"/>
  <c r="K45" i="43" s="1"/>
  <c r="H45" i="43"/>
  <c r="J44" i="43"/>
  <c r="K44" i="43"/>
  <c r="H44" i="43"/>
  <c r="J43" i="43"/>
  <c r="K43" i="43" s="1"/>
  <c r="H43" i="43"/>
  <c r="J42" i="43"/>
  <c r="K42" i="43"/>
  <c r="H42" i="43"/>
  <c r="J41" i="43"/>
  <c r="K41" i="43" s="1"/>
  <c r="H41" i="43"/>
  <c r="J40" i="43"/>
  <c r="K40" i="43"/>
  <c r="H40" i="43"/>
  <c r="J39" i="43"/>
  <c r="K39" i="43" s="1"/>
  <c r="L39" i="43" s="1"/>
  <c r="H39" i="43"/>
  <c r="J38" i="43"/>
  <c r="K38" i="43"/>
  <c r="H38" i="43"/>
  <c r="J37" i="43"/>
  <c r="K37" i="43" s="1"/>
  <c r="H37" i="43"/>
  <c r="J36" i="43"/>
  <c r="K36" i="43"/>
  <c r="H36" i="43"/>
  <c r="J35" i="43"/>
  <c r="K35" i="43" s="1"/>
  <c r="H35" i="43"/>
  <c r="J34" i="43"/>
  <c r="K34" i="43"/>
  <c r="H34" i="43"/>
  <c r="J33" i="43"/>
  <c r="K33" i="43" s="1"/>
  <c r="H33" i="43"/>
  <c r="J32" i="43"/>
  <c r="K32" i="43"/>
  <c r="H32" i="43"/>
  <c r="J31" i="43"/>
  <c r="K31" i="43" s="1"/>
  <c r="L31" i="43" s="1"/>
  <c r="H31" i="43"/>
  <c r="J30" i="43"/>
  <c r="K30" i="43"/>
  <c r="H30" i="43"/>
  <c r="J29" i="43"/>
  <c r="K29" i="43" s="1"/>
  <c r="H29" i="43"/>
  <c r="J28" i="43"/>
  <c r="K28" i="43"/>
  <c r="H28" i="43"/>
  <c r="J27" i="43"/>
  <c r="K27" i="43" s="1"/>
  <c r="H27" i="43"/>
  <c r="J26" i="43"/>
  <c r="K26" i="43"/>
  <c r="H26" i="43"/>
  <c r="J25" i="43"/>
  <c r="K25" i="43" s="1"/>
  <c r="H25" i="43"/>
  <c r="J24" i="43"/>
  <c r="K24" i="43"/>
  <c r="H24" i="43"/>
  <c r="J23" i="43"/>
  <c r="K23" i="43" s="1"/>
  <c r="L23" i="43" s="1"/>
  <c r="H23" i="43"/>
  <c r="J22" i="43"/>
  <c r="K22" i="43"/>
  <c r="H22" i="43"/>
  <c r="J21" i="43"/>
  <c r="K21" i="43" s="1"/>
  <c r="H21" i="43"/>
  <c r="J20" i="43"/>
  <c r="K20" i="43"/>
  <c r="H20" i="43"/>
  <c r="J19" i="43"/>
  <c r="K19" i="43" s="1"/>
  <c r="L19" i="43" s="1"/>
  <c r="H19" i="43"/>
  <c r="J18" i="43"/>
  <c r="K18" i="43"/>
  <c r="H18" i="43"/>
  <c r="J17" i="43"/>
  <c r="K17" i="43" s="1"/>
  <c r="H17" i="43"/>
  <c r="J16" i="43"/>
  <c r="K16" i="43"/>
  <c r="H16" i="43"/>
  <c r="J15" i="43"/>
  <c r="K15" i="43" s="1"/>
  <c r="L15" i="43" s="1"/>
  <c r="H15" i="43"/>
  <c r="J14" i="43"/>
  <c r="K14" i="43"/>
  <c r="H14" i="43"/>
  <c r="J13" i="43"/>
  <c r="K13" i="43" s="1"/>
  <c r="H13" i="43"/>
  <c r="J12" i="43"/>
  <c r="K12" i="43"/>
  <c r="H12" i="43"/>
  <c r="J11" i="43"/>
  <c r="K11" i="43" s="1"/>
  <c r="L11" i="43" s="1"/>
  <c r="H11" i="43"/>
  <c r="J10" i="43"/>
  <c r="K10" i="43"/>
  <c r="H10" i="43"/>
  <c r="J9" i="43"/>
  <c r="K9" i="43" s="1"/>
  <c r="H9" i="43"/>
  <c r="J8" i="43"/>
  <c r="K8" i="43"/>
  <c r="H8" i="43"/>
  <c r="J7" i="43"/>
  <c r="K7" i="43" s="1"/>
  <c r="L7" i="43" s="1"/>
  <c r="H7" i="43"/>
  <c r="J6" i="43"/>
  <c r="K6" i="43"/>
  <c r="H6" i="43"/>
  <c r="J5" i="43"/>
  <c r="K5" i="43" s="1"/>
  <c r="H5" i="43"/>
  <c r="J47" i="42"/>
  <c r="K47" i="42"/>
  <c r="H47" i="42"/>
  <c r="J37" i="42"/>
  <c r="K37" i="42" s="1"/>
  <c r="L37" i="42" s="1"/>
  <c r="H37" i="42"/>
  <c r="J53" i="42"/>
  <c r="K53" i="42"/>
  <c r="H53" i="42"/>
  <c r="J21" i="42"/>
  <c r="K21" i="42" s="1"/>
  <c r="H21" i="42"/>
  <c r="J12" i="42"/>
  <c r="K12" i="42"/>
  <c r="H12" i="42"/>
  <c r="J52" i="42"/>
  <c r="K52" i="42" s="1"/>
  <c r="L52" i="42" s="1"/>
  <c r="H52" i="42"/>
  <c r="J34" i="42"/>
  <c r="K34" i="42"/>
  <c r="H34" i="42"/>
  <c r="J25" i="42"/>
  <c r="K25" i="42" s="1"/>
  <c r="H25" i="42"/>
  <c r="J31" i="42"/>
  <c r="K31" i="42"/>
  <c r="H31" i="42"/>
  <c r="J20" i="42"/>
  <c r="K20" i="42" s="1"/>
  <c r="L20" i="42" s="1"/>
  <c r="H20" i="42"/>
  <c r="J19" i="42"/>
  <c r="K19" i="42"/>
  <c r="H19" i="42"/>
  <c r="J36" i="42"/>
  <c r="K36" i="42" s="1"/>
  <c r="H36" i="42"/>
  <c r="J44" i="42"/>
  <c r="K44" i="42"/>
  <c r="H44" i="42"/>
  <c r="J23" i="42"/>
  <c r="K23" i="42" s="1"/>
  <c r="L23" i="42" s="1"/>
  <c r="H23" i="42"/>
  <c r="J29" i="42"/>
  <c r="K29" i="42"/>
  <c r="H29" i="42"/>
  <c r="J46" i="42"/>
  <c r="K46" i="42" s="1"/>
  <c r="H46" i="42"/>
  <c r="J30" i="42"/>
  <c r="K30" i="42"/>
  <c r="H30" i="42"/>
  <c r="J11" i="42"/>
  <c r="K11" i="42" s="1"/>
  <c r="L11" i="42" s="1"/>
  <c r="H11" i="42"/>
  <c r="J10" i="42"/>
  <c r="K10" i="42"/>
  <c r="H10" i="42"/>
  <c r="J14" i="42"/>
  <c r="K14" i="42" s="1"/>
  <c r="H14" i="42"/>
  <c r="J9" i="42"/>
  <c r="K9" i="42"/>
  <c r="H9" i="42"/>
  <c r="J40" i="42"/>
  <c r="K40" i="42" s="1"/>
  <c r="L40" i="42" s="1"/>
  <c r="H40" i="42"/>
  <c r="J8" i="42"/>
  <c r="K8" i="42"/>
  <c r="H8" i="42"/>
  <c r="J33" i="42"/>
  <c r="K33" i="42" s="1"/>
  <c r="H33" i="42"/>
  <c r="J43" i="42"/>
  <c r="K43" i="42"/>
  <c r="H43" i="42"/>
  <c r="J42" i="42"/>
  <c r="K42" i="42" s="1"/>
  <c r="L42" i="42" s="1"/>
  <c r="H42" i="42"/>
  <c r="J24" i="42"/>
  <c r="K24" i="42"/>
  <c r="H24" i="42"/>
  <c r="J28" i="42"/>
  <c r="K28" i="42" s="1"/>
  <c r="H28" i="42"/>
  <c r="J18" i="42"/>
  <c r="K18" i="42"/>
  <c r="H18" i="42"/>
  <c r="J27" i="42"/>
  <c r="K27" i="42" s="1"/>
  <c r="L27" i="42" s="1"/>
  <c r="H27" i="42"/>
  <c r="J26" i="42"/>
  <c r="K26" i="42"/>
  <c r="H26" i="42"/>
  <c r="J39" i="42"/>
  <c r="K39" i="42" s="1"/>
  <c r="H39" i="42"/>
  <c r="J41" i="42"/>
  <c r="K41" i="42"/>
  <c r="H41" i="42"/>
  <c r="J45" i="42"/>
  <c r="K45" i="42" s="1"/>
  <c r="L45" i="42" s="1"/>
  <c r="H45" i="42"/>
  <c r="J50" i="42"/>
  <c r="K50" i="42"/>
  <c r="H50" i="42"/>
  <c r="J51" i="42"/>
  <c r="K51" i="42" s="1"/>
  <c r="H51" i="42"/>
  <c r="J17" i="42"/>
  <c r="K17" i="42"/>
  <c r="H17" i="42"/>
  <c r="J16" i="42"/>
  <c r="K16" i="42" s="1"/>
  <c r="L16" i="42" s="1"/>
  <c r="H16" i="42"/>
  <c r="J13" i="42"/>
  <c r="K13" i="42"/>
  <c r="H13" i="42"/>
  <c r="J15" i="42"/>
  <c r="K15" i="42" s="1"/>
  <c r="H15" i="42"/>
  <c r="J22" i="42"/>
  <c r="K22" i="42"/>
  <c r="H22" i="42"/>
  <c r="J35" i="42"/>
  <c r="K35" i="42" s="1"/>
  <c r="H35" i="42"/>
  <c r="J49" i="42"/>
  <c r="K49" i="42"/>
  <c r="H49" i="42"/>
  <c r="J48" i="42"/>
  <c r="K48" i="42" s="1"/>
  <c r="H48" i="42"/>
  <c r="J38" i="42"/>
  <c r="K38" i="42"/>
  <c r="H38" i="42"/>
  <c r="J32" i="42"/>
  <c r="K32" i="42" s="1"/>
  <c r="L32" i="42" s="1"/>
  <c r="H32" i="42"/>
  <c r="E6" i="41"/>
  <c r="E7" i="41"/>
  <c r="E8" i="41"/>
  <c r="E9" i="41"/>
  <c r="E10" i="41"/>
  <c r="E11" i="41"/>
  <c r="E12" i="41"/>
  <c r="E13" i="41"/>
  <c r="E5" i="41"/>
  <c r="C6" i="41"/>
  <c r="D6" i="41"/>
  <c r="F6" i="41"/>
  <c r="C7" i="41"/>
  <c r="D7" i="41"/>
  <c r="F7" i="41"/>
  <c r="C8" i="41"/>
  <c r="D8" i="41"/>
  <c r="F8" i="41"/>
  <c r="C9" i="41"/>
  <c r="D9" i="41"/>
  <c r="F9" i="41"/>
  <c r="C10" i="41"/>
  <c r="D10" i="41"/>
  <c r="F10" i="41"/>
  <c r="C11" i="41"/>
  <c r="D11" i="41"/>
  <c r="F11" i="41"/>
  <c r="C12" i="41"/>
  <c r="D12" i="41"/>
  <c r="F12" i="41"/>
  <c r="C13" i="41"/>
  <c r="D13" i="41"/>
  <c r="F13" i="41"/>
  <c r="F5" i="41"/>
  <c r="D5" i="41"/>
  <c r="C5" i="41"/>
  <c r="L61" i="44"/>
  <c r="B13" i="50"/>
  <c r="B14" i="50"/>
  <c r="B12" i="49"/>
  <c r="B13" i="49"/>
  <c r="B14" i="49"/>
  <c r="B12" i="48"/>
  <c r="L31" i="45"/>
  <c r="B12" i="47"/>
  <c r="L35" i="45"/>
  <c r="L6" i="45"/>
  <c r="L10" i="45"/>
  <c r="L14" i="45"/>
  <c r="L18" i="45"/>
  <c r="L22" i="45"/>
  <c r="L26" i="45"/>
  <c r="L30" i="45"/>
  <c r="L34" i="45"/>
  <c r="L38" i="45"/>
  <c r="L42" i="45"/>
  <c r="L46" i="45"/>
  <c r="L74" i="44"/>
  <c r="L37" i="45"/>
  <c r="L24" i="45"/>
  <c r="L32" i="45"/>
  <c r="L40" i="45"/>
  <c r="L48" i="45"/>
  <c r="L7" i="45"/>
  <c r="L11" i="45"/>
  <c r="L15" i="45"/>
  <c r="L19" i="45"/>
  <c r="L70" i="44"/>
  <c r="L32" i="44"/>
  <c r="L29" i="44"/>
  <c r="L21" i="44"/>
  <c r="L8" i="44"/>
  <c r="L35" i="44"/>
  <c r="L40" i="44"/>
  <c r="L47" i="44"/>
  <c r="L52" i="44"/>
  <c r="L7" i="44"/>
  <c r="L10" i="44"/>
  <c r="L34" i="44"/>
  <c r="L36" i="44"/>
  <c r="L39" i="44"/>
  <c r="L43" i="44"/>
  <c r="L45" i="44"/>
  <c r="L48" i="44"/>
  <c r="L51" i="44"/>
  <c r="L53" i="44"/>
  <c r="L51" i="42"/>
  <c r="L39" i="42"/>
  <c r="L28" i="42"/>
  <c r="L33" i="42"/>
  <c r="L14" i="42"/>
  <c r="L46" i="42"/>
  <c r="L36" i="42"/>
  <c r="L25" i="42"/>
  <c r="L21" i="42"/>
  <c r="L5" i="43"/>
  <c r="L9" i="43"/>
  <c r="L13" i="43"/>
  <c r="L17" i="43"/>
  <c r="L21" i="43"/>
  <c r="L25" i="43"/>
  <c r="L27" i="43"/>
  <c r="L29" i="43"/>
  <c r="L33" i="43"/>
  <c r="L35" i="43"/>
  <c r="L37" i="43"/>
  <c r="L41" i="43"/>
  <c r="L43" i="43"/>
  <c r="L45" i="43"/>
  <c r="L49" i="43"/>
  <c r="L6" i="43"/>
  <c r="L8" i="43"/>
  <c r="L10" i="43"/>
  <c r="L12" i="43"/>
  <c r="L14" i="43"/>
  <c r="L16" i="43"/>
  <c r="L18" i="43"/>
  <c r="L20" i="43"/>
  <c r="L22" i="43"/>
  <c r="L24" i="43"/>
  <c r="L26" i="43"/>
  <c r="L28" i="43"/>
  <c r="L30" i="43"/>
  <c r="L32" i="43"/>
  <c r="L34" i="43"/>
  <c r="L36" i="43"/>
  <c r="L38" i="43"/>
  <c r="L40" i="43"/>
  <c r="L42" i="43"/>
  <c r="L44" i="43"/>
  <c r="L46" i="43"/>
  <c r="L48" i="43"/>
  <c r="L50" i="43"/>
  <c r="L35" i="42"/>
  <c r="L49" i="42"/>
  <c r="L13" i="42"/>
  <c r="L17" i="42"/>
  <c r="L50" i="42"/>
  <c r="L41" i="42"/>
  <c r="L26" i="42"/>
  <c r="L18" i="42"/>
  <c r="L24" i="42"/>
  <c r="L43" i="42"/>
  <c r="L8" i="42"/>
  <c r="L9" i="42"/>
  <c r="L10" i="42"/>
  <c r="L30" i="42"/>
  <c r="L29" i="42"/>
  <c r="L44" i="42"/>
  <c r="L19" i="42"/>
  <c r="L31" i="42"/>
  <c r="L34" i="42"/>
  <c r="L12" i="42"/>
  <c r="L53" i="42"/>
  <c r="L47" i="42"/>
  <c r="L38" i="42"/>
  <c r="L22" i="42"/>
  <c r="L48" i="42"/>
  <c r="L15" i="42"/>
  <c r="AB30" i="39"/>
  <c r="AA30" i="39"/>
  <c r="W30" i="39"/>
  <c r="T30" i="39"/>
  <c r="Z30" i="39"/>
  <c r="I30" i="39"/>
  <c r="Y30" i="39"/>
  <c r="AC30" i="39"/>
  <c r="AB29" i="39"/>
  <c r="AA29" i="39"/>
  <c r="W29" i="39"/>
  <c r="T29" i="39"/>
  <c r="Z29" i="39"/>
  <c r="I29" i="39"/>
  <c r="Y29" i="39"/>
  <c r="AC29" i="39"/>
  <c r="AB28" i="39"/>
  <c r="AA28" i="39"/>
  <c r="W28" i="39"/>
  <c r="T28" i="39"/>
  <c r="Z28" i="39"/>
  <c r="I28" i="39"/>
  <c r="Y28" i="39"/>
  <c r="AC28" i="39"/>
  <c r="AB27" i="39"/>
  <c r="AA27" i="39"/>
  <c r="W27" i="39"/>
  <c r="T27" i="39"/>
  <c r="Z27" i="39"/>
  <c r="I27" i="39"/>
  <c r="Y27" i="39"/>
  <c r="AC27" i="39"/>
  <c r="AB26" i="39"/>
  <c r="AA26" i="39"/>
  <c r="W26" i="39"/>
  <c r="T26" i="39"/>
  <c r="Z26" i="39"/>
  <c r="I26" i="39"/>
  <c r="Y26" i="39"/>
  <c r="AC26" i="39"/>
  <c r="AB25" i="39"/>
  <c r="AA25" i="39"/>
  <c r="W25" i="39"/>
  <c r="T25" i="39"/>
  <c r="Z25" i="39"/>
  <c r="I25" i="39"/>
  <c r="Y25" i="39"/>
  <c r="AC25" i="39"/>
  <c r="AB24" i="39"/>
  <c r="AA24" i="39"/>
  <c r="W24" i="39"/>
  <c r="T24" i="39"/>
  <c r="Z24" i="39"/>
  <c r="I24" i="39"/>
  <c r="Y24" i="39"/>
  <c r="AC24" i="39"/>
  <c r="AB23" i="39"/>
  <c r="AA23" i="39"/>
  <c r="W23" i="39"/>
  <c r="T23" i="39"/>
  <c r="Z23" i="39"/>
  <c r="I23" i="39"/>
  <c r="Y23" i="39"/>
  <c r="AC23" i="39"/>
  <c r="AB22" i="39"/>
  <c r="AA22" i="39"/>
  <c r="W22" i="39"/>
  <c r="T22" i="39"/>
  <c r="Z22" i="39"/>
  <c r="I22" i="39"/>
  <c r="Y22" i="39"/>
  <c r="AC22" i="39"/>
  <c r="AB21" i="39"/>
  <c r="AA21" i="39"/>
  <c r="W21" i="39"/>
  <c r="T21" i="39"/>
  <c r="Z21" i="39"/>
  <c r="I21" i="39"/>
  <c r="Y21" i="39"/>
  <c r="AC21" i="39"/>
  <c r="AB20" i="39"/>
  <c r="AA20" i="39"/>
  <c r="W20" i="39"/>
  <c r="T20" i="39"/>
  <c r="Z20" i="39"/>
  <c r="I20" i="39"/>
  <c r="Y20" i="39"/>
  <c r="AC20" i="39"/>
  <c r="AB19" i="39"/>
  <c r="AA19" i="39"/>
  <c r="W19" i="39"/>
  <c r="T19" i="39"/>
  <c r="Z19" i="39"/>
  <c r="I19" i="39"/>
  <c r="Y19" i="39"/>
  <c r="AC19" i="39"/>
  <c r="AB18" i="39"/>
  <c r="AA18" i="39"/>
  <c r="W18" i="39"/>
  <c r="T18" i="39"/>
  <c r="Z18" i="39"/>
  <c r="I18" i="39"/>
  <c r="Y18" i="39"/>
  <c r="AC18" i="39"/>
  <c r="AB17" i="39"/>
  <c r="AA17" i="39"/>
  <c r="W17" i="39"/>
  <c r="T17" i="39"/>
  <c r="Z17" i="39"/>
  <c r="I17" i="39"/>
  <c r="Y17" i="39"/>
  <c r="AC17" i="39"/>
  <c r="AB16" i="39"/>
  <c r="AA16" i="39"/>
  <c r="W16" i="39"/>
  <c r="T16" i="39"/>
  <c r="Z16" i="39"/>
  <c r="I16" i="39"/>
  <c r="Y16" i="39"/>
  <c r="AC16" i="39"/>
  <c r="AB15" i="39"/>
  <c r="AA15" i="39"/>
  <c r="W15" i="39"/>
  <c r="T15" i="39"/>
  <c r="Z15" i="39"/>
  <c r="I15" i="39"/>
  <c r="Y15" i="39"/>
  <c r="AC15" i="39"/>
  <c r="AB14" i="39"/>
  <c r="AA14" i="39"/>
  <c r="W14" i="39"/>
  <c r="T14" i="39"/>
  <c r="Z14" i="39"/>
  <c r="I14" i="39"/>
  <c r="Y14" i="39"/>
  <c r="AC14" i="39"/>
  <c r="AB13" i="39"/>
  <c r="AA13" i="39"/>
  <c r="W13" i="39"/>
  <c r="T13" i="39"/>
  <c r="Z13" i="39"/>
  <c r="I13" i="39"/>
  <c r="Y13" i="39"/>
  <c r="AC13" i="39"/>
  <c r="AB12" i="39"/>
  <c r="AA12" i="39"/>
  <c r="W12" i="39"/>
  <c r="T12" i="39"/>
  <c r="Z12" i="39"/>
  <c r="I12" i="39"/>
  <c r="Y12" i="39"/>
  <c r="AB11" i="39"/>
  <c r="W11" i="39"/>
  <c r="AA11" i="39"/>
  <c r="T11" i="39"/>
  <c r="Z11" i="39"/>
  <c r="I11" i="39"/>
  <c r="Y11" i="39"/>
  <c r="AB10" i="39"/>
  <c r="AA10" i="39"/>
  <c r="W10" i="39"/>
  <c r="T10" i="39"/>
  <c r="Z10" i="39"/>
  <c r="I10" i="39"/>
  <c r="Y10" i="39"/>
  <c r="AB9" i="39"/>
  <c r="W9" i="39"/>
  <c r="AA9" i="39"/>
  <c r="T9" i="39"/>
  <c r="Z9" i="39"/>
  <c r="I9" i="39"/>
  <c r="Y9" i="39"/>
  <c r="AB8" i="39"/>
  <c r="AA8" i="39"/>
  <c r="W8" i="39"/>
  <c r="T8" i="39"/>
  <c r="Z8" i="39"/>
  <c r="I8" i="39"/>
  <c r="Y8" i="39"/>
  <c r="AC11" i="39"/>
  <c r="AG16" i="39"/>
  <c r="AD16" i="39"/>
  <c r="AF16" i="39"/>
  <c r="AG18" i="39"/>
  <c r="AF18" i="39"/>
  <c r="AD18" i="39"/>
  <c r="AG22" i="39"/>
  <c r="AF22" i="39"/>
  <c r="AD22" i="39"/>
  <c r="AG24" i="39"/>
  <c r="AF24" i="39"/>
  <c r="AD24" i="39"/>
  <c r="AC9" i="39"/>
  <c r="AG13" i="39"/>
  <c r="AF13" i="39"/>
  <c r="AD13" i="39"/>
  <c r="AG15" i="39"/>
  <c r="AF15" i="39"/>
  <c r="AD15" i="39"/>
  <c r="AG17" i="39"/>
  <c r="AD17" i="39"/>
  <c r="AF17" i="39"/>
  <c r="AG19" i="39"/>
  <c r="AF19" i="39"/>
  <c r="AD19" i="39"/>
  <c r="AG21" i="39"/>
  <c r="AF21" i="39"/>
  <c r="AD21" i="39"/>
  <c r="AG23" i="39"/>
  <c r="AF23" i="39"/>
  <c r="AD23" i="39"/>
  <c r="AG25" i="39"/>
  <c r="AF25" i="39"/>
  <c r="AD25" i="39"/>
  <c r="AG27" i="39"/>
  <c r="AF27" i="39"/>
  <c r="AD27" i="39"/>
  <c r="AG29" i="39"/>
  <c r="AF29" i="39"/>
  <c r="AD29" i="39"/>
  <c r="AC8" i="39"/>
  <c r="AC12" i="39"/>
  <c r="AE13" i="39"/>
  <c r="AE15" i="39"/>
  <c r="AE17" i="39"/>
  <c r="AE19" i="39"/>
  <c r="AE21" i="39"/>
  <c r="AE23" i="39"/>
  <c r="AE25" i="39"/>
  <c r="AE27" i="39"/>
  <c r="AE29" i="39"/>
  <c r="AG14" i="39"/>
  <c r="AF14" i="39"/>
  <c r="AD14" i="39"/>
  <c r="AG20" i="39"/>
  <c r="AF20" i="39"/>
  <c r="AD20" i="39"/>
  <c r="AG26" i="39"/>
  <c r="AF26" i="39"/>
  <c r="AD26" i="39"/>
  <c r="AG28" i="39"/>
  <c r="AF28" i="39"/>
  <c r="AD28" i="39"/>
  <c r="AG30" i="39"/>
  <c r="AF30" i="39"/>
  <c r="AD30" i="39"/>
  <c r="AC10" i="39"/>
  <c r="AE14" i="39"/>
  <c r="AE16" i="39"/>
  <c r="AE18" i="39"/>
  <c r="AE20" i="39"/>
  <c r="AE22" i="39"/>
  <c r="AE24" i="39"/>
  <c r="AE26" i="39"/>
  <c r="AE28" i="39"/>
  <c r="AE30" i="39"/>
  <c r="AG8" i="39"/>
  <c r="AD8" i="39"/>
  <c r="AF8" i="39"/>
  <c r="AE8" i="39"/>
  <c r="AG10" i="39"/>
  <c r="AD10" i="39"/>
  <c r="AF10" i="39"/>
  <c r="AE10" i="39"/>
  <c r="AG12" i="39"/>
  <c r="AD12" i="39"/>
  <c r="AF12" i="39"/>
  <c r="AE12" i="39"/>
  <c r="AG9" i="39"/>
  <c r="AD9" i="39"/>
  <c r="AE9" i="39"/>
  <c r="AF9" i="39"/>
  <c r="AG11" i="39"/>
  <c r="AD11" i="39"/>
  <c r="AE11" i="39"/>
  <c r="AF11" i="39"/>
  <c r="B11" i="27"/>
  <c r="B10" i="27"/>
  <c r="B12" i="27"/>
  <c r="B9" i="27"/>
  <c r="B11" i="26"/>
  <c r="B10" i="26"/>
  <c r="B12" i="26"/>
  <c r="B13" i="26"/>
  <c r="B14" i="26"/>
  <c r="B9" i="26"/>
  <c r="B11" i="25"/>
  <c r="B10" i="25"/>
  <c r="B12" i="25"/>
  <c r="B13" i="25"/>
  <c r="B14" i="25"/>
  <c r="B9" i="25"/>
  <c r="B11" i="24"/>
  <c r="B10" i="24"/>
  <c r="B12" i="24"/>
  <c r="B13" i="24"/>
  <c r="B14" i="24"/>
  <c r="B9" i="24"/>
  <c r="B11" i="23"/>
  <c r="B10" i="23"/>
  <c r="B12" i="23"/>
  <c r="B13" i="23"/>
  <c r="B14" i="23"/>
  <c r="B9" i="23"/>
  <c r="J50" i="21"/>
  <c r="K50" i="21"/>
  <c r="L50" i="21" s="1"/>
  <c r="H50" i="21"/>
  <c r="J49" i="21"/>
  <c r="K49" i="21"/>
  <c r="L49" i="21" s="1"/>
  <c r="H49" i="21"/>
  <c r="J48" i="21"/>
  <c r="K48" i="21"/>
  <c r="L48" i="21" s="1"/>
  <c r="H48" i="21"/>
  <c r="J47" i="21"/>
  <c r="K47" i="21"/>
  <c r="L47" i="21" s="1"/>
  <c r="H47" i="21"/>
  <c r="J46" i="21"/>
  <c r="K46" i="21"/>
  <c r="L46" i="21" s="1"/>
  <c r="H46" i="21"/>
  <c r="J45" i="21"/>
  <c r="K45" i="21"/>
  <c r="L45" i="21" s="1"/>
  <c r="H45" i="21"/>
  <c r="J44" i="21"/>
  <c r="K44" i="21"/>
  <c r="L44" i="21" s="1"/>
  <c r="H44" i="21"/>
  <c r="J43" i="21"/>
  <c r="K43" i="21"/>
  <c r="L43" i="21" s="1"/>
  <c r="H43" i="21"/>
  <c r="J42" i="21"/>
  <c r="K42" i="21"/>
  <c r="L42" i="21" s="1"/>
  <c r="H42" i="21"/>
  <c r="J41" i="21"/>
  <c r="K41" i="21"/>
  <c r="L41" i="21" s="1"/>
  <c r="H41" i="21"/>
  <c r="J40" i="21"/>
  <c r="K40" i="21"/>
  <c r="L40" i="21" s="1"/>
  <c r="H40" i="21"/>
  <c r="J39" i="21"/>
  <c r="K39" i="21"/>
  <c r="L39" i="21" s="1"/>
  <c r="H39" i="21"/>
  <c r="J38" i="21"/>
  <c r="K38" i="21"/>
  <c r="L38" i="21" s="1"/>
  <c r="H38" i="21"/>
  <c r="J37" i="21"/>
  <c r="K37" i="21"/>
  <c r="L37" i="21" s="1"/>
  <c r="H37" i="21"/>
  <c r="J36" i="21"/>
  <c r="K36" i="21"/>
  <c r="L36" i="21" s="1"/>
  <c r="H36" i="21"/>
  <c r="J35" i="21"/>
  <c r="K35" i="21"/>
  <c r="L35" i="21" s="1"/>
  <c r="H35" i="21"/>
  <c r="J34" i="21"/>
  <c r="K34" i="21"/>
  <c r="L34" i="21" s="1"/>
  <c r="H34" i="21"/>
  <c r="J33" i="21"/>
  <c r="K33" i="21"/>
  <c r="L33" i="21" s="1"/>
  <c r="H33" i="21"/>
  <c r="J32" i="21"/>
  <c r="K32" i="21"/>
  <c r="L32" i="21" s="1"/>
  <c r="H32" i="21"/>
  <c r="J31" i="21"/>
  <c r="K31" i="21"/>
  <c r="L31" i="21" s="1"/>
  <c r="H31" i="21"/>
  <c r="J30" i="21"/>
  <c r="K30" i="21"/>
  <c r="L30" i="21" s="1"/>
  <c r="H30" i="21"/>
  <c r="J29" i="21"/>
  <c r="K29" i="21"/>
  <c r="L29" i="21" s="1"/>
  <c r="H29" i="21"/>
  <c r="J28" i="21"/>
  <c r="K28" i="21"/>
  <c r="L28" i="21" s="1"/>
  <c r="H28" i="21"/>
  <c r="J27" i="21"/>
  <c r="K27" i="21"/>
  <c r="L27" i="21" s="1"/>
  <c r="H27" i="21"/>
  <c r="J26" i="21"/>
  <c r="K26" i="21"/>
  <c r="L26" i="21" s="1"/>
  <c r="H26" i="21"/>
  <c r="J25" i="21"/>
  <c r="K25" i="21"/>
  <c r="L25" i="21" s="1"/>
  <c r="H25" i="21"/>
  <c r="J24" i="21"/>
  <c r="K24" i="21"/>
  <c r="L24" i="21" s="1"/>
  <c r="H24" i="21"/>
  <c r="J23" i="21"/>
  <c r="K23" i="21"/>
  <c r="L23" i="21" s="1"/>
  <c r="H23" i="21"/>
  <c r="J22" i="21"/>
  <c r="K22" i="21"/>
  <c r="L22" i="21" s="1"/>
  <c r="H22" i="21"/>
  <c r="J21" i="21"/>
  <c r="K21" i="21"/>
  <c r="L21" i="21" s="1"/>
  <c r="H21" i="21"/>
  <c r="J20" i="21"/>
  <c r="K20" i="21"/>
  <c r="L20" i="21" s="1"/>
  <c r="H20" i="21"/>
  <c r="J19" i="21"/>
  <c r="K19" i="21"/>
  <c r="L19" i="21" s="1"/>
  <c r="H19" i="21"/>
  <c r="J18" i="21"/>
  <c r="K18" i="21"/>
  <c r="L18" i="21" s="1"/>
  <c r="H18" i="21"/>
  <c r="J17" i="21"/>
  <c r="K17" i="21" s="1"/>
  <c r="L17" i="21" s="1"/>
  <c r="H17" i="21"/>
  <c r="J16" i="21"/>
  <c r="K16" i="21" s="1"/>
  <c r="L16" i="21" s="1"/>
  <c r="H16" i="21"/>
  <c r="J15" i="21"/>
  <c r="K15" i="21" s="1"/>
  <c r="L15" i="21" s="1"/>
  <c r="H15" i="21"/>
  <c r="J14" i="21"/>
  <c r="K14" i="21" s="1"/>
  <c r="L14" i="21" s="1"/>
  <c r="H14" i="21"/>
  <c r="J13" i="21"/>
  <c r="K13" i="21" s="1"/>
  <c r="L13" i="21" s="1"/>
  <c r="H13" i="21"/>
  <c r="J12" i="21"/>
  <c r="K12" i="21" s="1"/>
  <c r="L12" i="21" s="1"/>
  <c r="H12" i="21"/>
  <c r="J11" i="21"/>
  <c r="K11" i="21" s="1"/>
  <c r="L11" i="21" s="1"/>
  <c r="H11" i="21"/>
  <c r="J10" i="21"/>
  <c r="K10" i="21" s="1"/>
  <c r="L10" i="21" s="1"/>
  <c r="H10" i="21"/>
  <c r="J9" i="21"/>
  <c r="K9" i="21" s="1"/>
  <c r="L9" i="21" s="1"/>
  <c r="H9" i="21"/>
  <c r="J8" i="21"/>
  <c r="K8" i="21" s="1"/>
  <c r="L8" i="21" s="1"/>
  <c r="H8" i="21"/>
  <c r="J7" i="21"/>
  <c r="K7" i="21" s="1"/>
  <c r="L7" i="21" s="1"/>
  <c r="H7" i="21"/>
  <c r="J6" i="21"/>
  <c r="K6" i="21" s="1"/>
  <c r="L6" i="21" s="1"/>
  <c r="H6" i="21"/>
  <c r="J5" i="21"/>
  <c r="K5" i="21" s="1"/>
  <c r="L5" i="21" s="1"/>
  <c r="H5" i="21"/>
  <c r="J51" i="20"/>
  <c r="K51" i="20" s="1"/>
  <c r="L51" i="20" s="1"/>
  <c r="H51" i="20"/>
  <c r="J39" i="20"/>
  <c r="K39" i="20"/>
  <c r="H39" i="20"/>
  <c r="J57" i="20"/>
  <c r="K57" i="20"/>
  <c r="H57" i="20"/>
  <c r="J20" i="20"/>
  <c r="K20" i="20" s="1"/>
  <c r="L20" i="20" s="1"/>
  <c r="H20" i="20"/>
  <c r="J10" i="20"/>
  <c r="K10" i="20" s="1"/>
  <c r="H10" i="20"/>
  <c r="J56" i="20"/>
  <c r="K56" i="20"/>
  <c r="H56" i="20"/>
  <c r="J36" i="20"/>
  <c r="K36" i="20"/>
  <c r="H36" i="20"/>
  <c r="J25" i="20"/>
  <c r="K25" i="20" s="1"/>
  <c r="L25" i="20" s="1"/>
  <c r="H25" i="20"/>
  <c r="J32" i="20"/>
  <c r="K32" i="20" s="1"/>
  <c r="L32" i="20" s="1"/>
  <c r="H32" i="20"/>
  <c r="J19" i="20"/>
  <c r="K19" i="20"/>
  <c r="H19" i="20"/>
  <c r="J18" i="20"/>
  <c r="K18" i="20"/>
  <c r="H18" i="20"/>
  <c r="J38" i="20"/>
  <c r="K38" i="20" s="1"/>
  <c r="L38" i="20" s="1"/>
  <c r="H38" i="20"/>
  <c r="J47" i="20"/>
  <c r="K47" i="20" s="1"/>
  <c r="L47" i="20" s="1"/>
  <c r="H47" i="20"/>
  <c r="J23" i="20"/>
  <c r="K23" i="20"/>
  <c r="H23" i="20"/>
  <c r="J30" i="20"/>
  <c r="K30" i="20"/>
  <c r="H30" i="20"/>
  <c r="J50" i="20"/>
  <c r="K50" i="20" s="1"/>
  <c r="L50" i="20" s="1"/>
  <c r="H50" i="20"/>
  <c r="J31" i="20"/>
  <c r="K31" i="20" s="1"/>
  <c r="L31" i="20" s="1"/>
  <c r="H31" i="20"/>
  <c r="J9" i="20"/>
  <c r="K9" i="20"/>
  <c r="H9" i="20"/>
  <c r="J8" i="20"/>
  <c r="K8" i="20"/>
  <c r="H8" i="20"/>
  <c r="J13" i="20"/>
  <c r="K13" i="20" s="1"/>
  <c r="L13" i="20" s="1"/>
  <c r="H13" i="20"/>
  <c r="J7" i="20"/>
  <c r="K7" i="20" s="1"/>
  <c r="L7" i="20" s="1"/>
  <c r="H7" i="20"/>
  <c r="J42" i="20"/>
  <c r="K42" i="20"/>
  <c r="H42" i="20"/>
  <c r="J6" i="20"/>
  <c r="K6" i="20" s="1"/>
  <c r="L6" i="20" s="1"/>
  <c r="H6" i="20"/>
  <c r="J35" i="20"/>
  <c r="K35" i="20" s="1"/>
  <c r="L35" i="20" s="1"/>
  <c r="H35" i="20"/>
  <c r="J46" i="20"/>
  <c r="K46" i="20" s="1"/>
  <c r="L46" i="20" s="1"/>
  <c r="H46" i="20"/>
  <c r="J45" i="20"/>
  <c r="K45" i="20"/>
  <c r="H45" i="20"/>
  <c r="J24" i="20"/>
  <c r="K24" i="20"/>
  <c r="H24" i="20"/>
  <c r="J29" i="20"/>
  <c r="K29" i="20" s="1"/>
  <c r="H29" i="20"/>
  <c r="J17" i="20"/>
  <c r="K17" i="20" s="1"/>
  <c r="L17" i="20" s="1"/>
  <c r="L21" i="20" s="1"/>
  <c r="H17" i="20"/>
  <c r="J28" i="20"/>
  <c r="K28" i="20"/>
  <c r="H28" i="20"/>
  <c r="J27" i="20"/>
  <c r="K27" i="20"/>
  <c r="H27" i="20"/>
  <c r="J41" i="20"/>
  <c r="K41" i="20" s="1"/>
  <c r="L41" i="20" s="1"/>
  <c r="H41" i="20"/>
  <c r="J44" i="20"/>
  <c r="K44" i="20" s="1"/>
  <c r="L44" i="20" s="1"/>
  <c r="H44" i="20"/>
  <c r="J49" i="20"/>
  <c r="K49" i="20"/>
  <c r="H49" i="20"/>
  <c r="J54" i="20"/>
  <c r="K54" i="20"/>
  <c r="H54" i="20"/>
  <c r="J55" i="20"/>
  <c r="K55" i="20" s="1"/>
  <c r="L55" i="20" s="1"/>
  <c r="H55" i="20"/>
  <c r="J16" i="20"/>
  <c r="K16" i="20" s="1"/>
  <c r="L16" i="20" s="1"/>
  <c r="H16" i="20"/>
  <c r="J15" i="20"/>
  <c r="K15" i="20"/>
  <c r="H15" i="20"/>
  <c r="J12" i="20"/>
  <c r="K12" i="20" s="1"/>
  <c r="L12" i="20" s="1"/>
  <c r="H12" i="20"/>
  <c r="J14" i="20"/>
  <c r="K14" i="20" s="1"/>
  <c r="H14" i="20"/>
  <c r="J22" i="20"/>
  <c r="K22" i="20" s="1"/>
  <c r="L22" i="20" s="1"/>
  <c r="L26" i="20" s="1"/>
  <c r="H22" i="20"/>
  <c r="J37" i="20"/>
  <c r="K37" i="20"/>
  <c r="H37" i="20"/>
  <c r="J53" i="20"/>
  <c r="K53" i="20" s="1"/>
  <c r="L53" i="20" s="1"/>
  <c r="H53" i="20"/>
  <c r="J52" i="20"/>
  <c r="K52" i="20" s="1"/>
  <c r="L52" i="20" s="1"/>
  <c r="H52" i="20"/>
  <c r="J40" i="20"/>
  <c r="K40" i="20" s="1"/>
  <c r="L40" i="20" s="1"/>
  <c r="H40" i="20"/>
  <c r="J34" i="20"/>
  <c r="K34" i="20"/>
  <c r="H34" i="20"/>
  <c r="J50" i="19"/>
  <c r="K50" i="19" s="1"/>
  <c r="L50" i="19" s="1"/>
  <c r="H50" i="19"/>
  <c r="J49" i="19"/>
  <c r="K49" i="19" s="1"/>
  <c r="L49" i="19" s="1"/>
  <c r="H49" i="19"/>
  <c r="J48" i="19"/>
  <c r="K48" i="19" s="1"/>
  <c r="L48" i="19" s="1"/>
  <c r="H48" i="19"/>
  <c r="J47" i="19"/>
  <c r="K47" i="19" s="1"/>
  <c r="L47" i="19" s="1"/>
  <c r="H47" i="19"/>
  <c r="J46" i="19"/>
  <c r="K46" i="19" s="1"/>
  <c r="L46" i="19" s="1"/>
  <c r="H46" i="19"/>
  <c r="J45" i="19"/>
  <c r="K45" i="19" s="1"/>
  <c r="L45" i="19" s="1"/>
  <c r="H45" i="19"/>
  <c r="J44" i="19"/>
  <c r="K44" i="19" s="1"/>
  <c r="L44" i="19" s="1"/>
  <c r="H44" i="19"/>
  <c r="J43" i="19"/>
  <c r="K43" i="19" s="1"/>
  <c r="L43" i="19" s="1"/>
  <c r="H43" i="19"/>
  <c r="J42" i="19"/>
  <c r="K42" i="19" s="1"/>
  <c r="L42" i="19" s="1"/>
  <c r="H42" i="19"/>
  <c r="J41" i="19"/>
  <c r="K41" i="19" s="1"/>
  <c r="L41" i="19" s="1"/>
  <c r="H41" i="19"/>
  <c r="J40" i="19"/>
  <c r="K40" i="19" s="1"/>
  <c r="L40" i="19" s="1"/>
  <c r="H40" i="19"/>
  <c r="J39" i="19"/>
  <c r="K39" i="19" s="1"/>
  <c r="L39" i="19" s="1"/>
  <c r="H39" i="19"/>
  <c r="J38" i="19"/>
  <c r="K38" i="19" s="1"/>
  <c r="L38" i="19" s="1"/>
  <c r="H38" i="19"/>
  <c r="J37" i="19"/>
  <c r="K37" i="19" s="1"/>
  <c r="L37" i="19" s="1"/>
  <c r="H37" i="19"/>
  <c r="J36" i="19"/>
  <c r="K36" i="19" s="1"/>
  <c r="L36" i="19" s="1"/>
  <c r="H36" i="19"/>
  <c r="J35" i="19"/>
  <c r="K35" i="19" s="1"/>
  <c r="L35" i="19" s="1"/>
  <c r="H35" i="19"/>
  <c r="J34" i="19"/>
  <c r="K34" i="19" s="1"/>
  <c r="L34" i="19" s="1"/>
  <c r="H34" i="19"/>
  <c r="J33" i="19"/>
  <c r="K33" i="19" s="1"/>
  <c r="L33" i="19" s="1"/>
  <c r="H33" i="19"/>
  <c r="J32" i="19"/>
  <c r="K32" i="19" s="1"/>
  <c r="L32" i="19" s="1"/>
  <c r="H32" i="19"/>
  <c r="J31" i="19"/>
  <c r="K31" i="19" s="1"/>
  <c r="L31" i="19" s="1"/>
  <c r="H31" i="19"/>
  <c r="J30" i="19"/>
  <c r="K30" i="19" s="1"/>
  <c r="L30" i="19" s="1"/>
  <c r="H30" i="19"/>
  <c r="J29" i="19"/>
  <c r="K29" i="19" s="1"/>
  <c r="L29" i="19" s="1"/>
  <c r="H29" i="19"/>
  <c r="J28" i="19"/>
  <c r="K28" i="19" s="1"/>
  <c r="L28" i="19" s="1"/>
  <c r="H28" i="19"/>
  <c r="J27" i="19"/>
  <c r="K27" i="19" s="1"/>
  <c r="L27" i="19" s="1"/>
  <c r="H27" i="19"/>
  <c r="J26" i="19"/>
  <c r="K26" i="19" s="1"/>
  <c r="L26" i="19" s="1"/>
  <c r="H26" i="19"/>
  <c r="J25" i="19"/>
  <c r="K25" i="19" s="1"/>
  <c r="L25" i="19" s="1"/>
  <c r="H25" i="19"/>
  <c r="J24" i="19"/>
  <c r="K24" i="19" s="1"/>
  <c r="L24" i="19" s="1"/>
  <c r="H24" i="19"/>
  <c r="J23" i="19"/>
  <c r="K23" i="19" s="1"/>
  <c r="L23" i="19" s="1"/>
  <c r="H23" i="19"/>
  <c r="J22" i="19"/>
  <c r="K22" i="19" s="1"/>
  <c r="L22" i="19" s="1"/>
  <c r="H22" i="19"/>
  <c r="J21" i="19"/>
  <c r="K21" i="19" s="1"/>
  <c r="L21" i="19" s="1"/>
  <c r="H21" i="19"/>
  <c r="J20" i="19"/>
  <c r="K20" i="19" s="1"/>
  <c r="L20" i="19" s="1"/>
  <c r="H20" i="19"/>
  <c r="J19" i="19"/>
  <c r="K19" i="19" s="1"/>
  <c r="L19" i="19" s="1"/>
  <c r="H19" i="19"/>
  <c r="J18" i="19"/>
  <c r="K18" i="19" s="1"/>
  <c r="L18" i="19" s="1"/>
  <c r="H18" i="19"/>
  <c r="J17" i="19"/>
  <c r="K17" i="19" s="1"/>
  <c r="L17" i="19" s="1"/>
  <c r="H17" i="19"/>
  <c r="J16" i="19"/>
  <c r="K16" i="19" s="1"/>
  <c r="L16" i="19" s="1"/>
  <c r="H16" i="19"/>
  <c r="J15" i="19"/>
  <c r="K15" i="19" s="1"/>
  <c r="L15" i="19" s="1"/>
  <c r="H15" i="19"/>
  <c r="J14" i="19"/>
  <c r="K14" i="19" s="1"/>
  <c r="L14" i="19" s="1"/>
  <c r="H14" i="19"/>
  <c r="J13" i="19"/>
  <c r="K13" i="19" s="1"/>
  <c r="L13" i="19" s="1"/>
  <c r="H13" i="19"/>
  <c r="J12" i="19"/>
  <c r="K12" i="19" s="1"/>
  <c r="L12" i="19" s="1"/>
  <c r="H12" i="19"/>
  <c r="J11" i="19"/>
  <c r="K11" i="19" s="1"/>
  <c r="L11" i="19" s="1"/>
  <c r="H11" i="19"/>
  <c r="J10" i="19"/>
  <c r="K10" i="19" s="1"/>
  <c r="L10" i="19" s="1"/>
  <c r="H10" i="19"/>
  <c r="J9" i="19"/>
  <c r="K9" i="19" s="1"/>
  <c r="L9" i="19" s="1"/>
  <c r="H9" i="19"/>
  <c r="J8" i="19"/>
  <c r="K8" i="19" s="1"/>
  <c r="L8" i="19" s="1"/>
  <c r="H8" i="19"/>
  <c r="J7" i="19"/>
  <c r="K7" i="19" s="1"/>
  <c r="L7" i="19" s="1"/>
  <c r="H7" i="19"/>
  <c r="J6" i="19"/>
  <c r="K6" i="19" s="1"/>
  <c r="L6" i="19" s="1"/>
  <c r="H6" i="19"/>
  <c r="J5" i="19"/>
  <c r="K5" i="19" s="1"/>
  <c r="L5" i="19" s="1"/>
  <c r="H5" i="19"/>
  <c r="H5" i="18"/>
  <c r="J5" i="18"/>
  <c r="K5" i="18"/>
  <c r="L5" i="18" s="1"/>
  <c r="H6" i="18"/>
  <c r="J6" i="18"/>
  <c r="K6" i="18"/>
  <c r="L6" i="18" s="1"/>
  <c r="H7" i="18"/>
  <c r="J7" i="18"/>
  <c r="K7" i="18"/>
  <c r="L7" i="18" s="1"/>
  <c r="H8" i="18"/>
  <c r="J8" i="18"/>
  <c r="K8" i="18"/>
  <c r="L8" i="18" s="1"/>
  <c r="H9" i="18"/>
  <c r="J9" i="18"/>
  <c r="K9" i="18"/>
  <c r="L9" i="18" s="1"/>
  <c r="H10" i="18"/>
  <c r="J10" i="18"/>
  <c r="K10" i="18"/>
  <c r="L10" i="18" s="1"/>
  <c r="H11" i="18"/>
  <c r="J11" i="18"/>
  <c r="K11" i="18"/>
  <c r="L11" i="18" s="1"/>
  <c r="H12" i="18"/>
  <c r="J12" i="18"/>
  <c r="K12" i="18"/>
  <c r="L12" i="18" s="1"/>
  <c r="H13" i="18"/>
  <c r="J13" i="18"/>
  <c r="K13" i="18"/>
  <c r="L13" i="18" s="1"/>
  <c r="H14" i="18"/>
  <c r="J14" i="18"/>
  <c r="K14" i="18"/>
  <c r="L14" i="18" s="1"/>
  <c r="H15" i="18"/>
  <c r="J15" i="18"/>
  <c r="K15" i="18"/>
  <c r="L15" i="18" s="1"/>
  <c r="H16" i="18"/>
  <c r="J16" i="18"/>
  <c r="K16" i="18"/>
  <c r="L16" i="18" s="1"/>
  <c r="H17" i="18"/>
  <c r="J17" i="18"/>
  <c r="K17" i="18"/>
  <c r="L17" i="18" s="1"/>
  <c r="H18" i="18"/>
  <c r="J18" i="18"/>
  <c r="K18" i="18"/>
  <c r="L18" i="18" s="1"/>
  <c r="H19" i="18"/>
  <c r="J19" i="18"/>
  <c r="K19" i="18"/>
  <c r="L19" i="18" s="1"/>
  <c r="H20" i="18"/>
  <c r="J20" i="18"/>
  <c r="K20" i="18"/>
  <c r="L20" i="18" s="1"/>
  <c r="H21" i="18"/>
  <c r="J21" i="18"/>
  <c r="K21" i="18"/>
  <c r="L21" i="18" s="1"/>
  <c r="H22" i="18"/>
  <c r="J22" i="18"/>
  <c r="K22" i="18"/>
  <c r="L22" i="18" s="1"/>
  <c r="H23" i="18"/>
  <c r="J23" i="18"/>
  <c r="K23" i="18"/>
  <c r="L23" i="18" s="1"/>
  <c r="H24" i="18"/>
  <c r="J24" i="18"/>
  <c r="K24" i="18"/>
  <c r="L24" i="18" s="1"/>
  <c r="H25" i="18"/>
  <c r="J25" i="18"/>
  <c r="K25" i="18"/>
  <c r="L25" i="18" s="1"/>
  <c r="H26" i="18"/>
  <c r="J26" i="18"/>
  <c r="K26" i="18"/>
  <c r="L26" i="18" s="1"/>
  <c r="H27" i="18"/>
  <c r="J27" i="18"/>
  <c r="K27" i="18"/>
  <c r="L27" i="18" s="1"/>
  <c r="H28" i="18"/>
  <c r="J28" i="18"/>
  <c r="K28" i="18"/>
  <c r="L28" i="18" s="1"/>
  <c r="H29" i="18"/>
  <c r="J29" i="18"/>
  <c r="K29" i="18"/>
  <c r="L29" i="18" s="1"/>
  <c r="H30" i="18"/>
  <c r="J30" i="18"/>
  <c r="K30" i="18"/>
  <c r="L30" i="18" s="1"/>
  <c r="H31" i="18"/>
  <c r="J31" i="18"/>
  <c r="K31" i="18" s="1"/>
  <c r="L31" i="18" s="1"/>
  <c r="H32" i="18"/>
  <c r="J32" i="18"/>
  <c r="K32" i="18" s="1"/>
  <c r="L32" i="18" s="1"/>
  <c r="H33" i="18"/>
  <c r="J33" i="18"/>
  <c r="K33" i="18" s="1"/>
  <c r="L33" i="18" s="1"/>
  <c r="H34" i="18"/>
  <c r="J34" i="18"/>
  <c r="K34" i="18" s="1"/>
  <c r="L34" i="18" s="1"/>
  <c r="H35" i="18"/>
  <c r="J35" i="18"/>
  <c r="K35" i="18" s="1"/>
  <c r="L35" i="18" s="1"/>
  <c r="H36" i="18"/>
  <c r="J36" i="18"/>
  <c r="K36" i="18" s="1"/>
  <c r="L36" i="18" s="1"/>
  <c r="H37" i="18"/>
  <c r="J37" i="18"/>
  <c r="K37" i="18" s="1"/>
  <c r="L37" i="18" s="1"/>
  <c r="H38" i="18"/>
  <c r="J38" i="18"/>
  <c r="K38" i="18" s="1"/>
  <c r="L38" i="18" s="1"/>
  <c r="H39" i="18"/>
  <c r="J39" i="18"/>
  <c r="K39" i="18" s="1"/>
  <c r="L39" i="18" s="1"/>
  <c r="H40" i="18"/>
  <c r="J40" i="18"/>
  <c r="K40" i="18" s="1"/>
  <c r="L40" i="18" s="1"/>
  <c r="H41" i="18"/>
  <c r="J41" i="18"/>
  <c r="K41" i="18" s="1"/>
  <c r="L41" i="18" s="1"/>
  <c r="H42" i="18"/>
  <c r="J42" i="18"/>
  <c r="K42" i="18" s="1"/>
  <c r="L42" i="18" s="1"/>
  <c r="H43" i="18"/>
  <c r="J43" i="18"/>
  <c r="K43" i="18" s="1"/>
  <c r="L43" i="18" s="1"/>
  <c r="H44" i="18"/>
  <c r="J44" i="18"/>
  <c r="K44" i="18" s="1"/>
  <c r="L44" i="18" s="1"/>
  <c r="H45" i="18"/>
  <c r="J45" i="18"/>
  <c r="K45" i="18" s="1"/>
  <c r="L45" i="18" s="1"/>
  <c r="H46" i="18"/>
  <c r="J46" i="18"/>
  <c r="K46" i="18" s="1"/>
  <c r="L46" i="18" s="1"/>
  <c r="H47" i="18"/>
  <c r="J47" i="18"/>
  <c r="K47" i="18" s="1"/>
  <c r="L47" i="18" s="1"/>
  <c r="H48" i="18"/>
  <c r="J48" i="18"/>
  <c r="K48" i="18" s="1"/>
  <c r="L48" i="18" s="1"/>
  <c r="H49" i="18"/>
  <c r="J49" i="18"/>
  <c r="K49" i="18" s="1"/>
  <c r="L49" i="18" s="1"/>
  <c r="H50" i="18"/>
  <c r="J50" i="18"/>
  <c r="K50" i="18" s="1"/>
  <c r="L50" i="18" s="1"/>
  <c r="B13" i="27"/>
  <c r="B14" i="27"/>
  <c r="B13" i="48"/>
  <c r="B14" i="48"/>
  <c r="D3" i="48"/>
  <c r="B13" i="47"/>
  <c r="E3" i="47"/>
  <c r="L30" i="20"/>
  <c r="L18" i="20"/>
  <c r="L36" i="20"/>
  <c r="L10" i="20"/>
  <c r="L57" i="20"/>
  <c r="L54" i="44"/>
  <c r="L50" i="44"/>
  <c r="L46" i="44"/>
  <c r="L55" i="44" s="1"/>
  <c r="L41" i="44"/>
  <c r="L38" i="44"/>
  <c r="L42" i="44" s="1"/>
  <c r="L12" i="44"/>
  <c r="L9" i="44"/>
  <c r="L13" i="44"/>
  <c r="L34" i="20"/>
  <c r="L37" i="20"/>
  <c r="L14" i="20"/>
  <c r="L15" i="20"/>
  <c r="L45" i="20"/>
  <c r="L49" i="20"/>
  <c r="L28" i="20"/>
  <c r="L9" i="20"/>
  <c r="L29" i="20"/>
  <c r="L23" i="20"/>
  <c r="L19" i="20"/>
  <c r="L56" i="20"/>
  <c r="L39" i="20"/>
  <c r="L24" i="20"/>
  <c r="L42" i="20"/>
  <c r="L54" i="20"/>
  <c r="L27" i="20"/>
  <c r="L8" i="20"/>
  <c r="B14" i="47"/>
  <c r="F3" i="47"/>
  <c r="G3" i="47"/>
  <c r="L58" i="20"/>
  <c r="L33" i="20" l="1"/>
  <c r="L48" i="20"/>
  <c r="L11" i="20"/>
  <c r="L59" i="20" s="1"/>
  <c r="L43" i="20"/>
  <c r="L33" i="44"/>
  <c r="L25" i="44"/>
  <c r="L76" i="44" s="1"/>
  <c r="L58" i="44"/>
  <c r="L62" i="44" s="1"/>
  <c r="L66" i="44"/>
  <c r="L75" i="44"/>
</calcChain>
</file>

<file path=xl/comments1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No edits.</t>
        </r>
      </text>
    </comment>
  </commentList>
</comments>
</file>

<file path=xl/sharedStrings.xml><?xml version="1.0" encoding="utf-8"?>
<sst xmlns="http://schemas.openxmlformats.org/spreadsheetml/2006/main" count="2425" uniqueCount="424">
  <si>
    <t>Retail Price Rate (Based on Wholesale):</t>
  </si>
  <si>
    <t>Standard Author Royalty Rate:</t>
  </si>
  <si>
    <t>Discipline</t>
  </si>
  <si>
    <t>Area</t>
  </si>
  <si>
    <t>Book Title</t>
  </si>
  <si>
    <t>Edition</t>
  </si>
  <si>
    <t>Copyright</t>
  </si>
  <si>
    <t>Units Sold Wholesale</t>
  </si>
  <si>
    <t>Unit Price Wholesale</t>
  </si>
  <si>
    <t>Sales: Wholesale</t>
  </si>
  <si>
    <t>Units Sold Retail</t>
  </si>
  <si>
    <t>Unit Price Retail</t>
  </si>
  <si>
    <t>Sales: 
Retail</t>
  </si>
  <si>
    <t>Total Book Sales</t>
  </si>
  <si>
    <t>Geography/Atmospheric Sciences</t>
  </si>
  <si>
    <t>Earth Science</t>
  </si>
  <si>
    <t>Applications and Investigations in Earth Science</t>
  </si>
  <si>
    <t>Physical Geography</t>
  </si>
  <si>
    <t>Applied Physical Geography</t>
  </si>
  <si>
    <t>Physics/Astronomy</t>
  </si>
  <si>
    <t>Introductory Astronomy</t>
  </si>
  <si>
    <t>Astronomy: A Beginner's Guide to the Universe</t>
  </si>
  <si>
    <t>Astronomy: The Universe at a Glance</t>
  </si>
  <si>
    <t>Introductory Meteorology</t>
  </si>
  <si>
    <t>Atmosphere: An Introduction to Meteorology</t>
  </si>
  <si>
    <t>Chemistry</t>
  </si>
  <si>
    <t>Introductory Chemistry</t>
  </si>
  <si>
    <t>Basic Chemistry</t>
  </si>
  <si>
    <t>Biology/Microbiology</t>
  </si>
  <si>
    <t>Introductory Biology</t>
  </si>
  <si>
    <t>Biology</t>
  </si>
  <si>
    <t>Human Biology</t>
  </si>
  <si>
    <t>Biology of Humans: Concepts, Applications, and Issues</t>
  </si>
  <si>
    <t>Biology: Life on Earth</t>
  </si>
  <si>
    <t>Biology: Science for Life</t>
  </si>
  <si>
    <t>Introductory Physics</t>
  </si>
  <si>
    <t>College Physics</t>
  </si>
  <si>
    <t>Cosmic Perspective</t>
  </si>
  <si>
    <t>Cosmology</t>
  </si>
  <si>
    <t>Cosmic Perspective Fundamentals</t>
  </si>
  <si>
    <t>Geology/Oceanography</t>
  </si>
  <si>
    <t>Geology</t>
  </si>
  <si>
    <t>Earth: An Introduction to Physical Geology</t>
  </si>
  <si>
    <t>Elemental Geosystems</t>
  </si>
  <si>
    <t>Environmental Science</t>
  </si>
  <si>
    <t>Introductory Environmental Science</t>
  </si>
  <si>
    <t>Environment and You</t>
  </si>
  <si>
    <t>Essential Biology</t>
  </si>
  <si>
    <t>Essential Environment</t>
  </si>
  <si>
    <t>Organic Chemistry</t>
  </si>
  <si>
    <t>Essential Organic Chemistry</t>
  </si>
  <si>
    <t>Essentials of Geology</t>
  </si>
  <si>
    <t>Oceanography</t>
  </si>
  <si>
    <t>Essentials of Oceanography</t>
  </si>
  <si>
    <t>Foundations of Earth Science</t>
  </si>
  <si>
    <t>Anatomy/Physiology</t>
  </si>
  <si>
    <t>Anatomy &amp; Physiology</t>
  </si>
  <si>
    <t>Fundamentals of Anatomy and Physiology</t>
  </si>
  <si>
    <t>Geosystems: An Introduction to Physical Geography</t>
  </si>
  <si>
    <t>Human Anatomy and Physiology</t>
  </si>
  <si>
    <t>Human Biology: Concepts and Current Issues</t>
  </si>
  <si>
    <t>Human Physiology</t>
  </si>
  <si>
    <t>Human Physiology: An Integrated Approach</t>
  </si>
  <si>
    <t>Resources and Conservation</t>
  </si>
  <si>
    <t>Hydrogeology</t>
  </si>
  <si>
    <t>Introduction to Astrophysics</t>
  </si>
  <si>
    <t>Introduction to Environmental Geology</t>
  </si>
  <si>
    <t>Introductory Oceanography</t>
  </si>
  <si>
    <t>Meteorology</t>
  </si>
  <si>
    <t>Microbiology</t>
  </si>
  <si>
    <t>Microbiology: An Introduction</t>
  </si>
  <si>
    <t>Microbiology: Principles and Explorations</t>
  </si>
  <si>
    <t>Natural Resource Conservation</t>
  </si>
  <si>
    <t>Our Changing Planet</t>
  </si>
  <si>
    <t>Physics</t>
  </si>
  <si>
    <t>Principles of Human Physiology</t>
  </si>
  <si>
    <t>Principles of Microbiology</t>
  </si>
  <si>
    <t>Thinking in Physics</t>
  </si>
  <si>
    <t>Understanding Weather and Climate</t>
  </si>
  <si>
    <t>Your Cosmic Context: An Introduction</t>
  </si>
  <si>
    <t>Total Interest Paid</t>
  </si>
  <si>
    <t>Total to Repay Loan</t>
  </si>
  <si>
    <t>Monthly Payment</t>
  </si>
  <si>
    <t>No. Payment Periods</t>
  </si>
  <si>
    <t>Periodic Rate</t>
  </si>
  <si>
    <t>Amount of Loan</t>
  </si>
  <si>
    <t>Output Area</t>
  </si>
  <si>
    <t>Payments Per Year</t>
  </si>
  <si>
    <t>No. Years for Loan</t>
  </si>
  <si>
    <t>APR</t>
  </si>
  <si>
    <t>Down Payment</t>
  </si>
  <si>
    <t>Monthly Payment by Cost/APR</t>
  </si>
  <si>
    <t>Calculated Results for Each APR</t>
  </si>
  <si>
    <t>Cost of Car</t>
  </si>
  <si>
    <t>Two-Variable Data Table: APR and Cost of Car</t>
  </si>
  <si>
    <t>One-Variable Data Table: APR</t>
  </si>
  <si>
    <t>Input Area</t>
  </si>
  <si>
    <t>Maximum</t>
  </si>
  <si>
    <t>Minimum</t>
  </si>
  <si>
    <t>Sales Rep</t>
  </si>
  <si>
    <t>Dallas</t>
  </si>
  <si>
    <t>Urban</t>
  </si>
  <si>
    <t>Trujillo</t>
  </si>
  <si>
    <t>Atlanta</t>
  </si>
  <si>
    <t>Skinner</t>
  </si>
  <si>
    <t>Nashville</t>
  </si>
  <si>
    <t>Sadler</t>
  </si>
  <si>
    <t>Proctor</t>
  </si>
  <si>
    <t>Novak</t>
  </si>
  <si>
    <t>Lynch</t>
  </si>
  <si>
    <t>Manager</t>
  </si>
  <si>
    <t>Lin</t>
  </si>
  <si>
    <t>Kemper</t>
  </si>
  <si>
    <t>Hutcherson</t>
  </si>
  <si>
    <t>Goodyear</t>
  </si>
  <si>
    <t>Gaddis</t>
  </si>
  <si>
    <t>Flowers</t>
  </si>
  <si>
    <t>Ferguson</t>
  </si>
  <si>
    <t>Dominguez</t>
  </si>
  <si>
    <t>Diaz</t>
  </si>
  <si>
    <t>Chin</t>
  </si>
  <si>
    <t>Brooks</t>
  </si>
  <si>
    <t>Armstrong</t>
  </si>
  <si>
    <t>Angel</t>
  </si>
  <si>
    <t>Raise Status</t>
  </si>
  <si>
    <t>Bonus Amount</t>
  </si>
  <si>
    <t>Salary</t>
  </si>
  <si>
    <t>Years Employed</t>
  </si>
  <si>
    <t>Hire Date</t>
  </si>
  <si>
    <t>Title</t>
  </si>
  <si>
    <t>Location</t>
  </si>
  <si>
    <t>Name</t>
  </si>
  <si>
    <t>Employee ID</t>
  </si>
  <si>
    <t>GetFit Sales Rep Salary Information</t>
  </si>
  <si>
    <t xml:space="preserve">Hired after </t>
  </si>
  <si>
    <t xml:space="preserve">Hired on or before </t>
  </si>
  <si>
    <t>Manager Salary Threshold</t>
  </si>
  <si>
    <t>Hired before</t>
  </si>
  <si>
    <t>Last Day of Year</t>
  </si>
  <si>
    <t>Percent</t>
  </si>
  <si>
    <t>Date</t>
  </si>
  <si>
    <t>Quick Search Results:</t>
  </si>
  <si>
    <t>Criteria:</t>
  </si>
  <si>
    <t># of Employees</t>
  </si>
  <si>
    <t>High</t>
  </si>
  <si>
    <t>Low</t>
  </si>
  <si>
    <t>Average</t>
  </si>
  <si>
    <t>Summary Statistics:</t>
  </si>
  <si>
    <t>Criteria Range:</t>
  </si>
  <si>
    <t>Totals</t>
  </si>
  <si>
    <t>Cumulative Principal</t>
  </si>
  <si>
    <t>Cumulative Interest</t>
  </si>
  <si>
    <t>Ending Balance</t>
  </si>
  <si>
    <t>Principal Repayment</t>
  </si>
  <si>
    <t>Interest Paid</t>
  </si>
  <si>
    <t>Beginning Balance</t>
  </si>
  <si>
    <t>Payment Number</t>
  </si>
  <si>
    <t>Pmts per Year</t>
  </si>
  <si>
    <t># of Payments</t>
  </si>
  <si>
    <t>Years</t>
  </si>
  <si>
    <t>Loan</t>
  </si>
  <si>
    <t>Payment</t>
  </si>
  <si>
    <t>Basic Output Area:</t>
  </si>
  <si>
    <t>Input Area:</t>
  </si>
  <si>
    <t>January</t>
  </si>
  <si>
    <t>February</t>
  </si>
  <si>
    <t>March</t>
  </si>
  <si>
    <t>New West</t>
  </si>
  <si>
    <t>Vancouver</t>
  </si>
  <si>
    <t>Burnaby</t>
  </si>
  <si>
    <t>Storage &amp; Cleaning</t>
  </si>
  <si>
    <t>Electronics</t>
  </si>
  <si>
    <t>Patio &amp; Garden</t>
  </si>
  <si>
    <t>Furniture</t>
  </si>
  <si>
    <t>Home Décor</t>
  </si>
  <si>
    <t>Bath</t>
  </si>
  <si>
    <t>Bedding</t>
  </si>
  <si>
    <t>Kitchen &amp; Dining</t>
  </si>
  <si>
    <t>Department</t>
  </si>
  <si>
    <t>Rocky Mountain Home Store</t>
  </si>
  <si>
    <t>June</t>
  </si>
  <si>
    <t>May</t>
  </si>
  <si>
    <t>April</t>
  </si>
  <si>
    <t>September</t>
  </si>
  <si>
    <t>August</t>
  </si>
  <si>
    <t>July</t>
  </si>
  <si>
    <t>December</t>
  </si>
  <si>
    <t>November</t>
  </si>
  <si>
    <t>October</t>
  </si>
  <si>
    <t>Months Per Year</t>
  </si>
  <si>
    <t>Interest Rate</t>
  </si>
  <si>
    <t>Locker Fee</t>
  </si>
  <si>
    <t>Individual</t>
  </si>
  <si>
    <t>Family</t>
  </si>
  <si>
    <t>Deluxe</t>
  </si>
  <si>
    <t>Cost</t>
  </si>
  <si>
    <t>Membership</t>
  </si>
  <si>
    <t>Ivans</t>
  </si>
  <si>
    <t>Hart</t>
  </si>
  <si>
    <t>Gardner</t>
  </si>
  <si>
    <t>Foust</t>
  </si>
  <si>
    <t>Evans</t>
  </si>
  <si>
    <t>Dudley</t>
  </si>
  <si>
    <t>Carter</t>
  </si>
  <si>
    <t>Baker</t>
  </si>
  <si>
    <t>Andrews</t>
  </si>
  <si>
    <t>Client</t>
  </si>
  <si>
    <t>Date Prepared:</t>
  </si>
  <si>
    <t>Health &amp; Fitness Gym</t>
  </si>
  <si>
    <t>Grade Book</t>
  </si>
  <si>
    <t>Course:</t>
  </si>
  <si>
    <t>CS 101 Intro to C# Programming</t>
  </si>
  <si>
    <t>Section:</t>
  </si>
  <si>
    <t>Professor:</t>
  </si>
  <si>
    <t>Dr. Denise Gerber</t>
  </si>
  <si>
    <t>Passing Score</t>
  </si>
  <si>
    <t>wrong</t>
  </si>
  <si>
    <t>correct</t>
  </si>
  <si>
    <t>A1</t>
  </si>
  <si>
    <t>A2</t>
  </si>
  <si>
    <t>A3</t>
  </si>
  <si>
    <t>A4</t>
  </si>
  <si>
    <t>A5</t>
  </si>
  <si>
    <t>A6</t>
  </si>
  <si>
    <t>A7</t>
  </si>
  <si>
    <t>A-Avg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</si>
  <si>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</si>
  <si>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</si>
  <si>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</si>
  <si>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</si>
  <si>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</si>
  <si>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</si>
  <si>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</si>
  <si>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</si>
  <si>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</si>
  <si>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</si>
  <si>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L-Total</t>
  </si>
  <si>
    <t>M1</t>
  </si>
  <si>
    <t>M2</t>
  </si>
  <si>
    <t>M-Avg</t>
  </si>
  <si>
    <t>Final</t>
  </si>
  <si>
    <t>A</t>
  </si>
  <si>
    <t>L</t>
  </si>
  <si>
    <t>MT</t>
  </si>
  <si>
    <t>F</t>
  </si>
  <si>
    <t>Total Pts</t>
  </si>
  <si>
    <t>Letter</t>
  </si>
  <si>
    <t>Pass/Fail</t>
  </si>
  <si>
    <t>Total</t>
  </si>
  <si>
    <t>Grade</t>
  </si>
  <si>
    <t>Atkin</t>
  </si>
  <si>
    <t>90-100</t>
  </si>
  <si>
    <t>Bailey</t>
  </si>
  <si>
    <t>80-89</t>
  </si>
  <si>
    <t>B</t>
  </si>
  <si>
    <t>Basquez</t>
  </si>
  <si>
    <t>70-79</t>
  </si>
  <si>
    <t>C</t>
  </si>
  <si>
    <t>Ethington</t>
  </si>
  <si>
    <t>0-69</t>
  </si>
  <si>
    <t>Isham</t>
  </si>
  <si>
    <t>Leung</t>
  </si>
  <si>
    <t>McAllister</t>
  </si>
  <si>
    <t>Mellor</t>
  </si>
  <si>
    <t>Myers</t>
  </si>
  <si>
    <t>Noakes</t>
  </si>
  <si>
    <t>Nuvek</t>
  </si>
  <si>
    <t>O'Hair</t>
  </si>
  <si>
    <t>Peugh</t>
  </si>
  <si>
    <t>Pulley</t>
  </si>
  <si>
    <t>Rodarte</t>
  </si>
  <si>
    <t>Sager</t>
  </si>
  <si>
    <t>Smith</t>
  </si>
  <si>
    <t>Stanworth</t>
  </si>
  <si>
    <t>Stuberg</t>
  </si>
  <si>
    <t>Takahashi</t>
  </si>
  <si>
    <t>Thomas</t>
  </si>
  <si>
    <t>Uribe</t>
  </si>
  <si>
    <t>Warburon</t>
  </si>
  <si>
    <t>Statistics</t>
  </si>
  <si>
    <t>Median</t>
  </si>
  <si>
    <t>Low Score</t>
  </si>
  <si>
    <t>High Score</t>
  </si>
  <si>
    <t>Categories</t>
  </si>
  <si>
    <t>Weights</t>
  </si>
  <si>
    <t>Assignments</t>
  </si>
  <si>
    <t>Labs</t>
  </si>
  <si>
    <t>Midterms</t>
  </si>
  <si>
    <t>Final Exam</t>
  </si>
  <si>
    <t>NestedIF</t>
  </si>
  <si>
    <t>vlookup</t>
  </si>
  <si>
    <t>Sorting by Sort &amp; Filter - do the last column first</t>
  </si>
  <si>
    <t>Custom Sort - first to last</t>
  </si>
  <si>
    <t>Home ribbon - Sort &amp; Filter - select Filter</t>
  </si>
  <si>
    <t>Remember to SORT first</t>
  </si>
  <si>
    <t>The Subtotals will be done in the order the data is sorted</t>
  </si>
  <si>
    <t>Leave as a range - do not create a table</t>
  </si>
  <si>
    <t>Anatomy/Physiology Total</t>
  </si>
  <si>
    <t>Biology/Microbiology Total</t>
  </si>
  <si>
    <t>Chemistry Total</t>
  </si>
  <si>
    <t>Environmental Science Total</t>
  </si>
  <si>
    <t>Geography/Atmospheric Sciences Total</t>
  </si>
  <si>
    <t>Geology/Oceanography Total</t>
  </si>
  <si>
    <t>Physics/Astronomy Total</t>
  </si>
  <si>
    <t>Grand Total</t>
  </si>
  <si>
    <t>Anatomy &amp; Physiology Total</t>
  </si>
  <si>
    <t>Human Physiology Total</t>
  </si>
  <si>
    <t>Human Biology Total</t>
  </si>
  <si>
    <t>Introductory Biology Total</t>
  </si>
  <si>
    <t>Microbiology Total</t>
  </si>
  <si>
    <t>Introductory Chemistry Total</t>
  </si>
  <si>
    <t>Organic Chemistry Total</t>
  </si>
  <si>
    <t>Introductory Environmental Science Total</t>
  </si>
  <si>
    <t>Resources and Conservation Total</t>
  </si>
  <si>
    <t>Earth Science Total</t>
  </si>
  <si>
    <t>Introductory Meteorology Total</t>
  </si>
  <si>
    <t>Physical Geography Total</t>
  </si>
  <si>
    <t>Geology Total</t>
  </si>
  <si>
    <t>Oceanography Total</t>
  </si>
  <si>
    <t>Cosmology Total</t>
  </si>
  <si>
    <t>Introductory Astronomy Total</t>
  </si>
  <si>
    <t>Introductory Physics Total</t>
  </si>
  <si>
    <t>Remember to DESELECT the "Replace current subtotatls" when you are creating a second or more</t>
  </si>
  <si>
    <t>No need to sort first</t>
  </si>
  <si>
    <t>Row Labels</t>
  </si>
  <si>
    <t>Sum of Total Book Sales</t>
  </si>
  <si>
    <t>$B$12</t>
  </si>
  <si>
    <t>Only maximums were put in but the minimums could be added</t>
  </si>
  <si>
    <t>Don't forget to select the report required. A separate worksheet work be created with the results.</t>
  </si>
  <si>
    <t>$B$4</t>
  </si>
  <si>
    <t>BoM</t>
  </si>
  <si>
    <t>Created by Joanne Atha on 2018-02-16</t>
  </si>
  <si>
    <t>TD</t>
  </si>
  <si>
    <t>Mom and Dad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</si>
  <si>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</si>
  <si>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</si>
  <si>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</si>
  <si>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</si>
  <si>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</si>
  <si>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</si>
  <si>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</si>
  <si>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A new worksheet will be created with the results</t>
  </si>
  <si>
    <t>&lt;50000</t>
  </si>
  <si>
    <t>Didn't need to include the row and column headings</t>
  </si>
  <si>
    <t>Number for days:</t>
  </si>
  <si>
    <t>Date received:</t>
  </si>
  <si>
    <t>Shipped Date:</t>
  </si>
  <si>
    <t>Order Date:</t>
  </si>
  <si>
    <t>No</t>
  </si>
  <si>
    <t>Oatmeal Chocolate Chip</t>
  </si>
  <si>
    <t>Oatmeal Raisin</t>
  </si>
  <si>
    <t>Yes</t>
  </si>
  <si>
    <t>Snicker Doodles</t>
  </si>
  <si>
    <t>Peanut Butter</t>
  </si>
  <si>
    <t>Ginger</t>
  </si>
  <si>
    <t>Oatmeal</t>
  </si>
  <si>
    <t>Sugar</t>
  </si>
  <si>
    <t>Chocolate Chip</t>
  </si>
  <si>
    <t>Warning</t>
  </si>
  <si>
    <t>Nuts/Allergies</t>
  </si>
  <si>
    <t>Discount</t>
  </si>
  <si>
    <t>Quantity purchased</t>
  </si>
  <si>
    <t>Nested IF</t>
  </si>
  <si>
    <t>FOOD ALLERGY NOTICE: Contains peanuts</t>
  </si>
  <si>
    <t>FOOD ALLERGY NOTICE: Manufactured in a facility that also processes peanuts</t>
  </si>
  <si>
    <t>Warning Labels</t>
  </si>
  <si>
    <t>Peanuts</t>
  </si>
  <si>
    <t>Mexico</t>
  </si>
  <si>
    <t>Canada</t>
  </si>
  <si>
    <t>US</t>
  </si>
  <si>
    <t># at Location</t>
  </si>
  <si>
    <t>Average Salary</t>
  </si>
  <si>
    <t>Total Salaries</t>
  </si>
  <si>
    <t>Supervisor</t>
  </si>
  <si>
    <t>Winston</t>
  </si>
  <si>
    <t>Suarez</t>
  </si>
  <si>
    <t>Spitzer</t>
  </si>
  <si>
    <t>Selig</t>
  </si>
  <si>
    <t>Schoenfield</t>
  </si>
  <si>
    <t>Sanchez</t>
  </si>
  <si>
    <t>Peters</t>
  </si>
  <si>
    <t>Patrick</t>
  </si>
  <si>
    <t>Lopez</t>
  </si>
  <si>
    <t>Leonard</t>
  </si>
  <si>
    <t>Jones</t>
  </si>
  <si>
    <t>Johnson</t>
  </si>
  <si>
    <t>James</t>
  </si>
  <si>
    <t>Hernandez</t>
  </si>
  <si>
    <t>Gomez</t>
  </si>
  <si>
    <t>Franklin</t>
  </si>
  <si>
    <t>Church</t>
  </si>
  <si>
    <t>Avila</t>
  </si>
  <si>
    <t>Alvarez</t>
  </si>
  <si>
    <t>Country</t>
  </si>
  <si>
    <t>Subtotal</t>
  </si>
  <si>
    <t>Amount Due</t>
  </si>
  <si>
    <t xml:space="preserve">JoJo's Cookies </t>
  </si>
  <si>
    <t>December 2018</t>
  </si>
  <si>
    <t>Merge &amp; Centre</t>
  </si>
  <si>
    <t>Centre Across Selection</t>
  </si>
  <si>
    <t>Countries</t>
  </si>
  <si>
    <t>Go to Formula bar</t>
  </si>
  <si>
    <t>Select "Use is Formula"</t>
  </si>
  <si>
    <t>Select Paste names (do not click on any of the names)</t>
  </si>
  <si>
    <t>Select Paste List</t>
  </si>
  <si>
    <t>Put your mouse in an empty cell</t>
  </si>
  <si>
    <t>='Range Names complete'!$A$18</t>
  </si>
  <si>
    <t>DeluxeCost</t>
  </si>
  <si>
    <t>='Range Names complete'!$B$18</t>
  </si>
  <si>
    <t>DeluxeDownPayment</t>
  </si>
  <si>
    <t>='Range Names complete'!$C$18</t>
  </si>
  <si>
    <t>='Range Names complete'!$A$19</t>
  </si>
  <si>
    <t>FamilyCost</t>
  </si>
  <si>
    <t>='Range Names complete'!$B$19</t>
  </si>
  <si>
    <t>FamilyDownPayment</t>
  </si>
  <si>
    <t>='Range Names complete'!$C$19</t>
  </si>
  <si>
    <t>='Range Names complete'!$A$20</t>
  </si>
  <si>
    <t>IndividualCost</t>
  </si>
  <si>
    <t>='Range Names complete'!$B$20</t>
  </si>
  <si>
    <t>IndividualDownPayment</t>
  </si>
  <si>
    <t>='Range Names complete'!$C$20</t>
  </si>
  <si>
    <t>Result</t>
  </si>
  <si>
    <t>North Vancouver</t>
  </si>
  <si>
    <t>West 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</si>
</sst>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&quot;$&quot;* #,##0.00_-;\-&quot;$&quot;* #,##0.00_-;_-&quot;$&quot;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_(&quot;$&quot;* #,##0_);_(&quot;$&quot;* \(#,##0\);_(&quot;$&quot;* &quot;-&quot;??_);_(@_)"/>
    <numFmt numFmtId="169" formatCode="_(* #,##0.0_);_(* \(#,##0.0\);_(* &quot;-&quot;??_);_(@_)"/>
    <numFmt numFmtId="170" formatCode="0.000%"/>
    <numFmt numFmtId="171" formatCode="0.0%"/>
    <numFmt numFmtId="172" formatCode="&quot;Monthly Payment&quot;"/>
    <numFmt numFmtId="173" formatCode="&quot;Interest Paid&quot;"/>
    <numFmt numFmtId="174" formatCode="&quot;Total to Repay&quot;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22"/>
      <color theme="3"/>
      <name val="Arial"/>
      <family val="2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3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8" fillId="11" borderId="0" applyNumberFormat="0" applyBorder="0" applyAlignment="0" applyProtection="0"/>
    <xf numFmtId="0" fontId="19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</cellStyleXfs>
  <cellXfs count="150">
    <xf numFmtId="0" fontId="0" fillId="0" borderId="0" xfId="0"/>
    <xf numFmtId="165" fontId="0" fillId="0" borderId="0" xfId="2" applyNumberFormat="1" applyFont="1"/>
    <xf numFmtId="165" fontId="0" fillId="0" borderId="0" xfId="0" applyNumberFormat="1"/>
    <xf numFmtId="0" fontId="1" fillId="3" borderId="0" xfId="5" applyNumberFormat="1"/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67" fontId="0" fillId="0" borderId="0" xfId="1" applyNumberFormat="1" applyFont="1"/>
    <xf numFmtId="168" fontId="0" fillId="0" borderId="0" xfId="2" applyNumberFormat="1" applyFont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168" fontId="0" fillId="4" borderId="0" xfId="0" applyNumberFormat="1" applyFill="1"/>
    <xf numFmtId="168" fontId="0" fillId="6" borderId="0" xfId="2" applyNumberFormat="1" applyFont="1" applyFill="1"/>
    <xf numFmtId="165" fontId="0" fillId="0" borderId="0" xfId="2" applyFont="1"/>
    <xf numFmtId="0" fontId="0" fillId="0" borderId="0" xfId="0" applyNumberFormat="1"/>
    <xf numFmtId="10" fontId="0" fillId="0" borderId="0" xfId="3" applyNumberFormat="1" applyFont="1"/>
    <xf numFmtId="0" fontId="4" fillId="2" borderId="0" xfId="4"/>
    <xf numFmtId="10" fontId="0" fillId="0" borderId="0" xfId="0" applyNumberFormat="1"/>
    <xf numFmtId="0" fontId="5" fillId="0" borderId="0" xfId="0" applyNumberFormat="1" applyFont="1"/>
    <xf numFmtId="0" fontId="6" fillId="0" borderId="0" xfId="0" applyNumberFormat="1" applyFont="1" applyAlignment="1">
      <alignment horizontal="center"/>
    </xf>
    <xf numFmtId="0" fontId="0" fillId="0" borderId="1" xfId="0" applyBorder="1"/>
    <xf numFmtId="168" fontId="0" fillId="0" borderId="2" xfId="2" applyNumberFormat="1" applyFont="1" applyBorder="1"/>
    <xf numFmtId="168" fontId="9" fillId="0" borderId="1" xfId="2" applyNumberFormat="1" applyFont="1" applyBorder="1"/>
    <xf numFmtId="0" fontId="0" fillId="0" borderId="1" xfId="0" applyNumberFormat="1" applyBorder="1" applyAlignment="1">
      <alignment horizontal="right" indent="1"/>
    </xf>
    <xf numFmtId="14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center"/>
    </xf>
    <xf numFmtId="168" fontId="0" fillId="0" borderId="0" xfId="0" applyNumberFormat="1"/>
    <xf numFmtId="0" fontId="0" fillId="0" borderId="2" xfId="0" applyBorder="1"/>
    <xf numFmtId="168" fontId="9" fillId="0" borderId="2" xfId="2" applyNumberFormat="1" applyFont="1" applyBorder="1"/>
    <xf numFmtId="0" fontId="0" fillId="0" borderId="2" xfId="0" applyNumberFormat="1" applyBorder="1" applyAlignment="1">
      <alignment horizontal="right" indent="1"/>
    </xf>
    <xf numFmtId="14" fontId="0" fillId="0" borderId="2" xfId="0" applyNumberFormat="1" applyBorder="1" applyAlignment="1">
      <alignment horizontal="right" indent="1"/>
    </xf>
    <xf numFmtId="0" fontId="0" fillId="0" borderId="2" xfId="0" applyBorder="1" applyAlignment="1">
      <alignment horizontal="center"/>
    </xf>
    <xf numFmtId="0" fontId="3" fillId="7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168" fontId="3" fillId="9" borderId="0" xfId="2" applyNumberFormat="1" applyFont="1" applyFill="1"/>
    <xf numFmtId="165" fontId="3" fillId="0" borderId="0" xfId="2" applyFont="1"/>
    <xf numFmtId="0" fontId="0" fillId="0" borderId="0" xfId="0" applyFont="1"/>
    <xf numFmtId="14" fontId="3" fillId="0" borderId="0" xfId="0" applyNumberFormat="1" applyFont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169" fontId="0" fillId="0" borderId="0" xfId="1" applyNumberFormat="1" applyFont="1" applyAlignment="1">
      <alignment horizontal="right" indent="2"/>
    </xf>
    <xf numFmtId="168" fontId="9" fillId="0" borderId="0" xfId="2" applyNumberFormat="1" applyFont="1"/>
    <xf numFmtId="14" fontId="0" fillId="0" borderId="0" xfId="0" applyNumberFormat="1" applyAlignment="1">
      <alignment horizontal="right" indent="1"/>
    </xf>
    <xf numFmtId="0" fontId="3" fillId="7" borderId="0" xfId="0" applyFont="1" applyFill="1" applyAlignment="1">
      <alignment horizontal="left"/>
    </xf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3" fillId="7" borderId="9" xfId="0" applyFont="1" applyFill="1" applyBorder="1" applyAlignment="1">
      <alignment horizontal="center"/>
    </xf>
    <xf numFmtId="165" fontId="10" fillId="0" borderId="0" xfId="2" applyFont="1"/>
    <xf numFmtId="0" fontId="2" fillId="10" borderId="0" xfId="0" applyFont="1" applyFill="1" applyAlignment="1">
      <alignment horizontal="center" wrapText="1"/>
    </xf>
    <xf numFmtId="170" fontId="0" fillId="0" borderId="0" xfId="3" applyNumberFormat="1" applyFont="1"/>
    <xf numFmtId="164" fontId="0" fillId="0" borderId="0" xfId="2" applyNumberFormat="1" applyFont="1"/>
    <xf numFmtId="0" fontId="2" fillId="0" borderId="0" xfId="0" applyFont="1" applyFill="1"/>
    <xf numFmtId="0" fontId="2" fillId="10" borderId="0" xfId="0" applyFont="1" applyFill="1"/>
    <xf numFmtId="0" fontId="9" fillId="0" borderId="0" xfId="0" applyFont="1"/>
    <xf numFmtId="166" fontId="9" fillId="0" borderId="0" xfId="1" applyFont="1" applyBorder="1"/>
    <xf numFmtId="166" fontId="0" fillId="0" borderId="0" xfId="1" applyFont="1" applyBorder="1"/>
    <xf numFmtId="0" fontId="11" fillId="0" borderId="0" xfId="0" applyFont="1"/>
    <xf numFmtId="166" fontId="9" fillId="0" borderId="0" xfId="1" quotePrefix="1" applyFont="1" applyBorder="1" applyAlignment="1">
      <alignment horizontal="right"/>
    </xf>
    <xf numFmtId="166" fontId="12" fillId="0" borderId="0" xfId="1" applyFont="1" applyBorder="1" applyAlignment="1">
      <alignment horizontal="center"/>
    </xf>
    <xf numFmtId="0" fontId="12" fillId="0" borderId="0" xfId="0" applyFont="1" applyFill="1" applyBorder="1" applyAlignment="1">
      <alignment wrapText="1"/>
    </xf>
    <xf numFmtId="166" fontId="14" fillId="0" borderId="0" xfId="1" applyFont="1" applyBorder="1" applyAlignment="1">
      <alignment horizontal="center"/>
    </xf>
    <xf numFmtId="0" fontId="9" fillId="0" borderId="0" xfId="0" applyNumberFormat="1" applyFont="1"/>
    <xf numFmtId="0" fontId="12" fillId="0" borderId="0" xfId="0" applyFont="1" applyAlignment="1">
      <alignment horizontal="center"/>
    </xf>
    <xf numFmtId="0" fontId="12" fillId="0" borderId="0" xfId="0" applyFont="1"/>
    <xf numFmtId="0" fontId="15" fillId="0" borderId="0" xfId="6"/>
    <xf numFmtId="0" fontId="15" fillId="0" borderId="0" xfId="6" applyFont="1"/>
    <xf numFmtId="10" fontId="15" fillId="0" borderId="0" xfId="6" applyNumberFormat="1"/>
    <xf numFmtId="168" fontId="0" fillId="0" borderId="0" xfId="7" applyNumberFormat="1" applyFont="1"/>
    <xf numFmtId="0" fontId="16" fillId="0" borderId="0" xfId="6" applyFont="1" applyAlignment="1">
      <alignment horizontal="center"/>
    </xf>
    <xf numFmtId="0" fontId="16" fillId="0" borderId="0" xfId="6" applyFont="1" applyAlignment="1">
      <alignment horizontal="left" indent="2"/>
    </xf>
    <xf numFmtId="0" fontId="15" fillId="0" borderId="0" xfId="6" applyAlignment="1">
      <alignment horizontal="center"/>
    </xf>
    <xf numFmtId="14" fontId="15" fillId="0" borderId="0" xfId="6" applyNumberFormat="1"/>
    <xf numFmtId="14" fontId="15" fillId="0" borderId="0" xfId="6" applyNumberFormat="1" applyFont="1"/>
    <xf numFmtId="14" fontId="18" fillId="11" borderId="0" xfId="8" applyNumberFormat="1"/>
    <xf numFmtId="0" fontId="18" fillId="11" borderId="0" xfId="8"/>
    <xf numFmtId="0" fontId="18" fillId="11" borderId="0" xfId="8" applyAlignment="1">
      <alignment horizontal="left"/>
    </xf>
    <xf numFmtId="0" fontId="18" fillId="11" borderId="0" xfId="1" applyNumberFormat="1" applyFont="1" applyFill="1" applyAlignment="1">
      <alignment horizontal="left"/>
    </xf>
    <xf numFmtId="0" fontId="21" fillId="11" borderId="0" xfId="8" applyFont="1" applyAlignment="1">
      <alignment horizontal="center"/>
    </xf>
    <xf numFmtId="0" fontId="21" fillId="11" borderId="0" xfId="8" applyFont="1" applyAlignment="1">
      <alignment horizontal="right"/>
    </xf>
    <xf numFmtId="0" fontId="21" fillId="9" borderId="0" xfId="8" applyFont="1" applyFill="1" applyAlignment="1">
      <alignment horizontal="center"/>
    </xf>
    <xf numFmtId="0" fontId="0" fillId="12" borderId="0" xfId="0" applyFill="1"/>
    <xf numFmtId="169" fontId="19" fillId="0" borderId="0" xfId="9" applyNumberFormat="1" applyFill="1"/>
    <xf numFmtId="167" fontId="19" fillId="0" borderId="0" xfId="9" applyNumberFormat="1" applyFill="1"/>
    <xf numFmtId="166" fontId="19" fillId="0" borderId="0" xfId="9" applyNumberFormat="1" applyFill="1"/>
    <xf numFmtId="0" fontId="19" fillId="0" borderId="0" xfId="0" applyFont="1" applyAlignment="1">
      <alignment horizontal="left" indent="3"/>
    </xf>
    <xf numFmtId="169" fontId="0" fillId="0" borderId="0" xfId="0" applyNumberFormat="1"/>
    <xf numFmtId="9" fontId="0" fillId="0" borderId="0" xfId="0" applyNumberFormat="1" applyAlignment="1">
      <alignment horizontal="center"/>
    </xf>
    <xf numFmtId="166" fontId="15" fillId="0" borderId="0" xfId="1" applyFont="1"/>
    <xf numFmtId="166" fontId="15" fillId="0" borderId="0" xfId="1" applyFont="1" applyAlignment="1">
      <alignment horizontal="center"/>
    </xf>
    <xf numFmtId="0" fontId="0" fillId="9" borderId="0" xfId="0" applyFill="1"/>
    <xf numFmtId="0" fontId="0" fillId="1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7" fontId="0" fillId="0" borderId="0" xfId="0" applyNumberFormat="1"/>
    <xf numFmtId="171" fontId="1" fillId="3" borderId="0" xfId="5" applyNumberFormat="1"/>
    <xf numFmtId="171" fontId="1" fillId="9" borderId="0" xfId="5" applyNumberFormat="1" applyFill="1"/>
    <xf numFmtId="165" fontId="0" fillId="9" borderId="0" xfId="2" applyFont="1" applyFill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65" fontId="5" fillId="0" borderId="0" xfId="0" applyNumberFormat="1" applyFont="1"/>
    <xf numFmtId="166" fontId="1" fillId="3" borderId="0" xfId="1" applyFill="1"/>
    <xf numFmtId="165" fontId="0" fillId="9" borderId="0" xfId="2" applyNumberFormat="1" applyFont="1" applyFill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165" fontId="0" fillId="0" borderId="11" xfId="0" applyNumberFormat="1" applyFill="1" applyBorder="1" applyAlignment="1"/>
    <xf numFmtId="0" fontId="23" fillId="14" borderId="12" xfId="0" applyFont="1" applyFill="1" applyBorder="1" applyAlignment="1">
      <alignment horizontal="left"/>
    </xf>
    <xf numFmtId="0" fontId="23" fillId="14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24" fillId="15" borderId="0" xfId="0" applyFont="1" applyFill="1" applyBorder="1" applyAlignment="1">
      <alignment horizontal="left"/>
    </xf>
    <xf numFmtId="0" fontId="22" fillId="15" borderId="13" xfId="0" applyFont="1" applyFill="1" applyBorder="1" applyAlignment="1">
      <alignment horizontal="left"/>
    </xf>
    <xf numFmtId="0" fontId="24" fillId="15" borderId="11" xfId="0" applyFont="1" applyFill="1" applyBorder="1" applyAlignment="1">
      <alignment horizontal="left"/>
    </xf>
    <xf numFmtId="0" fontId="25" fillId="14" borderId="10" xfId="0" applyFont="1" applyFill="1" applyBorder="1" applyAlignment="1">
      <alignment horizontal="right"/>
    </xf>
    <xf numFmtId="0" fontId="25" fillId="14" borderId="12" xfId="0" applyFont="1" applyFill="1" applyBorder="1" applyAlignment="1">
      <alignment horizontal="right"/>
    </xf>
    <xf numFmtId="10" fontId="0" fillId="16" borderId="0" xfId="0" applyNumberFormat="1" applyFill="1" applyBorder="1" applyAlignment="1"/>
    <xf numFmtId="0" fontId="26" fillId="0" borderId="0" xfId="0" applyFont="1" applyFill="1" applyBorder="1" applyAlignment="1">
      <alignment vertical="top" wrapText="1"/>
    </xf>
    <xf numFmtId="1" fontId="0" fillId="0" borderId="2" xfId="0" applyNumberFormat="1" applyBorder="1" applyAlignment="1">
      <alignment horizontal="right" indent="1"/>
    </xf>
    <xf numFmtId="44" fontId="0" fillId="0" borderId="0" xfId="0" applyNumberFormat="1"/>
    <xf numFmtId="0" fontId="0" fillId="0" borderId="0" xfId="0" applyFill="1" applyBorder="1"/>
    <xf numFmtId="165" fontId="10" fillId="17" borderId="0" xfId="0" applyNumberFormat="1" applyFont="1" applyFill="1"/>
    <xf numFmtId="165" fontId="10" fillId="9" borderId="0" xfId="0" applyNumberFormat="1" applyFont="1" applyFill="1"/>
    <xf numFmtId="44" fontId="10" fillId="9" borderId="0" xfId="0" applyNumberFormat="1" applyFont="1" applyFill="1"/>
    <xf numFmtId="166" fontId="0" fillId="0" borderId="0" xfId="1" applyNumberFormat="1" applyFont="1"/>
    <xf numFmtId="0" fontId="17" fillId="0" borderId="0" xfId="6" applyFont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9" fontId="0" fillId="0" borderId="0" xfId="0" applyNumberFormat="1" applyFill="1"/>
    <xf numFmtId="0" fontId="0" fillId="0" borderId="0" xfId="0" applyFill="1"/>
    <xf numFmtId="0" fontId="0" fillId="0" borderId="0" xfId="0" applyAlignment="1">
      <alignment wrapText="1"/>
    </xf>
    <xf numFmtId="0" fontId="3" fillId="18" borderId="0" xfId="0" applyFont="1" applyFill="1" applyAlignment="1">
      <alignment horizontal="center"/>
    </xf>
    <xf numFmtId="0" fontId="3" fillId="18" borderId="0" xfId="0" applyFont="1" applyFill="1" applyAlignment="1">
      <alignment horizontal="left"/>
    </xf>
    <xf numFmtId="15" fontId="0" fillId="0" borderId="0" xfId="0" applyNumberFormat="1"/>
    <xf numFmtId="166" fontId="0" fillId="0" borderId="0" xfId="1" applyFont="1"/>
    <xf numFmtId="166" fontId="0" fillId="0" borderId="0" xfId="1" applyFont="1" applyAlignment="1">
      <alignment horizontal="center"/>
    </xf>
    <xf numFmtId="0" fontId="15" fillId="9" borderId="0" xfId="6" applyFill="1"/>
    <xf numFmtId="0" fontId="27" fillId="0" borderId="0" xfId="10" applyAlignment="1">
      <alignment horizontal="center"/>
    </xf>
    <xf numFmtId="0" fontId="28" fillId="0" borderId="14" xfId="11" applyAlignment="1">
      <alignment horizontal="centerContinuous"/>
    </xf>
    <xf numFmtId="0" fontId="29" fillId="0" borderId="15" xfId="12"/>
  </cellXfs>
  <cellStyles count="13">
    <cellStyle name="20% - Accent2" xfId="5" builtinId="34"/>
    <cellStyle name="Accent2" xfId="4" builtinId="33"/>
    <cellStyle name="Bad" xfId="8" builtinId="27"/>
    <cellStyle name="Comma" xfId="1" builtinId="3"/>
    <cellStyle name="Currency" xfId="2" builtinId="4"/>
    <cellStyle name="Currency 2" xfId="7"/>
    <cellStyle name="Heading 1" xfId="11" builtinId="16"/>
    <cellStyle name="Heading 2" xfId="12" builtinId="17"/>
    <cellStyle name="Normal" xfId="0" builtinId="0"/>
    <cellStyle name="Normal 2" xfId="6"/>
    <cellStyle name="Percent" xfId="3" builtinId="5"/>
    <cellStyle name="Title" xfId="10" builtinId="15"/>
    <cellStyle name="Warning Text" xfId="9" builtinId="11"/>
  </cellStyles>
  <dxfs count="4">
    <dxf>
      <fill>
        <patternFill>
          <bgColor rgb="FF00B0F0"/>
        </patternFill>
      </fill>
    </dxf>
    <dxf>
      <numFmt numFmtId="167" formatCode="_(* #,##0_);_(* \(#,##0\);_(* &quot;-&quot;??_);_(@_)"/>
    </dxf>
    <dxf>
      <numFmt numFmtId="169" formatCode="_(* #,##0.0_);_(* \(#,##0.0\);_(* &quot;-&quot;??_);_(@_)"/>
    </dxf>
    <dxf>
      <numFmt numFmtId="166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1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2.xml"/><Relationship Id="rId48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1776016</xdr:colOff>
      <xdr:row>2</xdr:row>
      <xdr:rowOff>138907</xdr:rowOff>
    </xdr:from>
    <xdr:to>
      <xdr:col>1</xdr:col>
      <xdr:colOff>476250</xdr:colOff>
      <xdr:row>5</xdr:row>
      <xdr:rowOff>49609</xdr:rowOff>
    </xdr:to>
    <xdr:sp macro="" textlink="">
      <xdr:nvSpPr>
        <xdr:cNvPr id="2" name="Oval 1"/>
        <xdr:cNvSpPr/>
      </xdr:nvSpPr>
      <xdr:spPr>
        <a:xfrm>
          <a:off x="1776016" y="515938"/>
          <a:ext cx="1200547" cy="664765"/>
        </a:xfrm>
        <a:prstGeom prst="ellipse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1051719</xdr:colOff>
      <xdr:row>2</xdr:row>
      <xdr:rowOff>69453</xdr:rowOff>
    </xdr:from>
    <xdr:to>
      <xdr:col>2</xdr:col>
      <xdr:colOff>1583192</xdr:colOff>
      <xdr:row>6</xdr:row>
      <xdr:rowOff>31637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4219" y="446484"/>
          <a:ext cx="2714286" cy="9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438979</xdr:colOff>
      <xdr:row>2</xdr:row>
      <xdr:rowOff>16565</xdr:rowOff>
    </xdr:from>
    <xdr:to>
      <xdr:col>10</xdr:col>
      <xdr:colOff>644565</xdr:colOff>
      <xdr:row>8</xdr:row>
      <xdr:rowOff>3604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3044" y="488674"/>
          <a:ext cx="1895238" cy="9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455543</xdr:colOff>
      <xdr:row>9</xdr:row>
      <xdr:rowOff>91107</xdr:rowOff>
    </xdr:from>
    <xdr:to>
      <xdr:col>10</xdr:col>
      <xdr:colOff>273327</xdr:colOff>
      <xdr:row>26</xdr:row>
      <xdr:rowOff>16565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1209" t="10389" r="60547" b="62716"/>
        <a:stretch/>
      </xdr:blipFill>
      <xdr:spPr>
        <a:xfrm>
          <a:off x="7139608" y="1722781"/>
          <a:ext cx="1507436" cy="2766393"/>
        </a:xfrm>
        <a:prstGeom prst="rect">
          <a:avLst/>
        </a:prstGeom>
      </xdr:spPr>
    </xdr:pic>
    <xdr:clientData/>
  </xdr:twoCellAnchor>
  <xdr:twoCellAnchor>
    <xdr:from>
      <xdr:col>7</xdr:col>
      <xdr:colOff>695739</xdr:colOff>
      <xdr:row>9</xdr:row>
      <xdr:rowOff>82826</xdr:rowOff>
    </xdr:from>
    <xdr:to>
      <xdr:col>9</xdr:col>
      <xdr:colOff>57978</xdr:colOff>
      <xdr:row>25</xdr:row>
      <xdr:rowOff>66260</xdr:rowOff>
    </xdr:to>
    <xdr:cxnSp macro="">
      <xdr:nvCxnSpPr>
        <xdr:cNvPr id="5" name="Straight Arrow Connector 4"/>
        <xdr:cNvCxnSpPr/>
      </xdr:nvCxnSpPr>
      <xdr:spPr>
        <a:xfrm>
          <a:off x="6385891" y="1714500"/>
          <a:ext cx="919370" cy="265871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157369</xdr:colOff>
      <xdr:row>26</xdr:row>
      <xdr:rowOff>16565</xdr:rowOff>
    </xdr:from>
    <xdr:to>
      <xdr:col>10</xdr:col>
      <xdr:colOff>1010574</xdr:colOff>
      <xdr:row>37</xdr:row>
      <xdr:rowOff>156296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1434" y="4489174"/>
          <a:ext cx="2542857" cy="1961905"/>
        </a:xfrm>
        <a:prstGeom prst="rect">
          <a:avLst/>
        </a:prstGeom>
      </xdr:spPr>
    </xdr:pic>
    <xdr:clientData/>
  </xdr:twoCellAnchor>
  <xdr:twoCellAnchor>
    <xdr:from>
      <xdr:col>7</xdr:col>
      <xdr:colOff>480391</xdr:colOff>
      <xdr:row>27</xdr:row>
      <xdr:rowOff>66261</xdr:rowOff>
    </xdr:from>
    <xdr:to>
      <xdr:col>8</xdr:col>
      <xdr:colOff>414131</xdr:colOff>
      <xdr:row>37</xdr:row>
      <xdr:rowOff>24847</xdr:rowOff>
    </xdr:to>
    <xdr:cxnSp macro="">
      <xdr:nvCxnSpPr>
        <xdr:cNvPr id="7" name="Straight Arrow Connector 6"/>
        <xdr:cNvCxnSpPr/>
      </xdr:nvCxnSpPr>
      <xdr:spPr>
        <a:xfrm>
          <a:off x="6170543" y="4704522"/>
          <a:ext cx="927653" cy="161510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173766</xdr:colOff>
      <xdr:row>0</xdr:row>
      <xdr:rowOff>180203</xdr:rowOff>
    </xdr:from>
    <xdr:to>
      <xdr:col>6</xdr:col>
      <xdr:colOff>214912</xdr:colOff>
      <xdr:row>9</xdr:row>
      <xdr:rowOff>71105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9763" y="180203"/>
          <a:ext cx="2409524" cy="16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289612</xdr:colOff>
      <xdr:row>0</xdr:row>
      <xdr:rowOff>117052</xdr:rowOff>
    </xdr:from>
    <xdr:to>
      <xdr:col>6</xdr:col>
      <xdr:colOff>1276694</xdr:colOff>
      <xdr:row>15</xdr:row>
      <xdr:rowOff>103017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3784" y="117052"/>
          <a:ext cx="4192116" cy="2882080"/>
        </a:xfrm>
        <a:prstGeom prst="rect">
          <a:avLst/>
        </a:prstGeom>
      </xdr:spPr>
    </xdr:pic>
    <xdr:clientData/>
  </xdr:twoCellAnchor>
  <xdr:twoCellAnchor editAs="oneCell">
    <xdr:from>
      <xdr:col>4</xdr:col>
      <xdr:colOff>260161</xdr:colOff>
      <xdr:row>18</xdr:row>
      <xdr:rowOff>45050</xdr:rowOff>
    </xdr:from>
    <xdr:to>
      <xdr:col>6</xdr:col>
      <xdr:colOff>411892</xdr:colOff>
      <xdr:row>29</xdr:row>
      <xdr:rowOff>176469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04333" y="3520388"/>
          <a:ext cx="3356765" cy="225523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199510</xdr:colOff>
      <xdr:row>0</xdr:row>
      <xdr:rowOff>109408</xdr:rowOff>
    </xdr:from>
    <xdr:to>
      <xdr:col>6</xdr:col>
      <xdr:colOff>66250</xdr:colOff>
      <xdr:row>12</xdr:row>
      <xdr:rowOff>109025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5507" y="109408"/>
          <a:ext cx="2235118" cy="2316509"/>
        </a:xfrm>
        <a:prstGeom prst="rect">
          <a:avLst/>
        </a:prstGeom>
      </xdr:spPr>
    </xdr:pic>
    <xdr:clientData/>
  </xdr:twoCellAnchor>
  <xdr:twoCellAnchor>
    <xdr:from>
      <xdr:col>5</xdr:col>
      <xdr:colOff>231690</xdr:colOff>
      <xdr:row>3</xdr:row>
      <xdr:rowOff>70794</xdr:rowOff>
    </xdr:from>
    <xdr:to>
      <xdr:col>7</xdr:col>
      <xdr:colOff>250997</xdr:colOff>
      <xdr:row>6</xdr:row>
      <xdr:rowOff>180203</xdr:rowOff>
    </xdr:to>
    <xdr:cxnSp macro="">
      <xdr:nvCxnSpPr>
        <xdr:cNvPr id="4" name="Straight Arrow Connector 3"/>
        <xdr:cNvCxnSpPr/>
      </xdr:nvCxnSpPr>
      <xdr:spPr>
        <a:xfrm flipH="1">
          <a:off x="4163970" y="650017"/>
          <a:ext cx="1203497" cy="68863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32904</xdr:colOff>
      <xdr:row>4</xdr:row>
      <xdr:rowOff>89785</xdr:rowOff>
    </xdr:from>
    <xdr:to>
      <xdr:col>2</xdr:col>
      <xdr:colOff>577573</xdr:colOff>
      <xdr:row>13</xdr:row>
      <xdr:rowOff>119215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04" y="854908"/>
          <a:ext cx="2152989" cy="1750957"/>
        </a:xfrm>
        <a:prstGeom prst="rect">
          <a:avLst/>
        </a:prstGeom>
      </xdr:spPr>
    </xdr:pic>
    <xdr:clientData/>
  </xdr:twoCellAnchor>
  <xdr:twoCellAnchor editAs="oneCell">
    <xdr:from>
      <xdr:col>2</xdr:col>
      <xdr:colOff>712896</xdr:colOff>
      <xdr:row>4</xdr:row>
      <xdr:rowOff>140532</xdr:rowOff>
    </xdr:from>
    <xdr:to>
      <xdr:col>6</xdr:col>
      <xdr:colOff>564022</xdr:colOff>
      <xdr:row>8</xdr:row>
      <xdr:rowOff>48153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1216" y="905655"/>
          <a:ext cx="2896003" cy="6727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00624974\AppData\Local\Temp\Temp1_e05_script.zip\e05_script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Joanne%20Atha\Current%20as%20of%20Nov%208-05\COMP%202364%20-%20Joanne\Current%20as%20of%20201720\2364\Session%205\Review%20for%20midterm%20J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s Data"/>
    </sheetNames>
    <sheetDataSet>
      <sheetData sheetId="0">
        <row r="1">
          <cell r="J1">
            <v>1.25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es"/>
      <sheetName val="Grades (2)"/>
      <sheetName val="NestedIF_Vlookup"/>
      <sheetName val="Cell Referencing"/>
      <sheetName val="Range Names"/>
      <sheetName val="Range Names - not for 201720"/>
      <sheetName val="Charts"/>
      <sheetName val="Formatting"/>
      <sheetName val="Tables"/>
      <sheetName val="Sort"/>
      <sheetName val="Filter"/>
      <sheetName val="Subtotaling"/>
      <sheetName val="Pivot Table"/>
    </sheetNames>
    <sheetDataSet>
      <sheetData sheetId="0"/>
      <sheetData sheetId="1"/>
      <sheetData sheetId="2"/>
      <sheetData sheetId="3"/>
      <sheetData sheetId="4">
        <row r="1">
          <cell r="B1">
            <v>0.1</v>
          </cell>
        </row>
      </sheetData>
      <sheetData sheetId="5"/>
      <sheetData sheetId="6">
        <row r="1">
          <cell r="D1" t="str">
            <v>Asking Price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anne Atha" refreshedDate="43147.516464004628" createdVersion="6" refreshedVersion="6" minRefreshableVersion="3" recordCount="46">
  <cacheSource type="worksheet">
    <worksheetSource ref="A4:L50" sheet="PivotTable complete"/>
  </cacheSource>
  <cacheFields count="12">
    <cacheField name="Discipline" numFmtId="0">
      <sharedItems count="7">
        <s v="Geography/Atmospheric Sciences"/>
        <s v="Physics/Astronomy"/>
        <s v="Chemistry"/>
        <s v="Biology/Microbiology"/>
        <s v="Geology/Oceanography"/>
        <s v="Environmental Science"/>
        <s v="Anatomy/Physiology"/>
      </sharedItems>
    </cacheField>
    <cacheField name="Area" numFmtId="0">
      <sharedItems count="17">
        <s v="Earth Science"/>
        <s v="Physical Geography"/>
        <s v="Introductory Astronomy"/>
        <s v="Introductory Meteorology"/>
        <s v="Introductory Chemistry"/>
        <s v="Introductory Biology"/>
        <s v="Human Biology"/>
        <s v="Introductory Physics"/>
        <s v="Cosmology"/>
        <s v="Geology"/>
        <s v="Introductory Environmental Science"/>
        <s v="Organic Chemistry"/>
        <s v="Oceanography"/>
        <s v="Anatomy &amp; Physiology"/>
        <s v="Human Physiology"/>
        <s v="Resources and Conservation"/>
        <s v="Microbiology"/>
      </sharedItems>
    </cacheField>
    <cacheField name="Book Title" numFmtId="0">
      <sharedItems/>
    </cacheField>
    <cacheField name="Edition" numFmtId="0">
      <sharedItems containsSemiMixedTypes="0" containsString="0" containsNumber="1" containsInteger="1" minValue="1" maxValue="13"/>
    </cacheField>
    <cacheField name="Copyright" numFmtId="0">
      <sharedItems containsSemiMixedTypes="0" containsString="0" containsNumber="1" containsInteger="1" minValue="2003" maxValue="2017"/>
    </cacheField>
    <cacheField name="Units Sold Wholesale" numFmtId="167">
      <sharedItems containsSemiMixedTypes="0" containsString="0" containsNumber="1" containsInteger="1" minValue="2750" maxValue="37400"/>
    </cacheField>
    <cacheField name="Unit Price Wholesale" numFmtId="168">
      <sharedItems containsSemiMixedTypes="0" containsString="0" containsNumber="1" containsInteger="1" minValue="66" maxValue="310"/>
    </cacheField>
    <cacheField name="Sales: Wholesale" numFmtId="168">
      <sharedItems containsSemiMixedTypes="0" containsString="0" containsNumber="1" containsInteger="1" minValue="453750" maxValue="7704400"/>
    </cacheField>
    <cacheField name="Units Sold Retail" numFmtId="167">
      <sharedItems containsSemiMixedTypes="0" containsString="0" containsNumber="1" containsInteger="1" minValue="12" maxValue="1723"/>
    </cacheField>
    <cacheField name="Unit Price Retail" numFmtId="168">
      <sharedItems containsSemiMixedTypes="0" containsString="0" containsNumber="1" containsInteger="1" minValue="83" maxValue="388"/>
    </cacheField>
    <cacheField name="Sales: _x000a_Retail" numFmtId="168">
      <sharedItems containsSemiMixedTypes="0" containsString="0" containsNumber="1" containsInteger="1" minValue="1872" maxValue="320840"/>
    </cacheField>
    <cacheField name="Total Book Sales" numFmtId="168">
      <sharedItems containsSemiMixedTypes="0" containsString="0" containsNumber="1" containsInteger="1" minValue="470848" maxValue="79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">
  <r>
    <x v="0"/>
    <x v="0"/>
    <s v="Applications and Investigations in Earth Science"/>
    <n v="6"/>
    <n v="2015"/>
    <n v="16750"/>
    <n v="164"/>
    <n v="2747000"/>
    <n v="93"/>
    <n v="205"/>
    <n v="19065"/>
    <n v="2766065"/>
  </r>
  <r>
    <x v="0"/>
    <x v="1"/>
    <s v="Applied Physical Geography"/>
    <n v="8"/>
    <n v="2015"/>
    <n v="12345"/>
    <n v="88"/>
    <n v="1086360"/>
    <n v="240"/>
    <n v="110"/>
    <n v="26400"/>
    <n v="1112760"/>
  </r>
  <r>
    <x v="1"/>
    <x v="2"/>
    <s v="Astronomy: A Beginner's Guide to the Universe"/>
    <n v="4"/>
    <n v="2017"/>
    <n v="7500"/>
    <n v="212"/>
    <n v="1590000"/>
    <n v="100"/>
    <n v="265"/>
    <n v="26500"/>
    <n v="1616500"/>
  </r>
  <r>
    <x v="1"/>
    <x v="2"/>
    <s v="Astronomy: The Universe at a Glance"/>
    <n v="1"/>
    <n v="2016"/>
    <n v="14300"/>
    <n v="185"/>
    <n v="2645500"/>
    <n v="1000"/>
    <n v="231"/>
    <n v="231000"/>
    <n v="2876500"/>
  </r>
  <r>
    <x v="0"/>
    <x v="3"/>
    <s v="Atmosphere: An Introduction to Meteorology"/>
    <n v="13"/>
    <n v="2017"/>
    <n v="12400"/>
    <n v="194"/>
    <n v="2405600"/>
    <n v="100"/>
    <n v="243"/>
    <n v="24300"/>
    <n v="2429900"/>
  </r>
  <r>
    <x v="2"/>
    <x v="4"/>
    <s v="Basic Chemistry"/>
    <n v="4"/>
    <n v="2017"/>
    <n v="25750"/>
    <n v="208"/>
    <n v="5356000"/>
    <n v="1234"/>
    <n v="260"/>
    <n v="320840"/>
    <n v="5676840"/>
  </r>
  <r>
    <x v="3"/>
    <x v="5"/>
    <s v="Biology"/>
    <n v="10"/>
    <n v="2014"/>
    <n v="5575"/>
    <n v="266"/>
    <n v="1482950"/>
    <n v="32"/>
    <n v="333"/>
    <n v="10656"/>
    <n v="1493606"/>
  </r>
  <r>
    <x v="3"/>
    <x v="6"/>
    <s v="Biology of Humans: Concepts, Applications, and Issues"/>
    <n v="6"/>
    <n v="2017"/>
    <n v="18500"/>
    <n v="219"/>
    <n v="4051500"/>
    <n v="245"/>
    <n v="274"/>
    <n v="67130"/>
    <n v="4118630"/>
  </r>
  <r>
    <x v="3"/>
    <x v="5"/>
    <s v="Biology: Life on Earth"/>
    <n v="11"/>
    <n v="2017"/>
    <n v="5893"/>
    <n v="230"/>
    <n v="1355390"/>
    <n v="93"/>
    <n v="288"/>
    <n v="26784"/>
    <n v="1382174"/>
  </r>
  <r>
    <x v="3"/>
    <x v="5"/>
    <s v="Biology: Science for Life"/>
    <n v="5"/>
    <n v="2014"/>
    <n v="7503"/>
    <n v="185"/>
    <n v="1388055"/>
    <n v="29"/>
    <n v="231"/>
    <n v="6699"/>
    <n v="1394754"/>
  </r>
  <r>
    <x v="1"/>
    <x v="7"/>
    <s v="College Physics"/>
    <n v="5"/>
    <n v="2017"/>
    <n v="4500"/>
    <n v="275"/>
    <n v="1237500"/>
    <n v="312"/>
    <n v="344"/>
    <n v="107328"/>
    <n v="1344828"/>
  </r>
  <r>
    <x v="1"/>
    <x v="2"/>
    <s v="Cosmic Perspective"/>
    <n v="8"/>
    <n v="2017"/>
    <n v="25000"/>
    <n v="192"/>
    <n v="4800000"/>
    <n v="123"/>
    <n v="240"/>
    <n v="29520"/>
    <n v="4829520"/>
  </r>
  <r>
    <x v="1"/>
    <x v="8"/>
    <s v="Cosmic Perspective Fundamentals"/>
    <n v="2"/>
    <n v="2016"/>
    <n v="14398"/>
    <n v="182"/>
    <n v="2620436"/>
    <n v="212"/>
    <n v="228"/>
    <n v="48336"/>
    <n v="2668772"/>
  </r>
  <r>
    <x v="4"/>
    <x v="9"/>
    <s v="Earth: An Introduction to Physical Geology"/>
    <n v="12"/>
    <n v="2017"/>
    <n v="9245"/>
    <n v="215"/>
    <n v="1987675"/>
    <n v="218"/>
    <n v="269"/>
    <n v="58642"/>
    <n v="2046317"/>
  </r>
  <r>
    <x v="0"/>
    <x v="1"/>
    <s v="Elemental Geosystems"/>
    <n v="5"/>
    <n v="2016"/>
    <n v="22875"/>
    <n v="130"/>
    <n v="2973750"/>
    <n v="1000"/>
    <n v="163"/>
    <n v="163000"/>
    <n v="3136750"/>
  </r>
  <r>
    <x v="5"/>
    <x v="10"/>
    <s v="Environment and You"/>
    <n v="2"/>
    <n v="2016"/>
    <n v="32400"/>
    <n v="110"/>
    <n v="3564000"/>
    <n v="1309"/>
    <n v="138"/>
    <n v="180642"/>
    <n v="3744642"/>
  </r>
  <r>
    <x v="5"/>
    <x v="10"/>
    <s v="Environmental Science"/>
    <n v="13"/>
    <n v="2017"/>
    <n v="22418"/>
    <n v="218"/>
    <n v="4887124"/>
    <n v="45"/>
    <n v="273"/>
    <n v="12285"/>
    <n v="4899409"/>
  </r>
  <r>
    <x v="3"/>
    <x v="5"/>
    <s v="Essential Biology"/>
    <n v="6"/>
    <n v="2016"/>
    <n v="3400"/>
    <n v="204"/>
    <n v="693600"/>
    <n v="24"/>
    <n v="255"/>
    <n v="6120"/>
    <n v="699720"/>
  </r>
  <r>
    <x v="5"/>
    <x v="10"/>
    <s v="Essential Environment"/>
    <n v="5"/>
    <n v="2015"/>
    <n v="11875"/>
    <n v="145"/>
    <n v="1721875"/>
    <n v="1200"/>
    <n v="181"/>
    <n v="217200"/>
    <n v="1939075"/>
  </r>
  <r>
    <x v="2"/>
    <x v="11"/>
    <s v="Essential Organic Chemistry"/>
    <n v="3"/>
    <n v="2016"/>
    <n v="5500"/>
    <n v="244"/>
    <n v="1342000"/>
    <n v="114"/>
    <n v="305"/>
    <n v="34770"/>
    <n v="1376770"/>
  </r>
  <r>
    <x v="4"/>
    <x v="9"/>
    <s v="Essentials of Geology"/>
    <n v="2"/>
    <n v="2016"/>
    <n v="5387"/>
    <n v="182"/>
    <n v="980434"/>
    <n v="34"/>
    <n v="228"/>
    <n v="7752"/>
    <n v="988186"/>
  </r>
  <r>
    <x v="4"/>
    <x v="12"/>
    <s v="Essentials of Oceanography"/>
    <n v="12"/>
    <n v="2017"/>
    <n v="37400"/>
    <n v="206"/>
    <n v="7704400"/>
    <n v="1000"/>
    <n v="258"/>
    <n v="258000"/>
    <n v="7962400"/>
  </r>
  <r>
    <x v="0"/>
    <x v="0"/>
    <s v="Foundations of Earth Science"/>
    <n v="8"/>
    <n v="2017"/>
    <n v="21230"/>
    <n v="183"/>
    <n v="3885090"/>
    <n v="1200"/>
    <n v="229"/>
    <n v="274800"/>
    <n v="4159890"/>
  </r>
  <r>
    <x v="6"/>
    <x v="13"/>
    <s v="Fundamentals of Anatomy and Physiology"/>
    <n v="4"/>
    <n v="2016"/>
    <n v="9575"/>
    <n v="188"/>
    <n v="1800100"/>
    <n v="43"/>
    <n v="235"/>
    <n v="10105"/>
    <n v="1810205"/>
  </r>
  <r>
    <x v="0"/>
    <x v="1"/>
    <s v="Geosystems: An Introduction to Physical Geography"/>
    <n v="9"/>
    <n v="2015"/>
    <n v="4575"/>
    <n v="156"/>
    <n v="713700"/>
    <n v="63"/>
    <n v="195"/>
    <n v="12285"/>
    <n v="725985"/>
  </r>
  <r>
    <x v="6"/>
    <x v="13"/>
    <s v="Human Anatomy and Physiology"/>
    <n v="6"/>
    <n v="2017"/>
    <n v="12435"/>
    <n v="218"/>
    <n v="2710830"/>
    <n v="142"/>
    <n v="273"/>
    <n v="38766"/>
    <n v="2749596"/>
  </r>
  <r>
    <x v="3"/>
    <x v="6"/>
    <s v="Human Biology: Concepts and Current Issues"/>
    <n v="8"/>
    <n v="2017"/>
    <n v="11342"/>
    <n v="217"/>
    <n v="2461214"/>
    <n v="87"/>
    <n v="271"/>
    <n v="23577"/>
    <n v="2484791"/>
  </r>
  <r>
    <x v="6"/>
    <x v="13"/>
    <s v="Human Physiology"/>
    <n v="10"/>
    <n v="2015"/>
    <n v="3000"/>
    <n v="225"/>
    <n v="675000"/>
    <n v="418"/>
    <n v="281"/>
    <n v="117458"/>
    <n v="792458"/>
  </r>
  <r>
    <x v="6"/>
    <x v="14"/>
    <s v="Human Physiology: An Integrated Approach"/>
    <n v="7"/>
    <n v="2017"/>
    <n v="12000"/>
    <n v="265"/>
    <n v="3180000"/>
    <n v="155"/>
    <n v="331"/>
    <n v="51305"/>
    <n v="3231305"/>
  </r>
  <r>
    <x v="5"/>
    <x v="15"/>
    <s v="Hydrogeology"/>
    <n v="2"/>
    <n v="2013"/>
    <n v="11254"/>
    <n v="118"/>
    <n v="1327972"/>
    <n v="750"/>
    <n v="148"/>
    <n v="111000"/>
    <n v="1438972"/>
  </r>
  <r>
    <x v="1"/>
    <x v="8"/>
    <s v="Introduction to Astrophysics"/>
    <n v="1"/>
    <n v="2014"/>
    <n v="9876"/>
    <n v="155"/>
    <n v="1530780"/>
    <n v="22"/>
    <n v="194"/>
    <n v="4268"/>
    <n v="1535048"/>
  </r>
  <r>
    <x v="5"/>
    <x v="10"/>
    <s v="Introduction to Environmental Geology"/>
    <n v="5"/>
    <n v="2014"/>
    <n v="23575"/>
    <n v="125"/>
    <n v="2946875"/>
    <n v="1245"/>
    <n v="156"/>
    <n v="194220"/>
    <n v="3141095"/>
  </r>
  <r>
    <x v="2"/>
    <x v="4"/>
    <s v="Introductory Chemistry"/>
    <n v="5"/>
    <n v="2015"/>
    <n v="22345"/>
    <n v="221"/>
    <n v="4938245"/>
    <n v="732"/>
    <n v="276"/>
    <n v="202032"/>
    <n v="5140277"/>
  </r>
  <r>
    <x v="4"/>
    <x v="12"/>
    <s v="Introductory Oceanography"/>
    <n v="3"/>
    <n v="2015"/>
    <n v="2750"/>
    <n v="165"/>
    <n v="453750"/>
    <n v="83"/>
    <n v="206"/>
    <n v="17098"/>
    <n v="470848"/>
  </r>
  <r>
    <x v="0"/>
    <x v="3"/>
    <s v="Meteorology"/>
    <n v="3"/>
    <n v="2015"/>
    <n v="4500"/>
    <n v="125"/>
    <n v="562500"/>
    <n v="12"/>
    <n v="156"/>
    <n v="1872"/>
    <n v="564372"/>
  </r>
  <r>
    <x v="3"/>
    <x v="16"/>
    <s v="Microbiology: An Introduction"/>
    <n v="12"/>
    <n v="2016"/>
    <n v="8590"/>
    <n v="236"/>
    <n v="2027240"/>
    <n v="48"/>
    <n v="295"/>
    <n v="14160"/>
    <n v="2041400"/>
  </r>
  <r>
    <x v="3"/>
    <x v="16"/>
    <s v="Microbiology: Principles and Explorations"/>
    <n v="9"/>
    <n v="2016"/>
    <n v="5837"/>
    <n v="186"/>
    <n v="1085682"/>
    <n v="632"/>
    <n v="233"/>
    <n v="147256"/>
    <n v="1232938"/>
  </r>
  <r>
    <x v="5"/>
    <x v="15"/>
    <s v="Natural Resource Conservation"/>
    <n v="10"/>
    <n v="2014"/>
    <n v="7500"/>
    <n v="195"/>
    <n v="1462500"/>
    <n v="53"/>
    <n v="244"/>
    <n v="12932"/>
    <n v="1475432"/>
  </r>
  <r>
    <x v="2"/>
    <x v="11"/>
    <s v="Organic Chemistry"/>
    <n v="9"/>
    <n v="2017"/>
    <n v="3500"/>
    <n v="310"/>
    <n v="1085000"/>
    <n v="43"/>
    <n v="388"/>
    <n v="16684"/>
    <n v="1101684"/>
  </r>
  <r>
    <x v="0"/>
    <x v="0"/>
    <s v="Our Changing Planet"/>
    <n v="2"/>
    <n v="2014"/>
    <n v="15374"/>
    <n v="120"/>
    <n v="1844880"/>
    <n v="110"/>
    <n v="150"/>
    <n v="16500"/>
    <n v="1861380"/>
  </r>
  <r>
    <x v="1"/>
    <x v="7"/>
    <s v="Physics"/>
    <n v="3"/>
    <n v="2017"/>
    <n v="20300"/>
    <n v="298"/>
    <n v="6049400"/>
    <n v="118"/>
    <n v="373"/>
    <n v="44014"/>
    <n v="6093414"/>
  </r>
  <r>
    <x v="6"/>
    <x v="14"/>
    <s v="Principles of Human Physiology"/>
    <n v="6"/>
    <n v="2016"/>
    <n v="7532"/>
    <n v="210"/>
    <n v="1581720"/>
    <n v="83"/>
    <n v="263"/>
    <n v="21829"/>
    <n v="1603549"/>
  </r>
  <r>
    <x v="3"/>
    <x v="16"/>
    <s v="Principles of Microbiology"/>
    <n v="5"/>
    <n v="2003"/>
    <n v="18750"/>
    <n v="194"/>
    <n v="3637500"/>
    <n v="1023"/>
    <n v="243"/>
    <n v="248589"/>
    <n v="3886089"/>
  </r>
  <r>
    <x v="1"/>
    <x v="7"/>
    <s v="Thinking in Physics"/>
    <n v="1"/>
    <n v="2015"/>
    <n v="11983"/>
    <n v="66"/>
    <n v="790878"/>
    <n v="93"/>
    <n v="83"/>
    <n v="7719"/>
    <n v="798597"/>
  </r>
  <r>
    <x v="0"/>
    <x v="3"/>
    <s v="Understanding Weather and Climate"/>
    <n v="9"/>
    <n v="2016"/>
    <n v="4500"/>
    <n v="175"/>
    <n v="787500"/>
    <n v="251"/>
    <n v="219"/>
    <n v="54969"/>
    <n v="842469"/>
  </r>
  <r>
    <x v="1"/>
    <x v="8"/>
    <s v="Your Cosmic Context: An Introduction"/>
    <n v="1"/>
    <n v="2012"/>
    <n v="20100"/>
    <n v="125"/>
    <n v="2512500"/>
    <n v="1723"/>
    <n v="156"/>
    <n v="268788"/>
    <n v="27812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6:O31" firstHeaderRow="1" firstDataRow="1" firstDataCol="1"/>
  <pivotFields count="12">
    <pivotField axis="axisRow" showAll="0">
      <items count="8">
        <item x="6"/>
        <item x="3"/>
        <item x="2"/>
        <item x="5"/>
        <item x="0"/>
        <item x="4"/>
        <item x="1"/>
        <item t="default"/>
      </items>
    </pivotField>
    <pivotField axis="axisRow" showAll="0">
      <items count="18">
        <item x="13"/>
        <item x="8"/>
        <item x="0"/>
        <item x="9"/>
        <item x="6"/>
        <item x="14"/>
        <item x="2"/>
        <item x="5"/>
        <item x="4"/>
        <item x="10"/>
        <item x="3"/>
        <item x="7"/>
        <item x="16"/>
        <item x="12"/>
        <item x="11"/>
        <item x="1"/>
        <item x="15"/>
        <item t="default"/>
      </items>
    </pivotField>
    <pivotField showAll="0"/>
    <pivotField showAll="0"/>
    <pivotField showAll="0"/>
    <pivotField numFmtId="167" showAll="0"/>
    <pivotField numFmtId="168" showAll="0"/>
    <pivotField numFmtId="168" showAll="0"/>
    <pivotField numFmtId="167" showAll="0"/>
    <pivotField numFmtId="168" showAll="0"/>
    <pivotField numFmtId="168" showAll="0"/>
    <pivotField dataField="1" numFmtId="168" showAll="0"/>
  </pivotFields>
  <rowFields count="2">
    <field x="0"/>
    <field x="1"/>
  </rowFields>
  <rowItems count="25">
    <i>
      <x/>
    </i>
    <i r="1">
      <x/>
    </i>
    <i r="1">
      <x v="5"/>
    </i>
    <i>
      <x v="1"/>
    </i>
    <i r="1">
      <x v="4"/>
    </i>
    <i r="1">
      <x v="7"/>
    </i>
    <i r="1">
      <x v="12"/>
    </i>
    <i>
      <x v="2"/>
    </i>
    <i r="1">
      <x v="8"/>
    </i>
    <i r="1">
      <x v="14"/>
    </i>
    <i>
      <x v="3"/>
    </i>
    <i r="1">
      <x v="9"/>
    </i>
    <i r="1">
      <x v="16"/>
    </i>
    <i>
      <x v="4"/>
    </i>
    <i r="1">
      <x v="2"/>
    </i>
    <i r="1">
      <x v="10"/>
    </i>
    <i r="1">
      <x v="15"/>
    </i>
    <i>
      <x v="5"/>
    </i>
    <i r="1">
      <x v="3"/>
    </i>
    <i r="1">
      <x v="13"/>
    </i>
    <i>
      <x v="6"/>
    </i>
    <i r="1">
      <x v="1"/>
    </i>
    <i r="1">
      <x v="6"/>
    </i>
    <i r="1">
      <x v="11"/>
    </i>
    <i t="grand">
      <x/>
    </i>
  </rowItems>
  <colItems count="1">
    <i/>
  </colItems>
  <dataFields count="1">
    <dataField name="Sum of Total Book Sales" fld="11" baseField="0" baseItem="0" numFmtId="167"/>
  </dataFields>
  <formats count="3"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27" sqref="D27"/>
    </sheetView>
  </sheetViews>
  <sheetFormatPr defaultRowHeight="15" x14ac:dyDescent="0.25"/>
  <cols>
    <col min="1" max="2" width="25.85546875" style="4" customWidth="1"/>
    <col min="3" max="3" width="20.7109375" style="4" customWidth="1"/>
    <col min="4" max="4" width="25.85546875" style="4" customWidth="1"/>
    <col min="5" max="5" width="19.5703125" style="4" customWidth="1"/>
    <col min="6" max="6" width="18.5703125" style="4" customWidth="1"/>
    <col min="7" max="7" width="20.28515625" style="4" customWidth="1"/>
    <col min="8" max="8" width="19.42578125" style="4" customWidth="1"/>
    <col min="9" max="9" width="71.28515625" style="4" bestFit="1" customWidth="1"/>
    <col min="10" max="10" width="22.28515625" style="4" bestFit="1" customWidth="1"/>
    <col min="11" max="16384" width="9.140625" style="4"/>
  </cols>
  <sheetData>
    <row r="1" spans="1:10" ht="23.25" x14ac:dyDescent="0.35">
      <c r="A1" s="147" t="s">
        <v>396</v>
      </c>
      <c r="B1" s="147"/>
      <c r="C1" s="147"/>
      <c r="D1" s="147"/>
      <c r="E1" s="147"/>
      <c r="F1" s="147"/>
      <c r="G1" s="147"/>
      <c r="H1" s="147"/>
      <c r="I1" s="147"/>
      <c r="J1" s="95" t="s">
        <v>398</v>
      </c>
    </row>
    <row r="2" spans="1:10" ht="20.25" thickBot="1" x14ac:dyDescent="0.35">
      <c r="A2" s="148" t="s">
        <v>397</v>
      </c>
      <c r="B2" s="148"/>
      <c r="C2" s="148"/>
      <c r="D2" s="148"/>
      <c r="E2" s="148"/>
      <c r="F2" s="148"/>
      <c r="G2" s="148"/>
      <c r="H2" s="148"/>
      <c r="I2" s="148"/>
      <c r="J2" s="95" t="s">
        <v>399</v>
      </c>
    </row>
    <row r="3" spans="1:10" ht="15.75" thickTop="1" x14ac:dyDescent="0.25">
      <c r="B3" s="4" t="s">
        <v>362</v>
      </c>
      <c r="C3" s="4" t="s">
        <v>290</v>
      </c>
      <c r="H3"/>
    </row>
    <row r="4" spans="1:10" ht="18" thickBot="1" x14ac:dyDescent="0.35">
      <c r="B4" s="149" t="s">
        <v>195</v>
      </c>
      <c r="C4" s="149" t="s">
        <v>195</v>
      </c>
      <c r="D4" s="149" t="s">
        <v>361</v>
      </c>
      <c r="E4" s="149" t="s">
        <v>394</v>
      </c>
      <c r="F4" s="149" t="s">
        <v>360</v>
      </c>
      <c r="G4" s="149" t="s">
        <v>395</v>
      </c>
      <c r="H4" s="149" t="s">
        <v>359</v>
      </c>
      <c r="I4" s="149" t="s">
        <v>358</v>
      </c>
    </row>
    <row r="5" spans="1:10" ht="18.75" thickTop="1" thickBot="1" x14ac:dyDescent="0.35">
      <c r="A5" s="149" t="s">
        <v>357</v>
      </c>
      <c r="B5" s="144">
        <f>IF(A5=Source!A$4,Source!B$4,IF('NestedIF-vlookup'!A5=Source!A$5,Source!B$5,IF('NestedIF-vlookup'!A5=Source!A$6,Source!B$6,IF('NestedIF-vlookup'!A5=Source!A$7,Source!B$7,IF('NestedIF-vlookup'!A5=Source!A$8,Source!B$8,IF('NestedIF-vlookup'!A5=Source!A$9,Source!B$9,IF('NestedIF-vlookup'!A5=Source!A$10,Source!B$10,IF('NestedIF-vlookup'!A5=Source!A$11,Source!B$11,"No such cookie"))))))))</f>
        <v>2.99</v>
      </c>
      <c r="C5" s="144">
        <f>VLOOKUP(A5,Source!A$4:B$11,2)</f>
        <v>2.99</v>
      </c>
      <c r="D5" s="5">
        <v>36</v>
      </c>
      <c r="E5" s="145">
        <f>C5*D5</f>
        <v>107.64000000000001</v>
      </c>
      <c r="F5" s="144">
        <f>IF(D5&gt;=Source!C$1,'NestedIF-vlookup'!E5*Source!C$2,IF('NestedIF-vlookup'!D5&gt;=Source!B$1,'NestedIF-vlookup'!E5*Source!B$2,0))</f>
        <v>0</v>
      </c>
      <c r="G5" s="144">
        <f>E5-F5</f>
        <v>107.64000000000001</v>
      </c>
      <c r="H5" s="4" t="s">
        <v>348</v>
      </c>
      <c r="I5" s="4" t="str">
        <f>IF(H5=Source!A$15,Source!B$15,IF('NestedIF-vlookup'!H5=Source!A$16,Source!B$16,"Check"))</f>
        <v>FOOD ALLERGY NOTICE: Manufactured in a facility that also processes peanuts</v>
      </c>
    </row>
    <row r="6" spans="1:10" ht="18.75" thickTop="1" thickBot="1" x14ac:dyDescent="0.35">
      <c r="A6" s="149" t="s">
        <v>356</v>
      </c>
      <c r="B6" s="144">
        <f>IF(A6=Source!A$4,Source!B$4,IF('NestedIF-vlookup'!A6=Source!A$5,Source!B$5,IF('NestedIF-vlookup'!A6=Source!A$6,Source!B$6,IF('NestedIF-vlookup'!A6=Source!A$7,Source!B$7,IF('NestedIF-vlookup'!A6=Source!A$8,Source!B$8,IF('NestedIF-vlookup'!A6=Source!A$9,Source!B$9,IF('NestedIF-vlookup'!A6=Source!A$10,Source!B$10,IF('NestedIF-vlookup'!A6=Source!A$11,Source!B$11,"No such cookie"))))))))</f>
        <v>3.49</v>
      </c>
      <c r="C6" s="144">
        <f>VLOOKUP(A6,Source!A$4:B$11,2)</f>
        <v>3.49</v>
      </c>
      <c r="D6" s="5">
        <v>48</v>
      </c>
      <c r="E6" s="145">
        <f t="shared" ref="E6:E12" si="0">C6*D6</f>
        <v>167.52</v>
      </c>
      <c r="F6" s="144">
        <f>IF(D6&gt;=Source!C$1,'NestedIF-vlookup'!E6*Source!C$2,IF('NestedIF-vlookup'!D6&gt;=Source!B$1,'NestedIF-vlookup'!E6*Source!B$2,0))</f>
        <v>16.752000000000002</v>
      </c>
      <c r="G6" s="144">
        <f t="shared" ref="G6:G12" si="1">E6-F6</f>
        <v>150.768</v>
      </c>
      <c r="H6" s="4" t="s">
        <v>348</v>
      </c>
      <c r="I6" s="4" t="str">
        <f>IF(H6=Source!A$15,Source!B$15,IF('NestedIF-vlookup'!H6=Source!A$16,Source!B$16,"Check"))</f>
        <v>FOOD ALLERGY NOTICE: Manufactured in a facility that also processes peanuts</v>
      </c>
    </row>
    <row r="7" spans="1:10" ht="18.75" thickTop="1" thickBot="1" x14ac:dyDescent="0.35">
      <c r="A7" s="149" t="s">
        <v>355</v>
      </c>
      <c r="B7" s="144">
        <f>IF(A7=Source!A$4,Source!B$4,IF('NestedIF-vlookup'!A7=Source!A$5,Source!B$5,IF('NestedIF-vlookup'!A7=Source!A$6,Source!B$6,IF('NestedIF-vlookup'!A7=Source!A$7,Source!B$7,IF('NestedIF-vlookup'!A7=Source!A$8,Source!B$8,IF('NestedIF-vlookup'!A7=Source!A$9,Source!B$9,IF('NestedIF-vlookup'!A7=Source!A$10,Source!B$10,IF('NestedIF-vlookup'!A7=Source!A$11,Source!B$11,"No such cookie"))))))))</f>
        <v>2.99</v>
      </c>
      <c r="C7" s="144">
        <f>VLOOKUP(A7,Source!A$4:B$11,2)</f>
        <v>3.99</v>
      </c>
      <c r="D7" s="5">
        <v>36</v>
      </c>
      <c r="E7" s="145">
        <f t="shared" si="0"/>
        <v>143.64000000000001</v>
      </c>
      <c r="F7" s="144">
        <f>IF(D7&gt;=Source!C$1,'NestedIF-vlookup'!E7*Source!C$2,IF('NestedIF-vlookup'!D7&gt;=Source!B$1,'NestedIF-vlookup'!E7*Source!B$2,0))</f>
        <v>0</v>
      </c>
      <c r="G7" s="144">
        <f t="shared" si="1"/>
        <v>143.64000000000001</v>
      </c>
      <c r="H7" s="4" t="s">
        <v>348</v>
      </c>
      <c r="I7" s="4" t="str">
        <f>IF(H7=Source!A$15,Source!B$15,IF('NestedIF-vlookup'!H7=Source!A$16,Source!B$16,"Check"))</f>
        <v>FOOD ALLERGY NOTICE: Manufactured in a facility that also processes peanuts</v>
      </c>
    </row>
    <row r="8" spans="1:10" ht="18.75" thickTop="1" thickBot="1" x14ac:dyDescent="0.35">
      <c r="A8" s="149" t="s">
        <v>354</v>
      </c>
      <c r="B8" s="144">
        <f>IF(A8=Source!A$4,Source!B$4,IF('NestedIF-vlookup'!A8=Source!A$5,Source!B$5,IF('NestedIF-vlookup'!A8=Source!A$6,Source!B$6,IF('NestedIF-vlookup'!A8=Source!A$7,Source!B$7,IF('NestedIF-vlookup'!A8=Source!A$8,Source!B$8,IF('NestedIF-vlookup'!A8=Source!A$9,Source!B$9,IF('NestedIF-vlookup'!A8=Source!A$10,Source!B$10,IF('NestedIF-vlookup'!A8=Source!A$11,Source!B$11,"No such cookie"))))))))</f>
        <v>3.99</v>
      </c>
      <c r="C8" s="144">
        <f>VLOOKUP(A8,Source!A$4:B$11,2)</f>
        <v>3.99</v>
      </c>
      <c r="D8" s="5">
        <v>48</v>
      </c>
      <c r="E8" s="145">
        <f t="shared" si="0"/>
        <v>191.52</v>
      </c>
      <c r="F8" s="144">
        <f>IF(D8&gt;=Source!C$1,'NestedIF-vlookup'!E8*Source!C$2,IF('NestedIF-vlookup'!D8&gt;=Source!B$1,'NestedIF-vlookup'!E8*Source!B$2,0))</f>
        <v>19.152000000000001</v>
      </c>
      <c r="G8" s="144">
        <f t="shared" si="1"/>
        <v>172.36799999999999</v>
      </c>
      <c r="H8" s="4" t="s">
        <v>348</v>
      </c>
      <c r="I8" s="4" t="str">
        <f>IF(H8=Source!A$15,Source!B$15,IF('NestedIF-vlookup'!H8=Source!A$16,Source!B$16,"Check"))</f>
        <v>FOOD ALLERGY NOTICE: Manufactured in a facility that also processes peanuts</v>
      </c>
    </row>
    <row r="9" spans="1:10" ht="18.75" thickTop="1" thickBot="1" x14ac:dyDescent="0.35">
      <c r="A9" s="149" t="s">
        <v>353</v>
      </c>
      <c r="B9" s="144">
        <f>IF(A9=Source!A$4,Source!B$4,IF('NestedIF-vlookup'!A9=Source!A$5,Source!B$5,IF('NestedIF-vlookup'!A9=Source!A$6,Source!B$6,IF('NestedIF-vlookup'!A9=Source!A$7,Source!B$7,IF('NestedIF-vlookup'!A9=Source!A$8,Source!B$8,IF('NestedIF-vlookup'!A9=Source!A$9,Source!B$9,IF('NestedIF-vlookup'!A9=Source!A$10,Source!B$10,IF('NestedIF-vlookup'!A9=Source!A$11,Source!B$11,"No such cookie"))))))))</f>
        <v>4.99</v>
      </c>
      <c r="C9" s="144">
        <f>VLOOKUP(A9,Source!A$4:B$11,2)</f>
        <v>4.99</v>
      </c>
      <c r="D9" s="5">
        <v>12</v>
      </c>
      <c r="E9" s="145">
        <f t="shared" si="0"/>
        <v>59.88</v>
      </c>
      <c r="F9" s="144">
        <f>IF(D9&gt;=Source!C$1,'NestedIF-vlookup'!E9*Source!C$2,IF('NestedIF-vlookup'!D9&gt;=Source!B$1,'NestedIF-vlookup'!E9*Source!B$2,0))</f>
        <v>0</v>
      </c>
      <c r="G9" s="144">
        <f t="shared" si="1"/>
        <v>59.88</v>
      </c>
      <c r="H9" s="4" t="s">
        <v>351</v>
      </c>
      <c r="I9" s="4" t="str">
        <f>IF(H9=Source!A$15,Source!B$15,IF('NestedIF-vlookup'!H9=Source!A$16,Source!B$16,"Check"))</f>
        <v>FOOD ALLERGY NOTICE: Contains peanuts</v>
      </c>
    </row>
    <row r="10" spans="1:10" ht="18.75" thickTop="1" thickBot="1" x14ac:dyDescent="0.35">
      <c r="A10" s="149" t="s">
        <v>352</v>
      </c>
      <c r="B10" s="144">
        <f>IF(A10=Source!A$4,Source!B$4,IF('NestedIF-vlookup'!A10=Source!A$5,Source!B$5,IF('NestedIF-vlookup'!A10=Source!A$6,Source!B$6,IF('NestedIF-vlookup'!A10=Source!A$7,Source!B$7,IF('NestedIF-vlookup'!A10=Source!A$8,Source!B$8,IF('NestedIF-vlookup'!A10=Source!A$9,Source!B$9,IF('NestedIF-vlookup'!A10=Source!A$10,Source!B$10,IF('NestedIF-vlookup'!A10=Source!A$11,Source!B$11,"No such cookie"))))))))</f>
        <v>4.99</v>
      </c>
      <c r="C10" s="144">
        <f>VLOOKUP(A10,Source!A$4:B$11,2)</f>
        <v>4.99</v>
      </c>
      <c r="D10" s="5">
        <v>60</v>
      </c>
      <c r="E10" s="145">
        <f t="shared" si="0"/>
        <v>299.40000000000003</v>
      </c>
      <c r="F10" s="144">
        <f>IF(D10&gt;=Source!C$1,'NestedIF-vlookup'!E10*Source!C$2,IF('NestedIF-vlookup'!D10&gt;=Source!B$1,'NestedIF-vlookup'!E10*Source!B$2,0))</f>
        <v>44.910000000000004</v>
      </c>
      <c r="G10" s="144">
        <f t="shared" si="1"/>
        <v>254.49000000000004</v>
      </c>
      <c r="H10" s="4" t="s">
        <v>351</v>
      </c>
      <c r="I10" s="4" t="str">
        <f>IF(H10=Source!A$15,Source!B$15,IF('NestedIF-vlookup'!H10=Source!A$16,Source!B$16,"Check"))</f>
        <v>FOOD ALLERGY NOTICE: Contains peanuts</v>
      </c>
    </row>
    <row r="11" spans="1:10" ht="18.75" thickTop="1" thickBot="1" x14ac:dyDescent="0.35">
      <c r="A11" s="149" t="s">
        <v>350</v>
      </c>
      <c r="B11" s="144">
        <f>IF(A11=Source!A$4,Source!B$4,IF('NestedIF-vlookup'!A11=Source!A$5,Source!B$5,IF('NestedIF-vlookup'!A11=Source!A$6,Source!B$6,IF('NestedIF-vlookup'!A11=Source!A$7,Source!B$7,IF('NestedIF-vlookup'!A11=Source!A$8,Source!B$8,IF('NestedIF-vlookup'!A11=Source!A$9,Source!B$9,IF('NestedIF-vlookup'!A11=Source!A$10,Source!B$10,IF('NestedIF-vlookup'!A11=Source!A$11,Source!B$11,"No such cookie"))))))))</f>
        <v>3.99</v>
      </c>
      <c r="C11" s="144">
        <f>VLOOKUP(A11,Source!A$4:B$11,2)</f>
        <v>3.99</v>
      </c>
      <c r="D11" s="5">
        <v>12</v>
      </c>
      <c r="E11" s="145">
        <f t="shared" si="0"/>
        <v>47.88</v>
      </c>
      <c r="F11" s="144">
        <f>IF(D11&gt;=Source!C$1,'NestedIF-vlookup'!E11*Source!C$2,IF('NestedIF-vlookup'!D11&gt;=Source!B$1,'NestedIF-vlookup'!E11*Source!B$2,0))</f>
        <v>0</v>
      </c>
      <c r="G11" s="144">
        <f t="shared" si="1"/>
        <v>47.88</v>
      </c>
      <c r="H11" s="4" t="s">
        <v>348</v>
      </c>
      <c r="I11" s="4" t="str">
        <f>IF(H11=Source!A$15,Source!B$15,IF('NestedIF-vlookup'!H11=Source!A$16,Source!B$16,"Check"))</f>
        <v>FOOD ALLERGY NOTICE: Manufactured in a facility that also processes peanuts</v>
      </c>
    </row>
    <row r="12" spans="1:10" ht="18.75" thickTop="1" thickBot="1" x14ac:dyDescent="0.35">
      <c r="A12" s="149" t="s">
        <v>349</v>
      </c>
      <c r="B12" s="144">
        <f>IF(A12=Source!A$4,Source!B$4,IF('NestedIF-vlookup'!A12=Source!A$5,Source!B$5,IF('NestedIF-vlookup'!A12=Source!A$6,Source!B$6,IF('NestedIF-vlookup'!A12=Source!A$7,Source!B$7,IF('NestedIF-vlookup'!A12=Source!A$8,Source!B$8,IF('NestedIF-vlookup'!A12=Source!A$9,Source!B$9,IF('NestedIF-vlookup'!A12=Source!A$10,Source!B$10,IF('NestedIF-vlookup'!A12=Source!A$11,Source!B$11,"No such cookie"))))))))</f>
        <v>3.49</v>
      </c>
      <c r="C12" s="144">
        <f>VLOOKUP(A12,Source!A$4:B$11,2)</f>
        <v>3.99</v>
      </c>
      <c r="D12" s="5">
        <v>72</v>
      </c>
      <c r="E12" s="145">
        <f t="shared" si="0"/>
        <v>287.28000000000003</v>
      </c>
      <c r="F12" s="144">
        <f>IF(D12&gt;=Source!C$1,'NestedIF-vlookup'!E12*Source!C$2,IF('NestedIF-vlookup'!D12&gt;=Source!B$1,'NestedIF-vlookup'!E12*Source!B$2,0))</f>
        <v>43.092000000000006</v>
      </c>
      <c r="G12" s="144">
        <f t="shared" si="1"/>
        <v>244.18800000000002</v>
      </c>
      <c r="H12" s="4" t="s">
        <v>348</v>
      </c>
      <c r="I12" s="4" t="str">
        <f>IF(H12=Source!A$15,Source!B$15,IF('NestedIF-vlookup'!H12=Source!A$16,Source!B$16,"Check"))</f>
        <v>FOOD ALLERGY NOTICE: Manufactured in a facility that also processes peanuts</v>
      </c>
    </row>
    <row r="13" spans="1:10" ht="15.75" thickTop="1" x14ac:dyDescent="0.25"/>
    <row r="14" spans="1:10" x14ac:dyDescent="0.25">
      <c r="A14" s="4" t="s">
        <v>347</v>
      </c>
      <c r="B14" s="143">
        <v>43439</v>
      </c>
    </row>
    <row r="15" spans="1:10" x14ac:dyDescent="0.25">
      <c r="A15" s="4" t="s">
        <v>346</v>
      </c>
      <c r="B15" s="143">
        <v>43439</v>
      </c>
    </row>
    <row r="16" spans="1:10" x14ac:dyDescent="0.25">
      <c r="A16" s="4" t="s">
        <v>345</v>
      </c>
      <c r="B16" s="143">
        <f ca="1">TODAY()</f>
        <v>43439</v>
      </c>
    </row>
    <row r="17" spans="1:2" x14ac:dyDescent="0.25">
      <c r="A17" s="4" t="s">
        <v>344</v>
      </c>
      <c r="B17" s="4">
        <f ca="1">_xlfn.DAYS(B16,B15)</f>
        <v>0</v>
      </c>
    </row>
  </sheetData>
  <mergeCells count="1">
    <mergeCell ref="A1:I1"/>
  </mergeCells>
  <conditionalFormatting sqref="I5:I12">
    <cfRule type="containsText" dxfId="0" priority="1" operator="containsText" text="contains peanuts">
      <formula>NOT(ISERROR(SEARCH("contains peanuts",I5)))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6" sqref="B16"/>
    </sheetView>
  </sheetViews>
  <sheetFormatPr defaultColWidth="25.5703125" defaultRowHeight="15" x14ac:dyDescent="0.25"/>
  <cols>
    <col min="1" max="1" width="25.5703125" style="4"/>
    <col min="2" max="2" width="10.85546875" style="4" customWidth="1"/>
    <col min="3" max="3" width="8" style="4" customWidth="1"/>
    <col min="4" max="16384" width="25.5703125" style="4"/>
  </cols>
  <sheetData>
    <row r="1" spans="1:3" s="4" customFormat="1" x14ac:dyDescent="0.25">
      <c r="A1" s="139" t="s">
        <v>360</v>
      </c>
      <c r="B1" s="139">
        <v>48</v>
      </c>
      <c r="C1" s="4">
        <v>60</v>
      </c>
    </row>
    <row r="2" spans="1:3" s="4" customFormat="1" x14ac:dyDescent="0.25">
      <c r="A2" s="139"/>
      <c r="B2" s="138">
        <v>0.1</v>
      </c>
      <c r="C2" s="6">
        <v>0.15</v>
      </c>
    </row>
    <row r="3" spans="1:3" s="4" customFormat="1" x14ac:dyDescent="0.25">
      <c r="A3" s="4" t="s">
        <v>195</v>
      </c>
    </row>
    <row r="4" spans="1:3" s="4" customFormat="1" x14ac:dyDescent="0.25">
      <c r="A4" s="4" t="s">
        <v>357</v>
      </c>
      <c r="B4" s="4">
        <v>2.99</v>
      </c>
    </row>
    <row r="5" spans="1:3" s="4" customFormat="1" x14ac:dyDescent="0.25">
      <c r="A5" s="4" t="s">
        <v>356</v>
      </c>
      <c r="B5" s="4">
        <v>3.49</v>
      </c>
    </row>
    <row r="6" spans="1:3" s="4" customFormat="1" x14ac:dyDescent="0.25">
      <c r="A6" s="4" t="s">
        <v>355</v>
      </c>
      <c r="B6" s="4">
        <v>2.99</v>
      </c>
    </row>
    <row r="7" spans="1:3" s="4" customFormat="1" x14ac:dyDescent="0.25">
      <c r="A7" s="4" t="s">
        <v>354</v>
      </c>
      <c r="B7" s="4">
        <v>3.99</v>
      </c>
    </row>
    <row r="8" spans="1:3" s="4" customFormat="1" x14ac:dyDescent="0.25">
      <c r="A8" s="4" t="s">
        <v>353</v>
      </c>
      <c r="B8" s="4">
        <v>4.99</v>
      </c>
    </row>
    <row r="9" spans="1:3" s="4" customFormat="1" x14ac:dyDescent="0.25">
      <c r="A9" s="4" t="s">
        <v>352</v>
      </c>
      <c r="B9" s="4">
        <v>4.99</v>
      </c>
    </row>
    <row r="10" spans="1:3" s="4" customFormat="1" x14ac:dyDescent="0.25">
      <c r="A10" s="4" t="s">
        <v>350</v>
      </c>
      <c r="B10" s="4">
        <v>3.99</v>
      </c>
    </row>
    <row r="11" spans="1:3" s="4" customFormat="1" x14ac:dyDescent="0.25">
      <c r="A11" s="4" t="s">
        <v>349</v>
      </c>
      <c r="B11" s="4">
        <v>3.49</v>
      </c>
    </row>
    <row r="14" spans="1:3" s="4" customFormat="1" x14ac:dyDescent="0.25">
      <c r="A14" s="4" t="s">
        <v>366</v>
      </c>
      <c r="B14" s="4" t="s">
        <v>365</v>
      </c>
    </row>
    <row r="15" spans="1:3" s="4" customFormat="1" x14ac:dyDescent="0.25">
      <c r="A15" s="4" t="s">
        <v>348</v>
      </c>
      <c r="B15" s="4" t="s">
        <v>364</v>
      </c>
    </row>
    <row r="16" spans="1:3" s="4" customFormat="1" x14ac:dyDescent="0.25">
      <c r="A16" s="4" t="s">
        <v>351</v>
      </c>
      <c r="B16" s="4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pane ySplit="1" topLeftCell="A2" activePane="bottomLeft" state="frozen"/>
      <selection activeCell="B16" sqref="B16"/>
      <selection pane="bottomLeft" activeCell="A28" sqref="A28"/>
    </sheetView>
  </sheetViews>
  <sheetFormatPr defaultRowHeight="15" x14ac:dyDescent="0.25"/>
  <cols>
    <col min="1" max="4" width="16.7109375" style="4" customWidth="1"/>
    <col min="5" max="5" width="12.7109375" style="4" customWidth="1"/>
    <col min="6" max="6" width="14" style="140" bestFit="1" customWidth="1"/>
    <col min="7" max="8" width="14.140625" style="140" bestFit="1" customWidth="1"/>
    <col min="9" max="9" width="10.140625" style="140" customWidth="1"/>
    <col min="10" max="16384" width="9.140625" style="4"/>
  </cols>
  <sheetData>
    <row r="1" spans="1:9" x14ac:dyDescent="0.25">
      <c r="A1" s="141" t="s">
        <v>131</v>
      </c>
      <c r="B1" s="141" t="s">
        <v>393</v>
      </c>
      <c r="C1" s="141" t="s">
        <v>129</v>
      </c>
      <c r="D1" s="141" t="s">
        <v>128</v>
      </c>
      <c r="E1" s="141" t="s">
        <v>126</v>
      </c>
      <c r="F1" s="4"/>
      <c r="G1" s="4"/>
      <c r="H1" s="4"/>
      <c r="I1" s="4"/>
    </row>
    <row r="2" spans="1:9" x14ac:dyDescent="0.25">
      <c r="A2" s="4" t="s">
        <v>392</v>
      </c>
      <c r="B2" s="4" t="s">
        <v>367</v>
      </c>
      <c r="C2" s="4" t="s">
        <v>99</v>
      </c>
      <c r="D2" s="48">
        <v>40932</v>
      </c>
      <c r="E2" s="47">
        <v>41000</v>
      </c>
      <c r="F2" s="4"/>
      <c r="G2" s="4"/>
      <c r="H2" s="4"/>
      <c r="I2" s="4"/>
    </row>
    <row r="3" spans="1:9" x14ac:dyDescent="0.25">
      <c r="A3" s="4" t="s">
        <v>391</v>
      </c>
      <c r="B3" s="4" t="s">
        <v>367</v>
      </c>
      <c r="C3" s="4" t="s">
        <v>99</v>
      </c>
      <c r="D3" s="48">
        <v>40311</v>
      </c>
      <c r="E3" s="47">
        <v>45125</v>
      </c>
      <c r="F3" s="4"/>
      <c r="G3" s="4"/>
      <c r="H3" s="4"/>
      <c r="I3" s="4"/>
    </row>
    <row r="4" spans="1:9" x14ac:dyDescent="0.25">
      <c r="A4" s="4" t="s">
        <v>390</v>
      </c>
      <c r="B4" s="4" t="s">
        <v>368</v>
      </c>
      <c r="C4" s="4" t="s">
        <v>99</v>
      </c>
      <c r="D4" s="48">
        <v>40871</v>
      </c>
      <c r="E4" s="47">
        <v>46725</v>
      </c>
      <c r="F4" s="4"/>
      <c r="G4" s="4"/>
      <c r="H4" s="4"/>
      <c r="I4" s="4"/>
    </row>
    <row r="5" spans="1:9" x14ac:dyDescent="0.25">
      <c r="A5" s="4" t="s">
        <v>389</v>
      </c>
      <c r="B5" s="4" t="s">
        <v>368</v>
      </c>
      <c r="C5" s="4" t="s">
        <v>99</v>
      </c>
      <c r="D5" s="48">
        <v>40267</v>
      </c>
      <c r="E5" s="47">
        <v>45000</v>
      </c>
      <c r="F5" s="4"/>
      <c r="G5" s="4"/>
      <c r="H5" s="4"/>
      <c r="I5" s="4"/>
    </row>
    <row r="6" spans="1:9" x14ac:dyDescent="0.25">
      <c r="A6" s="4" t="s">
        <v>388</v>
      </c>
      <c r="B6" s="4" t="s">
        <v>367</v>
      </c>
      <c r="C6" s="4" t="s">
        <v>99</v>
      </c>
      <c r="D6" s="48">
        <v>40160</v>
      </c>
      <c r="E6" s="47">
        <v>49575</v>
      </c>
      <c r="F6" s="4"/>
      <c r="G6" s="4"/>
      <c r="H6" s="4"/>
      <c r="I6" s="4"/>
    </row>
    <row r="7" spans="1:9" x14ac:dyDescent="0.25">
      <c r="A7" s="4" t="s">
        <v>387</v>
      </c>
      <c r="B7" s="4" t="s">
        <v>367</v>
      </c>
      <c r="C7" s="4" t="s">
        <v>99</v>
      </c>
      <c r="D7" s="48">
        <v>39884</v>
      </c>
      <c r="E7" s="47">
        <v>43750</v>
      </c>
      <c r="F7" s="4"/>
      <c r="G7" s="4"/>
      <c r="H7" s="4"/>
      <c r="I7" s="4"/>
    </row>
    <row r="8" spans="1:9" x14ac:dyDescent="0.25">
      <c r="A8" s="4" t="s">
        <v>386</v>
      </c>
      <c r="B8" s="4" t="s">
        <v>369</v>
      </c>
      <c r="C8" s="4" t="s">
        <v>99</v>
      </c>
      <c r="D8" s="48">
        <v>40114</v>
      </c>
      <c r="E8" s="47">
        <v>47835</v>
      </c>
      <c r="F8" s="4"/>
      <c r="G8" s="4"/>
      <c r="H8" s="4"/>
      <c r="I8" s="4"/>
    </row>
    <row r="9" spans="1:9" x14ac:dyDescent="0.25">
      <c r="A9" s="4" t="s">
        <v>385</v>
      </c>
      <c r="B9" s="4" t="s">
        <v>369</v>
      </c>
      <c r="C9" s="4" t="s">
        <v>373</v>
      </c>
      <c r="D9" s="48">
        <v>37583</v>
      </c>
      <c r="E9" s="47">
        <v>68750</v>
      </c>
      <c r="F9" s="4"/>
      <c r="G9" s="4"/>
      <c r="H9" s="4"/>
      <c r="I9" s="4"/>
    </row>
    <row r="10" spans="1:9" x14ac:dyDescent="0.25">
      <c r="A10" s="4" t="s">
        <v>384</v>
      </c>
      <c r="B10" s="4" t="s">
        <v>369</v>
      </c>
      <c r="C10" s="4" t="s">
        <v>99</v>
      </c>
      <c r="D10" s="48">
        <v>40464</v>
      </c>
      <c r="E10" s="47">
        <v>45250</v>
      </c>
      <c r="F10" s="4"/>
      <c r="G10" s="4"/>
      <c r="H10" s="4"/>
      <c r="I10" s="4"/>
    </row>
    <row r="11" spans="1:9" x14ac:dyDescent="0.25">
      <c r="A11" s="4" t="s">
        <v>383</v>
      </c>
      <c r="B11" s="4" t="s">
        <v>369</v>
      </c>
      <c r="C11" s="4" t="s">
        <v>99</v>
      </c>
      <c r="D11" s="48">
        <v>39227</v>
      </c>
      <c r="E11" s="47">
        <v>49750</v>
      </c>
      <c r="F11" s="4"/>
      <c r="G11" s="4"/>
      <c r="H11" s="4"/>
      <c r="I11" s="4"/>
    </row>
    <row r="12" spans="1:9" x14ac:dyDescent="0.25">
      <c r="A12" s="4" t="s">
        <v>382</v>
      </c>
      <c r="B12" s="4" t="s">
        <v>367</v>
      </c>
      <c r="C12" s="4" t="s">
        <v>373</v>
      </c>
      <c r="D12" s="48">
        <v>38774</v>
      </c>
      <c r="E12" s="47">
        <v>65500</v>
      </c>
      <c r="F12" s="4"/>
      <c r="G12" s="4"/>
      <c r="H12" s="4"/>
      <c r="I12" s="4"/>
    </row>
    <row r="13" spans="1:9" x14ac:dyDescent="0.25">
      <c r="A13" s="4" t="s">
        <v>381</v>
      </c>
      <c r="B13" s="4" t="s">
        <v>368</v>
      </c>
      <c r="C13" s="4" t="s">
        <v>99</v>
      </c>
      <c r="D13" s="48">
        <v>40383</v>
      </c>
      <c r="E13" s="47">
        <v>46000</v>
      </c>
      <c r="F13" s="4"/>
      <c r="G13" s="4"/>
      <c r="H13" s="4"/>
      <c r="I13" s="4"/>
    </row>
    <row r="14" spans="1:9" x14ac:dyDescent="0.25">
      <c r="A14" s="4" t="s">
        <v>380</v>
      </c>
      <c r="B14" s="42" t="s">
        <v>369</v>
      </c>
      <c r="C14" s="4" t="s">
        <v>99</v>
      </c>
      <c r="D14" s="48">
        <v>40526</v>
      </c>
      <c r="E14" s="47">
        <v>45100</v>
      </c>
      <c r="F14" s="4"/>
      <c r="G14" s="4"/>
      <c r="H14" s="4"/>
      <c r="I14" s="4"/>
    </row>
    <row r="15" spans="1:9" x14ac:dyDescent="0.25">
      <c r="A15" s="4" t="s">
        <v>379</v>
      </c>
      <c r="B15" s="4" t="s">
        <v>367</v>
      </c>
      <c r="C15" s="4" t="s">
        <v>99</v>
      </c>
      <c r="D15" s="48">
        <v>40191</v>
      </c>
      <c r="E15" s="47">
        <v>46795</v>
      </c>
      <c r="F15" s="4"/>
      <c r="G15" s="4"/>
      <c r="H15" s="4"/>
      <c r="I15" s="4"/>
    </row>
    <row r="16" spans="1:9" x14ac:dyDescent="0.25">
      <c r="A16" s="4" t="s">
        <v>378</v>
      </c>
      <c r="B16" s="4" t="s">
        <v>369</v>
      </c>
      <c r="C16" s="4" t="s">
        <v>99</v>
      </c>
      <c r="D16" s="48">
        <v>40778</v>
      </c>
      <c r="E16" s="47">
        <v>39750</v>
      </c>
      <c r="F16" s="4"/>
      <c r="G16" s="4"/>
      <c r="H16" s="4"/>
      <c r="I16" s="4"/>
    </row>
    <row r="17" spans="1:10" x14ac:dyDescent="0.25">
      <c r="A17" s="4" t="s">
        <v>377</v>
      </c>
      <c r="B17" s="4" t="s">
        <v>368</v>
      </c>
      <c r="C17" s="4" t="s">
        <v>99</v>
      </c>
      <c r="D17" s="48">
        <v>40895</v>
      </c>
      <c r="E17" s="47">
        <v>41525</v>
      </c>
      <c r="F17" s="4"/>
      <c r="G17" s="4"/>
      <c r="H17" s="4"/>
      <c r="I17" s="4"/>
    </row>
    <row r="18" spans="1:10" x14ac:dyDescent="0.25">
      <c r="A18" s="4" t="s">
        <v>272</v>
      </c>
      <c r="B18" s="4" t="s">
        <v>369</v>
      </c>
      <c r="C18" s="4" t="s">
        <v>99</v>
      </c>
      <c r="D18" s="48">
        <v>40009</v>
      </c>
      <c r="E18" s="47">
        <v>43750</v>
      </c>
      <c r="F18" s="4"/>
      <c r="G18" s="4"/>
      <c r="H18" s="4"/>
      <c r="I18" s="4"/>
    </row>
    <row r="19" spans="1:10" x14ac:dyDescent="0.25">
      <c r="A19" s="4" t="s">
        <v>376</v>
      </c>
      <c r="B19" s="4" t="s">
        <v>369</v>
      </c>
      <c r="C19" s="4" t="s">
        <v>99</v>
      </c>
      <c r="D19" s="48">
        <v>40053</v>
      </c>
      <c r="E19" s="47">
        <v>47240</v>
      </c>
      <c r="F19" s="4"/>
      <c r="G19" s="4"/>
      <c r="H19" s="4"/>
      <c r="I19" s="4"/>
    </row>
    <row r="20" spans="1:10" x14ac:dyDescent="0.25">
      <c r="A20" s="4" t="s">
        <v>375</v>
      </c>
      <c r="B20" s="4" t="s">
        <v>367</v>
      </c>
      <c r="C20" s="4" t="s">
        <v>99</v>
      </c>
      <c r="D20" s="48">
        <v>39227</v>
      </c>
      <c r="E20" s="47">
        <v>49750</v>
      </c>
      <c r="F20" s="4"/>
      <c r="G20" s="4"/>
      <c r="H20" s="4"/>
      <c r="I20" s="4"/>
    </row>
    <row r="21" spans="1:10" x14ac:dyDescent="0.25">
      <c r="A21" s="4" t="s">
        <v>374</v>
      </c>
      <c r="B21" s="4" t="s">
        <v>368</v>
      </c>
      <c r="C21" s="4" t="s">
        <v>373</v>
      </c>
      <c r="D21" s="48">
        <v>38095</v>
      </c>
      <c r="E21" s="47">
        <v>75800</v>
      </c>
      <c r="F21" s="4"/>
      <c r="G21" s="4"/>
      <c r="H21" s="4"/>
      <c r="I21" s="4"/>
    </row>
    <row r="23" spans="1:10" x14ac:dyDescent="0.25">
      <c r="A23" s="142" t="s">
        <v>400</v>
      </c>
      <c r="B23" s="141" t="s">
        <v>372</v>
      </c>
      <c r="C23" s="141" t="s">
        <v>371</v>
      </c>
      <c r="D23" s="141" t="s">
        <v>370</v>
      </c>
    </row>
    <row r="24" spans="1:10" x14ac:dyDescent="0.25">
      <c r="A24" s="4" t="s">
        <v>369</v>
      </c>
      <c r="B24" s="8">
        <f>SUMIFS(E$2:E$21,B$2:B$21,A24,C$2:C$21,A$28)</f>
        <v>318675</v>
      </c>
      <c r="C24" s="8">
        <f>AVERAGEIFS(E$2:E$21,B$2:B$21,A24,C$2:C$21,A$28)</f>
        <v>45525</v>
      </c>
      <c r="D24" s="5">
        <f>COUNTIFS(B$2:B$21,A24,C$2:C$21,A$28)</f>
        <v>7</v>
      </c>
    </row>
    <row r="25" spans="1:10" x14ac:dyDescent="0.25">
      <c r="A25" s="4" t="s">
        <v>368</v>
      </c>
      <c r="B25" s="8">
        <f t="shared" ref="B25:B26" si="0">SUMIFS(E$2:E$21,B$2:B$21,A25,C$2:C$21,A$28)</f>
        <v>179250</v>
      </c>
      <c r="C25" s="8">
        <f t="shared" ref="C25:C26" si="1">AVERAGEIFS(E$2:E$21,B$2:B$21,A25,C$2:C$21,A$28)</f>
        <v>44812.5</v>
      </c>
      <c r="D25" s="5">
        <f t="shared" ref="D25:D26" si="2">COUNTIFS(B$2:B$21,A25,C$2:C$21,A$28)</f>
        <v>4</v>
      </c>
    </row>
    <row r="26" spans="1:10" x14ac:dyDescent="0.25">
      <c r="A26" s="4" t="s">
        <v>367</v>
      </c>
      <c r="B26" s="8">
        <f t="shared" si="0"/>
        <v>275995</v>
      </c>
      <c r="C26" s="8">
        <f t="shared" si="1"/>
        <v>45999.166666666664</v>
      </c>
      <c r="D26" s="5">
        <f t="shared" si="2"/>
        <v>6</v>
      </c>
    </row>
    <row r="28" spans="1:10" x14ac:dyDescent="0.25">
      <c r="A28" s="142" t="s">
        <v>99</v>
      </c>
      <c r="F28" s="4"/>
      <c r="G28" s="4"/>
      <c r="H28" s="4"/>
      <c r="J28" s="140"/>
    </row>
    <row r="29" spans="1:10" x14ac:dyDescent="0.25">
      <c r="F29" s="4"/>
      <c r="G29" s="4"/>
      <c r="H29" s="4"/>
      <c r="J29" s="140"/>
    </row>
  </sheetData>
  <autoFilter ref="A1:J21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22" sqref="A22:XFD24"/>
    </sheetView>
  </sheetViews>
  <sheetFormatPr defaultRowHeight="12.75" customHeight="1" x14ac:dyDescent="0.2"/>
  <cols>
    <col min="1" max="1" width="14.140625" style="70" customWidth="1"/>
    <col min="2" max="2" width="12.140625" style="70" bestFit="1" customWidth="1"/>
    <col min="3" max="3" width="19" style="70" customWidth="1"/>
    <col min="4" max="4" width="15.7109375" style="70" customWidth="1"/>
    <col min="5" max="5" width="22.7109375" style="70" customWidth="1"/>
    <col min="6" max="6" width="24" style="70" customWidth="1"/>
    <col min="7" max="7" width="11.5703125" style="70" customWidth="1"/>
    <col min="8" max="8" width="12.140625" style="70" customWidth="1"/>
    <col min="9" max="9" width="8.42578125" style="70" bestFit="1" customWidth="1"/>
    <col min="10" max="10" width="16.85546875" style="70" bestFit="1" customWidth="1"/>
    <col min="11" max="11" width="16.28515625" style="70" customWidth="1"/>
    <col min="12" max="14" width="9.140625" style="70"/>
    <col min="15" max="16" width="11.85546875" style="70" bestFit="1" customWidth="1"/>
    <col min="17" max="16384" width="9.140625" style="70"/>
  </cols>
  <sheetData>
    <row r="1" spans="1:10" ht="24" customHeight="1" x14ac:dyDescent="0.35">
      <c r="A1" s="130" t="s">
        <v>208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ht="12.75" customHeight="1" x14ac:dyDescent="0.2">
      <c r="A2" s="78" t="s">
        <v>207</v>
      </c>
      <c r="B2" s="77"/>
    </row>
    <row r="3" spans="1:10" ht="12.75" customHeight="1" x14ac:dyDescent="0.2">
      <c r="A3" s="78"/>
      <c r="B3" s="77"/>
      <c r="C3" s="70" t="s">
        <v>289</v>
      </c>
      <c r="D3" s="70" t="s">
        <v>290</v>
      </c>
      <c r="E3" s="70" t="s">
        <v>289</v>
      </c>
      <c r="F3" s="70" t="s">
        <v>290</v>
      </c>
    </row>
    <row r="4" spans="1:10" x14ac:dyDescent="0.2">
      <c r="A4" s="74" t="s">
        <v>206</v>
      </c>
      <c r="B4" s="74" t="s">
        <v>196</v>
      </c>
      <c r="C4" s="74" t="s">
        <v>195</v>
      </c>
      <c r="D4" s="74" t="s">
        <v>195</v>
      </c>
      <c r="E4" s="74" t="s">
        <v>90</v>
      </c>
      <c r="F4" s="74" t="s">
        <v>90</v>
      </c>
      <c r="G4" s="74"/>
      <c r="H4" s="74"/>
    </row>
    <row r="5" spans="1:10" x14ac:dyDescent="0.2">
      <c r="A5" s="71" t="s">
        <v>205</v>
      </c>
      <c r="B5" s="70" t="s">
        <v>194</v>
      </c>
      <c r="F5" s="76"/>
    </row>
    <row r="6" spans="1:10" x14ac:dyDescent="0.2">
      <c r="A6" s="71" t="s">
        <v>204</v>
      </c>
      <c r="B6" s="70" t="s">
        <v>192</v>
      </c>
      <c r="F6" s="76"/>
    </row>
    <row r="7" spans="1:10" x14ac:dyDescent="0.2">
      <c r="A7" s="71" t="s">
        <v>203</v>
      </c>
      <c r="B7" s="70" t="s">
        <v>193</v>
      </c>
      <c r="F7" s="76"/>
    </row>
    <row r="8" spans="1:10" x14ac:dyDescent="0.2">
      <c r="A8" s="71" t="s">
        <v>202</v>
      </c>
      <c r="B8" s="70" t="s">
        <v>194</v>
      </c>
      <c r="F8" s="76"/>
    </row>
    <row r="9" spans="1:10" x14ac:dyDescent="0.2">
      <c r="A9" s="71" t="s">
        <v>201</v>
      </c>
      <c r="B9" s="70" t="s">
        <v>194</v>
      </c>
      <c r="F9" s="76"/>
    </row>
    <row r="10" spans="1:10" x14ac:dyDescent="0.2">
      <c r="A10" s="71" t="s">
        <v>200</v>
      </c>
      <c r="B10" s="70" t="s">
        <v>192</v>
      </c>
      <c r="F10" s="76"/>
    </row>
    <row r="11" spans="1:10" x14ac:dyDescent="0.2">
      <c r="A11" s="71" t="s">
        <v>199</v>
      </c>
      <c r="B11" s="70" t="s">
        <v>192</v>
      </c>
      <c r="F11" s="76"/>
    </row>
    <row r="12" spans="1:10" x14ac:dyDescent="0.2">
      <c r="A12" s="71" t="s">
        <v>198</v>
      </c>
      <c r="B12" s="70" t="s">
        <v>192</v>
      </c>
      <c r="F12" s="76"/>
    </row>
    <row r="13" spans="1:10" x14ac:dyDescent="0.2">
      <c r="A13" s="71" t="s">
        <v>197</v>
      </c>
      <c r="B13" s="70" t="s">
        <v>192</v>
      </c>
      <c r="F13" s="76"/>
    </row>
    <row r="14" spans="1:10" ht="12.75" customHeight="1" x14ac:dyDescent="0.2">
      <c r="A14" s="75" t="s">
        <v>149</v>
      </c>
    </row>
    <row r="15" spans="1:10" ht="12.75" customHeight="1" x14ac:dyDescent="0.25">
      <c r="E15"/>
      <c r="F15"/>
      <c r="G15"/>
      <c r="H15"/>
    </row>
    <row r="16" spans="1:10" ht="12.75" customHeight="1" x14ac:dyDescent="0.25">
      <c r="E16"/>
      <c r="F16"/>
      <c r="G16"/>
      <c r="H16"/>
    </row>
    <row r="17" spans="1:9" ht="15" x14ac:dyDescent="0.25">
      <c r="A17" s="74" t="s">
        <v>196</v>
      </c>
      <c r="B17" s="74" t="s">
        <v>195</v>
      </c>
      <c r="C17" s="74" t="s">
        <v>90</v>
      </c>
      <c r="E17"/>
      <c r="F17"/>
      <c r="G17"/>
      <c r="H17"/>
    </row>
    <row r="18" spans="1:9" ht="12.75" customHeight="1" x14ac:dyDescent="0.25">
      <c r="A18" s="70" t="s">
        <v>194</v>
      </c>
      <c r="B18" s="73">
        <v>575</v>
      </c>
      <c r="C18" s="73">
        <v>250</v>
      </c>
      <c r="E18"/>
      <c r="F18"/>
      <c r="G18"/>
      <c r="H18"/>
    </row>
    <row r="19" spans="1:9" ht="12.75" customHeight="1" x14ac:dyDescent="0.25">
      <c r="A19" s="70" t="s">
        <v>193</v>
      </c>
      <c r="B19" s="73">
        <v>1500</v>
      </c>
      <c r="C19" s="73">
        <v>700</v>
      </c>
      <c r="E19"/>
      <c r="F19"/>
      <c r="G19"/>
      <c r="H19"/>
    </row>
    <row r="20" spans="1:9" ht="12.75" customHeight="1" x14ac:dyDescent="0.25">
      <c r="A20" s="70" t="s">
        <v>192</v>
      </c>
      <c r="B20" s="73">
        <v>300</v>
      </c>
      <c r="C20" s="73">
        <v>150</v>
      </c>
      <c r="E20"/>
      <c r="F20"/>
      <c r="G20"/>
      <c r="H20"/>
    </row>
    <row r="21" spans="1:9" ht="12.75" customHeight="1" x14ac:dyDescent="0.25">
      <c r="E21"/>
      <c r="F21"/>
      <c r="G21"/>
      <c r="H21"/>
    </row>
    <row r="22" spans="1:9" customFormat="1" ht="12.75" customHeight="1" x14ac:dyDescent="0.25"/>
    <row r="23" spans="1:9" customFormat="1" ht="12.75" customHeight="1" x14ac:dyDescent="0.25"/>
    <row r="24" spans="1:9" customFormat="1" ht="12.75" customHeight="1" x14ac:dyDescent="0.25"/>
    <row r="25" spans="1:9" ht="12.75" customHeight="1" x14ac:dyDescent="0.25">
      <c r="E25"/>
      <c r="F25"/>
      <c r="G25"/>
      <c r="H25"/>
    </row>
    <row r="29" spans="1:9" ht="12.75" customHeight="1" x14ac:dyDescent="0.2">
      <c r="I29" s="71"/>
    </row>
  </sheetData>
  <mergeCells count="1">
    <mergeCell ref="A1:J1"/>
  </mergeCells>
  <pageMargins left="0.75" right="0.75" top="1" bottom="1" header="0.5" footer="0.5"/>
  <pageSetup scale="96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F5" sqref="F5"/>
    </sheetView>
  </sheetViews>
  <sheetFormatPr defaultRowHeight="12.75" customHeight="1" x14ac:dyDescent="0.2"/>
  <cols>
    <col min="1" max="1" width="14.140625" style="70" customWidth="1"/>
    <col min="2" max="2" width="12.140625" style="70" bestFit="1" customWidth="1"/>
    <col min="3" max="3" width="19" style="70" customWidth="1"/>
    <col min="4" max="4" width="15.7109375" style="70" customWidth="1"/>
    <col min="5" max="5" width="22.7109375" style="70" customWidth="1"/>
    <col min="6" max="6" width="24" style="70" customWidth="1"/>
    <col min="7" max="7" width="11.5703125" style="70" customWidth="1"/>
    <col min="8" max="8" width="12.140625" style="70" customWidth="1"/>
    <col min="9" max="9" width="8.42578125" style="70" bestFit="1" customWidth="1"/>
    <col min="10" max="10" width="16.85546875" style="70" bestFit="1" customWidth="1"/>
    <col min="11" max="11" width="16.28515625" style="70" customWidth="1"/>
    <col min="12" max="14" width="9.140625" style="70"/>
    <col min="15" max="16" width="11.85546875" style="70" bestFit="1" customWidth="1"/>
    <col min="17" max="16384" width="9.140625" style="70"/>
  </cols>
  <sheetData>
    <row r="1" spans="1:10" ht="24" customHeight="1" x14ac:dyDescent="0.35">
      <c r="A1" s="130" t="s">
        <v>208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ht="12.75" customHeight="1" x14ac:dyDescent="0.2">
      <c r="A2" s="78" t="s">
        <v>207</v>
      </c>
      <c r="B2" s="77"/>
    </row>
    <row r="3" spans="1:10" ht="12.75" customHeight="1" x14ac:dyDescent="0.2">
      <c r="A3" s="78"/>
      <c r="B3" s="77"/>
      <c r="C3" s="70" t="s">
        <v>289</v>
      </c>
      <c r="D3" s="70" t="s">
        <v>290</v>
      </c>
      <c r="E3" s="70" t="s">
        <v>289</v>
      </c>
      <c r="F3" s="70" t="s">
        <v>290</v>
      </c>
    </row>
    <row r="4" spans="1:10" x14ac:dyDescent="0.2">
      <c r="A4" s="74" t="s">
        <v>206</v>
      </c>
      <c r="B4" s="74" t="s">
        <v>196</v>
      </c>
      <c r="C4" s="74" t="s">
        <v>195</v>
      </c>
      <c r="D4" s="74" t="s">
        <v>195</v>
      </c>
      <c r="E4" s="74" t="s">
        <v>90</v>
      </c>
      <c r="F4" s="74" t="s">
        <v>90</v>
      </c>
      <c r="G4" s="74"/>
      <c r="H4" s="74"/>
    </row>
    <row r="5" spans="1:10" x14ac:dyDescent="0.2">
      <c r="A5" s="71" t="s">
        <v>205</v>
      </c>
      <c r="B5" s="70" t="s">
        <v>194</v>
      </c>
      <c r="C5" s="93">
        <f>IF(B5=A$18,B$18,IF(B5=A$19,B$19,B$20))</f>
        <v>575</v>
      </c>
      <c r="D5" s="93">
        <f>VLOOKUP(B5,A$18:B$20,2)</f>
        <v>575</v>
      </c>
      <c r="E5" s="93">
        <f>IF(B5=A$18,C$18,IF(B5=A$19,C$19,C$20))</f>
        <v>250</v>
      </c>
      <c r="F5" s="94">
        <f>VLOOKUP(B5,A$18:C$20,3)</f>
        <v>250</v>
      </c>
    </row>
    <row r="6" spans="1:10" x14ac:dyDescent="0.2">
      <c r="A6" s="71" t="s">
        <v>204</v>
      </c>
      <c r="B6" s="70" t="s">
        <v>192</v>
      </c>
      <c r="C6" s="93">
        <f t="shared" ref="C6:C13" si="0">IF(B6=A$18,B$18,IF(B6=A$19,B$19,B$20))</f>
        <v>300</v>
      </c>
      <c r="D6" s="93">
        <f t="shared" ref="D6:D13" si="1">VLOOKUP(B6,A$18:B$20,2)</f>
        <v>300</v>
      </c>
      <c r="E6" s="93">
        <f t="shared" ref="E6:E13" si="2">IF(B6=A$18,C$18,IF(B6=A$19,C$19,C$20))</f>
        <v>150</v>
      </c>
      <c r="F6" s="94">
        <f t="shared" ref="F6:F13" si="3">VLOOKUP(B6,A$18:C$20,3)</f>
        <v>150</v>
      </c>
    </row>
    <row r="7" spans="1:10" x14ac:dyDescent="0.2">
      <c r="A7" s="71" t="s">
        <v>203</v>
      </c>
      <c r="B7" s="70" t="s">
        <v>193</v>
      </c>
      <c r="C7" s="93">
        <f t="shared" si="0"/>
        <v>1500</v>
      </c>
      <c r="D7" s="93">
        <f t="shared" si="1"/>
        <v>1500</v>
      </c>
      <c r="E7" s="93">
        <f t="shared" si="2"/>
        <v>700</v>
      </c>
      <c r="F7" s="94">
        <f t="shared" si="3"/>
        <v>700</v>
      </c>
    </row>
    <row r="8" spans="1:10" x14ac:dyDescent="0.2">
      <c r="A8" s="71" t="s">
        <v>202</v>
      </c>
      <c r="B8" s="70" t="s">
        <v>194</v>
      </c>
      <c r="C8" s="93">
        <f t="shared" si="0"/>
        <v>575</v>
      </c>
      <c r="D8" s="93">
        <f t="shared" si="1"/>
        <v>575</v>
      </c>
      <c r="E8" s="93">
        <f t="shared" si="2"/>
        <v>250</v>
      </c>
      <c r="F8" s="94">
        <f t="shared" si="3"/>
        <v>250</v>
      </c>
    </row>
    <row r="9" spans="1:10" x14ac:dyDescent="0.2">
      <c r="A9" s="71" t="s">
        <v>201</v>
      </c>
      <c r="B9" s="70" t="s">
        <v>194</v>
      </c>
      <c r="C9" s="93">
        <f t="shared" si="0"/>
        <v>575</v>
      </c>
      <c r="D9" s="93">
        <f t="shared" si="1"/>
        <v>575</v>
      </c>
      <c r="E9" s="93">
        <f t="shared" si="2"/>
        <v>250</v>
      </c>
      <c r="F9" s="94">
        <f t="shared" si="3"/>
        <v>250</v>
      </c>
    </row>
    <row r="10" spans="1:10" x14ac:dyDescent="0.2">
      <c r="A10" s="71" t="s">
        <v>200</v>
      </c>
      <c r="B10" s="70" t="s">
        <v>192</v>
      </c>
      <c r="C10" s="93">
        <f t="shared" si="0"/>
        <v>300</v>
      </c>
      <c r="D10" s="93">
        <f t="shared" si="1"/>
        <v>300</v>
      </c>
      <c r="E10" s="93">
        <f t="shared" si="2"/>
        <v>150</v>
      </c>
      <c r="F10" s="94">
        <f t="shared" si="3"/>
        <v>150</v>
      </c>
    </row>
    <row r="11" spans="1:10" x14ac:dyDescent="0.2">
      <c r="A11" s="71" t="s">
        <v>199</v>
      </c>
      <c r="B11" s="70" t="s">
        <v>192</v>
      </c>
      <c r="C11" s="93">
        <f t="shared" si="0"/>
        <v>300</v>
      </c>
      <c r="D11" s="93">
        <f t="shared" si="1"/>
        <v>300</v>
      </c>
      <c r="E11" s="93">
        <f t="shared" si="2"/>
        <v>150</v>
      </c>
      <c r="F11" s="94">
        <f t="shared" si="3"/>
        <v>150</v>
      </c>
    </row>
    <row r="12" spans="1:10" x14ac:dyDescent="0.2">
      <c r="A12" s="71" t="s">
        <v>198</v>
      </c>
      <c r="B12" s="70" t="s">
        <v>192</v>
      </c>
      <c r="C12" s="93">
        <f t="shared" si="0"/>
        <v>300</v>
      </c>
      <c r="D12" s="93">
        <f t="shared" si="1"/>
        <v>300</v>
      </c>
      <c r="E12" s="93">
        <f t="shared" si="2"/>
        <v>150</v>
      </c>
      <c r="F12" s="94">
        <f t="shared" si="3"/>
        <v>150</v>
      </c>
    </row>
    <row r="13" spans="1:10" x14ac:dyDescent="0.2">
      <c r="A13" s="71" t="s">
        <v>197</v>
      </c>
      <c r="B13" s="70" t="s">
        <v>192</v>
      </c>
      <c r="C13" s="93">
        <f t="shared" si="0"/>
        <v>300</v>
      </c>
      <c r="D13" s="93">
        <f t="shared" si="1"/>
        <v>300</v>
      </c>
      <c r="E13" s="93">
        <f t="shared" si="2"/>
        <v>150</v>
      </c>
      <c r="F13" s="94">
        <f t="shared" si="3"/>
        <v>150</v>
      </c>
    </row>
    <row r="14" spans="1:10" ht="12.75" customHeight="1" x14ac:dyDescent="0.2">
      <c r="A14" s="75" t="s">
        <v>149</v>
      </c>
    </row>
    <row r="15" spans="1:10" ht="12.75" customHeight="1" x14ac:dyDescent="0.25">
      <c r="E15" s="4"/>
      <c r="F15" s="4"/>
      <c r="G15" s="4"/>
      <c r="H15" s="4"/>
    </row>
    <row r="16" spans="1:10" ht="12.75" customHeight="1" x14ac:dyDescent="0.25">
      <c r="E16" s="4"/>
      <c r="F16" s="4"/>
      <c r="G16" s="4"/>
      <c r="H16" s="4"/>
    </row>
    <row r="17" spans="1:9" ht="15" x14ac:dyDescent="0.25">
      <c r="A17" s="74" t="s">
        <v>196</v>
      </c>
      <c r="B17" s="74" t="s">
        <v>195</v>
      </c>
      <c r="C17" s="74" t="s">
        <v>90</v>
      </c>
      <c r="E17" s="4"/>
      <c r="F17" s="4"/>
      <c r="G17" s="4"/>
      <c r="H17" s="4"/>
    </row>
    <row r="18" spans="1:9" ht="12.75" customHeight="1" x14ac:dyDescent="0.25">
      <c r="A18" s="70" t="s">
        <v>194</v>
      </c>
      <c r="B18" s="73">
        <v>575</v>
      </c>
      <c r="C18" s="73">
        <v>250</v>
      </c>
      <c r="E18" s="4"/>
      <c r="F18" s="4"/>
      <c r="G18" s="4"/>
      <c r="H18" s="4"/>
    </row>
    <row r="19" spans="1:9" ht="12.75" customHeight="1" x14ac:dyDescent="0.25">
      <c r="A19" s="70" t="s">
        <v>193</v>
      </c>
      <c r="B19" s="73">
        <v>1500</v>
      </c>
      <c r="C19" s="73">
        <v>700</v>
      </c>
      <c r="E19" s="4"/>
      <c r="F19" s="4"/>
      <c r="G19" s="4"/>
      <c r="H19" s="4"/>
    </row>
    <row r="20" spans="1:9" ht="12.75" customHeight="1" x14ac:dyDescent="0.25">
      <c r="A20" s="70" t="s">
        <v>192</v>
      </c>
      <c r="B20" s="73">
        <v>300</v>
      </c>
      <c r="C20" s="73">
        <v>150</v>
      </c>
      <c r="E20" s="4"/>
      <c r="F20" s="4"/>
      <c r="G20" s="4"/>
      <c r="H20" s="4"/>
    </row>
    <row r="21" spans="1:9" ht="12.75" customHeight="1" x14ac:dyDescent="0.25">
      <c r="E21" s="4"/>
      <c r="F21" s="4"/>
      <c r="G21" s="4"/>
      <c r="H21" s="4"/>
    </row>
    <row r="22" spans="1:9" ht="12.75" customHeight="1" x14ac:dyDescent="0.25">
      <c r="A22" s="70" t="s">
        <v>191</v>
      </c>
      <c r="B22" s="73">
        <v>75</v>
      </c>
      <c r="E22" s="4"/>
      <c r="F22" s="4"/>
      <c r="G22" s="4"/>
      <c r="H22" s="4"/>
    </row>
    <row r="23" spans="1:9" ht="12.75" customHeight="1" x14ac:dyDescent="0.25">
      <c r="A23" s="71" t="s">
        <v>190</v>
      </c>
      <c r="B23" s="72">
        <v>5.7500000000000002E-2</v>
      </c>
      <c r="E23" s="4"/>
      <c r="F23" s="4"/>
      <c r="G23" s="4"/>
      <c r="H23" s="4"/>
    </row>
    <row r="24" spans="1:9" ht="12.75" customHeight="1" x14ac:dyDescent="0.25">
      <c r="A24" s="71" t="s">
        <v>189</v>
      </c>
      <c r="B24" s="70">
        <v>12</v>
      </c>
      <c r="E24" s="4"/>
      <c r="F24" s="4"/>
      <c r="G24" s="4"/>
      <c r="H24" s="4"/>
    </row>
    <row r="25" spans="1:9" ht="12.75" customHeight="1" x14ac:dyDescent="0.25">
      <c r="E25" s="4"/>
      <c r="F25" s="4"/>
      <c r="G25" s="4"/>
      <c r="H25" s="4"/>
    </row>
    <row r="29" spans="1:9" ht="12.75" customHeight="1" x14ac:dyDescent="0.2">
      <c r="I29" s="71"/>
    </row>
  </sheetData>
  <mergeCells count="1">
    <mergeCell ref="A1:J1"/>
  </mergeCells>
  <pageMargins left="0.75" right="0.75" top="1" bottom="1" header="0.5" footer="0.5"/>
  <pageSetup scale="96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workbookViewId="0">
      <selection activeCell="G36" sqref="G36"/>
    </sheetView>
  </sheetViews>
  <sheetFormatPr defaultRowHeight="15" x14ac:dyDescent="0.25"/>
  <cols>
    <col min="1" max="1" width="12.7109375" style="4" customWidth="1"/>
    <col min="2" max="2" width="7.5703125" style="4" customWidth="1"/>
    <col min="3" max="8" width="5.7109375" style="4" customWidth="1"/>
    <col min="9" max="9" width="7.42578125" style="4" customWidth="1"/>
    <col min="10" max="19" width="5.7109375" style="4" customWidth="1"/>
    <col min="20" max="20" width="9.140625" style="4" customWidth="1"/>
    <col min="21" max="22" width="5.7109375" style="4" customWidth="1"/>
    <col min="23" max="23" width="7.42578125" style="4" customWidth="1"/>
    <col min="24" max="24" width="7" style="4" customWidth="1"/>
    <col min="25" max="25" width="9.140625" style="4"/>
    <col min="26" max="26" width="8" style="4" customWidth="1"/>
    <col min="27" max="27" width="14.7109375" style="4" customWidth="1"/>
    <col min="28" max="16384" width="9.140625" style="4"/>
  </cols>
  <sheetData>
    <row r="1" spans="1:27" ht="33.75" x14ac:dyDescent="0.5">
      <c r="A1" s="131" t="s">
        <v>209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</row>
    <row r="2" spans="1:27" x14ac:dyDescent="0.25">
      <c r="A2" s="39" t="s">
        <v>210</v>
      </c>
      <c r="B2" s="79" t="s">
        <v>211</v>
      </c>
      <c r="C2" s="80"/>
      <c r="D2" s="80"/>
      <c r="E2" s="80"/>
      <c r="F2" s="80"/>
    </row>
    <row r="3" spans="1:27" x14ac:dyDescent="0.25">
      <c r="A3" s="39" t="s">
        <v>212</v>
      </c>
      <c r="B3" s="81">
        <v>601</v>
      </c>
      <c r="C3" s="80"/>
      <c r="D3" s="80"/>
      <c r="E3" s="80"/>
      <c r="F3" s="80"/>
    </row>
    <row r="4" spans="1:27" x14ac:dyDescent="0.25">
      <c r="A4" s="39" t="s">
        <v>213</v>
      </c>
      <c r="B4" s="79" t="s">
        <v>214</v>
      </c>
      <c r="C4" s="80"/>
      <c r="D4" s="80"/>
      <c r="E4" s="80"/>
      <c r="F4" s="80"/>
    </row>
    <row r="5" spans="1:27" x14ac:dyDescent="0.25">
      <c r="A5" s="39" t="s">
        <v>215</v>
      </c>
      <c r="B5" s="82">
        <v>70</v>
      </c>
      <c r="C5" s="80"/>
      <c r="D5" s="80"/>
      <c r="E5" s="80"/>
      <c r="F5" s="80"/>
    </row>
    <row r="7" spans="1:27" x14ac:dyDescent="0.25">
      <c r="A7" s="83" t="s">
        <v>131</v>
      </c>
      <c r="B7" s="84" t="s">
        <v>218</v>
      </c>
      <c r="C7" s="84" t="s">
        <v>219</v>
      </c>
      <c r="D7" s="84" t="s">
        <v>220</v>
      </c>
      <c r="E7" s="84" t="s">
        <v>221</v>
      </c>
      <c r="F7" s="84" t="s">
        <v>222</v>
      </c>
      <c r="G7" s="84" t="s">
        <v>223</v>
      </c>
      <c r="H7" s="84" t="s">
        <v>224</v>
      </c>
      <c r="I7" s="84" t="s">
        <v>225</v>
      </c>
      <c r="J7" s="84" t="s">
        <v>226</v>
      </c>
      <c r="K7" s="84" t="s">
        <v>227</v>
      </c>
      <c r="L7" s="84" t="s">
        <v>228</v>
      </c>
      <c r="M7" s="84" t="s">
        <v>229</v>
      </c>
      <c r="N7" s="84" t="s">
        <v>230</v>
      </c>
      <c r="O7" s="84" t="s">
        <v>231</v>
      </c>
      <c r="P7" s="84" t="s">
        <v>232</v>
      </c>
      <c r="Q7" s="84" t="s">
        <v>233</v>
      </c>
      <c r="R7" s="84" t="s">
        <v>234</v>
      </c>
      <c r="S7" s="84" t="s">
        <v>235</v>
      </c>
      <c r="T7" s="84" t="s">
        <v>236</v>
      </c>
      <c r="U7" s="84" t="s">
        <v>237</v>
      </c>
      <c r="V7" s="84" t="s">
        <v>238</v>
      </c>
      <c r="W7" s="84" t="s">
        <v>239</v>
      </c>
      <c r="X7" s="84" t="s">
        <v>240</v>
      </c>
      <c r="Y7" s="84" t="s">
        <v>245</v>
      </c>
      <c r="Z7" s="83" t="s">
        <v>246</v>
      </c>
      <c r="AA7" s="83" t="s">
        <v>247</v>
      </c>
    </row>
    <row r="8" spans="1:27" x14ac:dyDescent="0.25">
      <c r="A8" s="4" t="s">
        <v>250</v>
      </c>
      <c r="B8" s="4">
        <v>100</v>
      </c>
      <c r="C8" s="4">
        <v>95</v>
      </c>
      <c r="D8" s="4">
        <v>85</v>
      </c>
      <c r="E8" s="4">
        <v>100</v>
      </c>
      <c r="F8" s="4">
        <v>95</v>
      </c>
      <c r="G8" s="4">
        <v>90</v>
      </c>
      <c r="H8" s="4">
        <v>85</v>
      </c>
      <c r="I8" s="87"/>
      <c r="J8" s="4">
        <v>10</v>
      </c>
      <c r="K8" s="4">
        <v>10</v>
      </c>
      <c r="L8" s="4">
        <v>10</v>
      </c>
      <c r="M8" s="4">
        <v>9</v>
      </c>
      <c r="N8" s="4">
        <v>10</v>
      </c>
      <c r="O8" s="4">
        <v>9</v>
      </c>
      <c r="P8" s="4">
        <v>8</v>
      </c>
      <c r="Q8" s="4">
        <v>10</v>
      </c>
      <c r="R8" s="4">
        <v>8</v>
      </c>
      <c r="S8" s="4">
        <v>9</v>
      </c>
      <c r="T8" s="88"/>
      <c r="U8" s="4">
        <v>90</v>
      </c>
      <c r="V8" s="4">
        <v>84</v>
      </c>
      <c r="W8" s="88"/>
      <c r="X8" s="88">
        <v>88</v>
      </c>
      <c r="Y8" s="87"/>
      <c r="Z8" s="90"/>
    </row>
    <row r="9" spans="1:27" x14ac:dyDescent="0.25">
      <c r="A9" s="4" t="s">
        <v>252</v>
      </c>
      <c r="B9" s="4">
        <v>90</v>
      </c>
      <c r="C9" s="4">
        <v>90</v>
      </c>
      <c r="D9" s="4">
        <v>100</v>
      </c>
      <c r="E9" s="4">
        <v>90</v>
      </c>
      <c r="F9" s="4">
        <v>85</v>
      </c>
      <c r="G9" s="4">
        <v>100</v>
      </c>
      <c r="H9" s="4">
        <v>95</v>
      </c>
      <c r="I9" s="87"/>
      <c r="J9" s="4">
        <v>10</v>
      </c>
      <c r="K9" s="4">
        <v>9</v>
      </c>
      <c r="L9" s="4">
        <v>10</v>
      </c>
      <c r="M9" s="4">
        <v>10</v>
      </c>
      <c r="N9" s="4">
        <v>10</v>
      </c>
      <c r="O9" s="4">
        <v>10</v>
      </c>
      <c r="P9" s="4">
        <v>8</v>
      </c>
      <c r="Q9" s="4">
        <v>9</v>
      </c>
      <c r="R9" s="4">
        <v>9</v>
      </c>
      <c r="S9" s="4">
        <v>10</v>
      </c>
      <c r="T9" s="88"/>
      <c r="U9" s="4">
        <v>94</v>
      </c>
      <c r="V9" s="4">
        <v>90</v>
      </c>
      <c r="W9" s="88"/>
      <c r="X9" s="88">
        <v>96</v>
      </c>
      <c r="Y9" s="87"/>
      <c r="Z9" s="90"/>
    </row>
    <row r="10" spans="1:27" x14ac:dyDescent="0.25">
      <c r="A10" s="4" t="s">
        <v>255</v>
      </c>
      <c r="B10" s="4">
        <v>75</v>
      </c>
      <c r="C10" s="4">
        <v>90</v>
      </c>
      <c r="D10" s="4">
        <v>75</v>
      </c>
      <c r="E10" s="4">
        <v>85</v>
      </c>
      <c r="F10" s="4">
        <v>0</v>
      </c>
      <c r="G10" s="4">
        <v>75</v>
      </c>
      <c r="H10" s="4">
        <v>60</v>
      </c>
      <c r="I10" s="87"/>
      <c r="J10" s="4">
        <v>10</v>
      </c>
      <c r="K10" s="4">
        <v>10</v>
      </c>
      <c r="L10" s="4">
        <v>8</v>
      </c>
      <c r="M10" s="4">
        <v>10</v>
      </c>
      <c r="N10" s="4">
        <v>10</v>
      </c>
      <c r="O10" s="4">
        <v>8</v>
      </c>
      <c r="P10" s="4">
        <v>7</v>
      </c>
      <c r="Q10" s="4">
        <v>7</v>
      </c>
      <c r="R10" s="4">
        <v>8</v>
      </c>
      <c r="S10" s="4">
        <v>7</v>
      </c>
      <c r="T10" s="88"/>
      <c r="U10" s="4">
        <v>78</v>
      </c>
      <c r="V10" s="4">
        <v>70</v>
      </c>
      <c r="W10" s="88"/>
      <c r="X10" s="88">
        <v>68</v>
      </c>
      <c r="Y10" s="87"/>
      <c r="Z10" s="90"/>
    </row>
    <row r="11" spans="1:27" x14ac:dyDescent="0.25">
      <c r="A11" s="4" t="s">
        <v>258</v>
      </c>
      <c r="B11" s="4">
        <v>65</v>
      </c>
      <c r="C11" s="4">
        <v>75</v>
      </c>
      <c r="D11" s="4">
        <v>70</v>
      </c>
      <c r="E11" s="4">
        <v>60</v>
      </c>
      <c r="F11" s="4">
        <v>50</v>
      </c>
      <c r="G11" s="4">
        <v>70</v>
      </c>
      <c r="H11" s="4">
        <v>75</v>
      </c>
      <c r="I11" s="87"/>
      <c r="J11" s="4">
        <v>5</v>
      </c>
      <c r="K11" s="4">
        <v>7</v>
      </c>
      <c r="L11" s="4">
        <v>8</v>
      </c>
      <c r="M11" s="4">
        <v>0</v>
      </c>
      <c r="N11" s="4">
        <v>10</v>
      </c>
      <c r="O11" s="4">
        <v>7</v>
      </c>
      <c r="P11" s="4">
        <v>3</v>
      </c>
      <c r="Q11" s="4">
        <v>5</v>
      </c>
      <c r="R11" s="4">
        <v>8</v>
      </c>
      <c r="S11" s="4">
        <v>9</v>
      </c>
      <c r="T11" s="88"/>
      <c r="U11" s="4">
        <v>60</v>
      </c>
      <c r="V11" s="4">
        <v>64</v>
      </c>
      <c r="W11" s="88"/>
      <c r="X11" s="88">
        <v>58</v>
      </c>
      <c r="Y11" s="87"/>
      <c r="Z11" s="90"/>
    </row>
    <row r="12" spans="1:27" x14ac:dyDescent="0.25">
      <c r="A12" s="4" t="s">
        <v>260</v>
      </c>
      <c r="B12" s="4">
        <v>75</v>
      </c>
      <c r="C12" s="4">
        <v>85</v>
      </c>
      <c r="D12" s="4">
        <v>80</v>
      </c>
      <c r="E12" s="4">
        <v>70</v>
      </c>
      <c r="F12" s="4">
        <v>75</v>
      </c>
      <c r="G12" s="4">
        <v>85</v>
      </c>
      <c r="H12" s="4">
        <v>70</v>
      </c>
      <c r="I12" s="87"/>
      <c r="J12" s="4">
        <v>10</v>
      </c>
      <c r="K12" s="4">
        <v>9</v>
      </c>
      <c r="L12" s="4">
        <v>10</v>
      </c>
      <c r="M12" s="4">
        <v>10</v>
      </c>
      <c r="N12" s="4">
        <v>9</v>
      </c>
      <c r="O12" s="4">
        <v>8</v>
      </c>
      <c r="P12" s="4">
        <v>8</v>
      </c>
      <c r="Q12" s="4">
        <v>10</v>
      </c>
      <c r="R12" s="4">
        <v>7</v>
      </c>
      <c r="S12" s="4">
        <v>0</v>
      </c>
      <c r="T12" s="88"/>
      <c r="U12" s="4">
        <v>82</v>
      </c>
      <c r="V12" s="4">
        <v>74</v>
      </c>
      <c r="W12" s="88"/>
      <c r="X12" s="88">
        <v>82</v>
      </c>
      <c r="Y12" s="87"/>
      <c r="Z12" s="90"/>
    </row>
    <row r="13" spans="1:27" x14ac:dyDescent="0.25">
      <c r="A13" s="4" t="s">
        <v>261</v>
      </c>
      <c r="B13" s="4">
        <v>90</v>
      </c>
      <c r="C13" s="4">
        <v>95</v>
      </c>
      <c r="D13" s="4">
        <v>95</v>
      </c>
      <c r="E13" s="4">
        <v>100</v>
      </c>
      <c r="F13" s="4">
        <v>85</v>
      </c>
      <c r="G13" s="4">
        <v>80</v>
      </c>
      <c r="H13" s="4">
        <v>85</v>
      </c>
      <c r="I13" s="87"/>
      <c r="J13" s="4">
        <v>10</v>
      </c>
      <c r="K13" s="4">
        <v>10</v>
      </c>
      <c r="L13" s="4">
        <v>10</v>
      </c>
      <c r="M13" s="4">
        <v>9</v>
      </c>
      <c r="N13" s="4">
        <v>10</v>
      </c>
      <c r="O13" s="4">
        <v>9</v>
      </c>
      <c r="P13" s="4">
        <v>9</v>
      </c>
      <c r="Q13" s="4">
        <v>9</v>
      </c>
      <c r="R13" s="4">
        <v>10</v>
      </c>
      <c r="S13" s="4">
        <v>10</v>
      </c>
      <c r="T13" s="88"/>
      <c r="U13" s="4">
        <v>84</v>
      </c>
      <c r="V13" s="4">
        <v>90</v>
      </c>
      <c r="W13" s="88"/>
      <c r="X13" s="88">
        <v>80</v>
      </c>
      <c r="Y13" s="87"/>
      <c r="Z13" s="90"/>
    </row>
    <row r="14" spans="1:27" x14ac:dyDescent="0.25">
      <c r="A14" s="4" t="s">
        <v>262</v>
      </c>
      <c r="B14" s="4">
        <v>70</v>
      </c>
      <c r="C14" s="4">
        <v>80</v>
      </c>
      <c r="D14" s="4">
        <v>0</v>
      </c>
      <c r="E14" s="4">
        <v>75</v>
      </c>
      <c r="F14" s="4">
        <v>60</v>
      </c>
      <c r="G14" s="4">
        <v>65</v>
      </c>
      <c r="H14" s="4">
        <v>75</v>
      </c>
      <c r="I14" s="87"/>
      <c r="J14" s="4">
        <v>9</v>
      </c>
      <c r="K14" s="4">
        <v>9</v>
      </c>
      <c r="L14" s="4">
        <v>10</v>
      </c>
      <c r="M14" s="4">
        <v>9</v>
      </c>
      <c r="N14" s="4">
        <v>8</v>
      </c>
      <c r="O14" s="4">
        <v>8</v>
      </c>
      <c r="P14" s="4">
        <v>7</v>
      </c>
      <c r="Q14" s="4">
        <v>6</v>
      </c>
      <c r="R14" s="4">
        <v>0</v>
      </c>
      <c r="S14" s="4">
        <v>5</v>
      </c>
      <c r="T14" s="88"/>
      <c r="U14" s="4">
        <v>70</v>
      </c>
      <c r="V14" s="4">
        <v>66</v>
      </c>
      <c r="W14" s="88"/>
      <c r="X14" s="88">
        <v>62</v>
      </c>
      <c r="Y14" s="87"/>
      <c r="Z14" s="90"/>
    </row>
    <row r="15" spans="1:27" x14ac:dyDescent="0.25">
      <c r="A15" s="4" t="s">
        <v>263</v>
      </c>
      <c r="B15" s="4">
        <v>75</v>
      </c>
      <c r="C15" s="4">
        <v>80</v>
      </c>
      <c r="D15" s="4">
        <v>80</v>
      </c>
      <c r="E15" s="4">
        <v>85</v>
      </c>
      <c r="F15" s="4">
        <v>70</v>
      </c>
      <c r="G15" s="4">
        <v>65</v>
      </c>
      <c r="H15" s="4">
        <v>75</v>
      </c>
      <c r="I15" s="87"/>
      <c r="J15" s="4">
        <v>8</v>
      </c>
      <c r="K15" s="4">
        <v>10</v>
      </c>
      <c r="L15" s="4">
        <v>10</v>
      </c>
      <c r="M15" s="4">
        <v>9</v>
      </c>
      <c r="N15" s="4">
        <v>10</v>
      </c>
      <c r="O15" s="4">
        <v>8</v>
      </c>
      <c r="P15" s="4">
        <v>8</v>
      </c>
      <c r="Q15" s="4">
        <v>8</v>
      </c>
      <c r="R15" s="4">
        <v>7</v>
      </c>
      <c r="S15" s="4">
        <v>8</v>
      </c>
      <c r="T15" s="88"/>
      <c r="U15" s="4">
        <v>74</v>
      </c>
      <c r="V15" s="4">
        <v>76</v>
      </c>
      <c r="W15" s="88"/>
      <c r="X15" s="88">
        <v>80</v>
      </c>
      <c r="Y15" s="87"/>
      <c r="Z15" s="90"/>
    </row>
    <row r="16" spans="1:27" x14ac:dyDescent="0.25">
      <c r="A16" s="4" t="s">
        <v>264</v>
      </c>
      <c r="B16" s="4">
        <v>100</v>
      </c>
      <c r="C16" s="4">
        <v>100</v>
      </c>
      <c r="D16" s="4">
        <v>100</v>
      </c>
      <c r="E16" s="4">
        <v>95</v>
      </c>
      <c r="F16" s="4">
        <v>90</v>
      </c>
      <c r="G16" s="4">
        <v>100</v>
      </c>
      <c r="H16" s="4">
        <v>100</v>
      </c>
      <c r="I16" s="87"/>
      <c r="J16" s="4">
        <v>10</v>
      </c>
      <c r="K16" s="4">
        <v>10</v>
      </c>
      <c r="L16" s="4">
        <v>10</v>
      </c>
      <c r="M16" s="4">
        <v>10</v>
      </c>
      <c r="N16" s="4">
        <v>10</v>
      </c>
      <c r="O16" s="4">
        <v>10</v>
      </c>
      <c r="P16" s="4">
        <v>10</v>
      </c>
      <c r="Q16" s="4">
        <v>10</v>
      </c>
      <c r="R16" s="4">
        <v>10</v>
      </c>
      <c r="S16" s="4">
        <v>10</v>
      </c>
      <c r="T16" s="88"/>
      <c r="U16" s="4">
        <v>96</v>
      </c>
      <c r="V16" s="4">
        <v>90</v>
      </c>
      <c r="W16" s="88"/>
      <c r="X16" s="88">
        <v>94</v>
      </c>
      <c r="Y16" s="87"/>
      <c r="Z16" s="90"/>
    </row>
    <row r="17" spans="1:26" x14ac:dyDescent="0.25">
      <c r="A17" s="4" t="s">
        <v>265</v>
      </c>
      <c r="B17" s="4">
        <v>95</v>
      </c>
      <c r="C17" s="4">
        <v>85</v>
      </c>
      <c r="D17" s="4">
        <v>80</v>
      </c>
      <c r="E17" s="4">
        <v>90</v>
      </c>
      <c r="F17" s="4">
        <v>90</v>
      </c>
      <c r="G17" s="4">
        <v>80</v>
      </c>
      <c r="H17" s="4">
        <v>85</v>
      </c>
      <c r="I17" s="87"/>
      <c r="J17" s="4">
        <v>8</v>
      </c>
      <c r="K17" s="4">
        <v>9</v>
      </c>
      <c r="L17" s="4">
        <v>9</v>
      </c>
      <c r="M17" s="4">
        <v>10</v>
      </c>
      <c r="N17" s="4">
        <v>8</v>
      </c>
      <c r="O17" s="4">
        <v>7</v>
      </c>
      <c r="P17" s="4">
        <v>8</v>
      </c>
      <c r="Q17" s="4">
        <v>8</v>
      </c>
      <c r="R17" s="4">
        <v>7</v>
      </c>
      <c r="S17" s="4">
        <v>8</v>
      </c>
      <c r="T17" s="88"/>
      <c r="U17" s="4">
        <v>74</v>
      </c>
      <c r="V17" s="4">
        <v>78</v>
      </c>
      <c r="W17" s="88"/>
      <c r="X17" s="88">
        <v>84</v>
      </c>
      <c r="Y17" s="87"/>
      <c r="Z17" s="90"/>
    </row>
    <row r="18" spans="1:26" x14ac:dyDescent="0.25">
      <c r="A18" s="4" t="s">
        <v>266</v>
      </c>
      <c r="B18" s="4">
        <v>75</v>
      </c>
      <c r="C18" s="4">
        <v>75</v>
      </c>
      <c r="D18" s="4">
        <v>85</v>
      </c>
      <c r="E18" s="4">
        <v>85</v>
      </c>
      <c r="F18" s="4">
        <v>80</v>
      </c>
      <c r="G18" s="4">
        <v>70</v>
      </c>
      <c r="H18" s="4">
        <v>75</v>
      </c>
      <c r="I18" s="87"/>
      <c r="J18" s="4">
        <v>8</v>
      </c>
      <c r="K18" s="4">
        <v>8</v>
      </c>
      <c r="L18" s="4">
        <v>10</v>
      </c>
      <c r="M18" s="4">
        <v>9</v>
      </c>
      <c r="N18" s="4">
        <v>10</v>
      </c>
      <c r="O18" s="4">
        <v>8</v>
      </c>
      <c r="P18" s="4">
        <v>9</v>
      </c>
      <c r="Q18" s="4">
        <v>8</v>
      </c>
      <c r="R18" s="4">
        <v>7</v>
      </c>
      <c r="S18" s="4">
        <v>8</v>
      </c>
      <c r="T18" s="88"/>
      <c r="U18" s="4">
        <v>82</v>
      </c>
      <c r="V18" s="4">
        <v>78</v>
      </c>
      <c r="W18" s="88"/>
      <c r="X18" s="88">
        <v>74</v>
      </c>
      <c r="Y18" s="87"/>
      <c r="Z18" s="90"/>
    </row>
    <row r="19" spans="1:26" x14ac:dyDescent="0.25">
      <c r="A19" s="4" t="s">
        <v>267</v>
      </c>
      <c r="B19" s="4">
        <v>75</v>
      </c>
      <c r="C19" s="4">
        <v>55</v>
      </c>
      <c r="D19" s="4">
        <v>0</v>
      </c>
      <c r="E19" s="4">
        <v>70</v>
      </c>
      <c r="F19" s="4">
        <v>50</v>
      </c>
      <c r="G19" s="4">
        <v>75</v>
      </c>
      <c r="H19" s="4">
        <v>0</v>
      </c>
      <c r="I19" s="87"/>
      <c r="J19" s="4">
        <v>8</v>
      </c>
      <c r="K19" s="4">
        <v>7</v>
      </c>
      <c r="L19" s="4">
        <v>0</v>
      </c>
      <c r="M19" s="4">
        <v>8</v>
      </c>
      <c r="N19" s="4">
        <v>9</v>
      </c>
      <c r="O19" s="4">
        <v>7</v>
      </c>
      <c r="P19" s="4">
        <v>5</v>
      </c>
      <c r="Q19" s="4">
        <v>6</v>
      </c>
      <c r="R19" s="4">
        <v>4</v>
      </c>
      <c r="S19" s="4">
        <v>7</v>
      </c>
      <c r="T19" s="88"/>
      <c r="U19" s="4">
        <v>56</v>
      </c>
      <c r="V19" s="4">
        <v>52</v>
      </c>
      <c r="W19" s="88"/>
      <c r="X19" s="88">
        <v>60</v>
      </c>
      <c r="Y19" s="87"/>
      <c r="Z19" s="90"/>
    </row>
    <row r="20" spans="1:26" x14ac:dyDescent="0.25">
      <c r="A20" s="4" t="s">
        <v>268</v>
      </c>
      <c r="B20" s="4">
        <v>85</v>
      </c>
      <c r="C20" s="4">
        <v>95</v>
      </c>
      <c r="D20" s="4">
        <v>95</v>
      </c>
      <c r="E20" s="4">
        <v>100</v>
      </c>
      <c r="F20" s="4">
        <v>95</v>
      </c>
      <c r="G20" s="4">
        <v>95</v>
      </c>
      <c r="H20" s="4">
        <v>100</v>
      </c>
      <c r="I20" s="87"/>
      <c r="J20" s="4">
        <v>10</v>
      </c>
      <c r="K20" s="4">
        <v>9</v>
      </c>
      <c r="L20" s="4">
        <v>10</v>
      </c>
      <c r="M20" s="4">
        <v>10</v>
      </c>
      <c r="N20" s="4">
        <v>10</v>
      </c>
      <c r="O20" s="4">
        <v>10</v>
      </c>
      <c r="P20" s="4">
        <v>10</v>
      </c>
      <c r="Q20" s="4">
        <v>9</v>
      </c>
      <c r="R20" s="4">
        <v>9</v>
      </c>
      <c r="S20" s="4">
        <v>10</v>
      </c>
      <c r="T20" s="88"/>
      <c r="U20" s="4">
        <v>94</v>
      </c>
      <c r="V20" s="4">
        <v>90</v>
      </c>
      <c r="W20" s="88"/>
      <c r="X20" s="88">
        <v>88</v>
      </c>
      <c r="Y20" s="87"/>
      <c r="Z20" s="90"/>
    </row>
    <row r="21" spans="1:26" x14ac:dyDescent="0.25">
      <c r="A21" s="4" t="s">
        <v>269</v>
      </c>
      <c r="B21" s="4">
        <v>100</v>
      </c>
      <c r="C21" s="4">
        <v>85</v>
      </c>
      <c r="D21" s="4">
        <v>90</v>
      </c>
      <c r="E21" s="4">
        <v>85</v>
      </c>
      <c r="F21" s="4">
        <v>95</v>
      </c>
      <c r="G21" s="4">
        <v>95</v>
      </c>
      <c r="H21" s="4">
        <v>95</v>
      </c>
      <c r="I21" s="87"/>
      <c r="J21" s="4">
        <v>7</v>
      </c>
      <c r="K21" s="4">
        <v>6</v>
      </c>
      <c r="L21" s="4">
        <v>8</v>
      </c>
      <c r="M21" s="4">
        <v>10</v>
      </c>
      <c r="N21" s="4">
        <v>8</v>
      </c>
      <c r="O21" s="4">
        <v>8</v>
      </c>
      <c r="P21" s="4">
        <v>8</v>
      </c>
      <c r="Q21" s="4">
        <v>7</v>
      </c>
      <c r="R21" s="4">
        <v>6</v>
      </c>
      <c r="S21" s="4">
        <v>5</v>
      </c>
      <c r="T21" s="88"/>
      <c r="U21" s="4">
        <v>76</v>
      </c>
      <c r="V21" s="4">
        <v>84</v>
      </c>
      <c r="W21" s="88"/>
      <c r="X21" s="88">
        <v>74</v>
      </c>
      <c r="Y21" s="87"/>
      <c r="Z21" s="90"/>
    </row>
    <row r="22" spans="1:26" x14ac:dyDescent="0.25">
      <c r="A22" s="4" t="s">
        <v>270</v>
      </c>
      <c r="B22" s="4">
        <v>90</v>
      </c>
      <c r="C22" s="4">
        <v>85</v>
      </c>
      <c r="D22" s="4">
        <v>90</v>
      </c>
      <c r="E22" s="4">
        <v>75</v>
      </c>
      <c r="F22" s="4">
        <v>85</v>
      </c>
      <c r="G22" s="4">
        <v>90</v>
      </c>
      <c r="H22" s="4">
        <v>90</v>
      </c>
      <c r="I22" s="87"/>
      <c r="J22" s="4">
        <v>8</v>
      </c>
      <c r="K22" s="4">
        <v>9</v>
      </c>
      <c r="L22" s="4">
        <v>7</v>
      </c>
      <c r="M22" s="4">
        <v>10</v>
      </c>
      <c r="N22" s="4">
        <v>10</v>
      </c>
      <c r="O22" s="4">
        <v>8</v>
      </c>
      <c r="P22" s="4">
        <v>10</v>
      </c>
      <c r="Q22" s="4">
        <v>8</v>
      </c>
      <c r="R22" s="4">
        <v>9</v>
      </c>
      <c r="S22" s="4">
        <v>7</v>
      </c>
      <c r="T22" s="88"/>
      <c r="U22" s="4">
        <v>82</v>
      </c>
      <c r="V22" s="4">
        <v>76</v>
      </c>
      <c r="W22" s="88"/>
      <c r="X22" s="88">
        <v>86</v>
      </c>
      <c r="Y22" s="87"/>
      <c r="Z22" s="90"/>
    </row>
    <row r="23" spans="1:26" x14ac:dyDescent="0.25">
      <c r="A23" s="4" t="s">
        <v>271</v>
      </c>
      <c r="B23" s="4">
        <v>75</v>
      </c>
      <c r="C23" s="4">
        <v>60</v>
      </c>
      <c r="D23" s="4">
        <v>85</v>
      </c>
      <c r="E23" s="4">
        <v>70</v>
      </c>
      <c r="F23" s="4">
        <v>80</v>
      </c>
      <c r="G23" s="4">
        <v>75</v>
      </c>
      <c r="H23" s="4">
        <v>70</v>
      </c>
      <c r="I23" s="87"/>
      <c r="J23" s="4">
        <v>10</v>
      </c>
      <c r="K23" s="4">
        <v>8</v>
      </c>
      <c r="L23" s="4">
        <v>6</v>
      </c>
      <c r="M23" s="4">
        <v>8</v>
      </c>
      <c r="N23" s="4">
        <v>7</v>
      </c>
      <c r="O23" s="4">
        <v>7</v>
      </c>
      <c r="P23" s="4">
        <v>4</v>
      </c>
      <c r="Q23" s="4">
        <v>0</v>
      </c>
      <c r="R23" s="4">
        <v>5</v>
      </c>
      <c r="S23" s="4">
        <v>7</v>
      </c>
      <c r="T23" s="88"/>
      <c r="U23" s="4">
        <v>50</v>
      </c>
      <c r="V23" s="4">
        <v>64</v>
      </c>
      <c r="W23" s="88"/>
      <c r="X23" s="88">
        <v>68</v>
      </c>
      <c r="Y23" s="87"/>
      <c r="Z23" s="90"/>
    </row>
    <row r="24" spans="1:26" x14ac:dyDescent="0.25">
      <c r="A24" s="4" t="s">
        <v>272</v>
      </c>
      <c r="B24" s="4">
        <v>85</v>
      </c>
      <c r="C24" s="4">
        <v>70</v>
      </c>
      <c r="D24" s="4">
        <v>70</v>
      </c>
      <c r="E24" s="4">
        <v>75</v>
      </c>
      <c r="F24" s="4">
        <v>80</v>
      </c>
      <c r="G24" s="4">
        <v>75</v>
      </c>
      <c r="H24" s="4">
        <v>0</v>
      </c>
      <c r="I24" s="87"/>
      <c r="J24" s="4">
        <v>6</v>
      </c>
      <c r="K24" s="4">
        <v>0</v>
      </c>
      <c r="L24" s="4">
        <v>8</v>
      </c>
      <c r="M24" s="4">
        <v>8</v>
      </c>
      <c r="N24" s="4">
        <v>7</v>
      </c>
      <c r="O24" s="4">
        <v>8</v>
      </c>
      <c r="P24" s="4">
        <v>0</v>
      </c>
      <c r="Q24" s="4">
        <v>6</v>
      </c>
      <c r="R24" s="4">
        <v>5</v>
      </c>
      <c r="S24" s="4">
        <v>8</v>
      </c>
      <c r="T24" s="88"/>
      <c r="U24" s="4">
        <v>54</v>
      </c>
      <c r="V24" s="4">
        <v>50</v>
      </c>
      <c r="W24" s="88"/>
      <c r="X24" s="88">
        <v>48</v>
      </c>
      <c r="Y24" s="87"/>
      <c r="Z24" s="90"/>
    </row>
    <row r="25" spans="1:26" x14ac:dyDescent="0.25">
      <c r="A25" s="4" t="s">
        <v>273</v>
      </c>
      <c r="B25" s="4">
        <v>85</v>
      </c>
      <c r="C25" s="4">
        <v>75</v>
      </c>
      <c r="D25" s="4">
        <v>70</v>
      </c>
      <c r="E25" s="4">
        <v>60</v>
      </c>
      <c r="F25" s="4">
        <v>80</v>
      </c>
      <c r="G25" s="4">
        <v>70</v>
      </c>
      <c r="H25" s="4">
        <v>85</v>
      </c>
      <c r="I25" s="87"/>
      <c r="J25" s="4">
        <v>0</v>
      </c>
      <c r="K25" s="4">
        <v>5</v>
      </c>
      <c r="L25" s="4">
        <v>8</v>
      </c>
      <c r="M25" s="4">
        <v>10</v>
      </c>
      <c r="N25" s="4">
        <v>8</v>
      </c>
      <c r="O25" s="4">
        <v>8</v>
      </c>
      <c r="P25" s="4">
        <v>8</v>
      </c>
      <c r="Q25" s="4">
        <v>7</v>
      </c>
      <c r="R25" s="4">
        <v>8</v>
      </c>
      <c r="S25" s="4">
        <v>7</v>
      </c>
      <c r="T25" s="88"/>
      <c r="U25" s="4">
        <v>68</v>
      </c>
      <c r="V25" s="4">
        <v>62</v>
      </c>
      <c r="W25" s="88"/>
      <c r="X25" s="88">
        <v>74</v>
      </c>
      <c r="Y25" s="87"/>
      <c r="Z25" s="90"/>
    </row>
    <row r="26" spans="1:26" x14ac:dyDescent="0.25">
      <c r="A26" s="4" t="s">
        <v>274</v>
      </c>
      <c r="B26" s="4">
        <v>80</v>
      </c>
      <c r="C26" s="4">
        <v>100</v>
      </c>
      <c r="D26" s="4">
        <v>95</v>
      </c>
      <c r="E26" s="4">
        <v>95</v>
      </c>
      <c r="F26" s="4">
        <v>90</v>
      </c>
      <c r="G26" s="4">
        <v>85</v>
      </c>
      <c r="H26" s="4">
        <v>95</v>
      </c>
      <c r="I26" s="87"/>
      <c r="J26" s="4">
        <v>10</v>
      </c>
      <c r="K26" s="4">
        <v>10</v>
      </c>
      <c r="L26" s="4">
        <v>9</v>
      </c>
      <c r="M26" s="4">
        <v>9</v>
      </c>
      <c r="N26" s="4">
        <v>10</v>
      </c>
      <c r="O26" s="4">
        <v>9</v>
      </c>
      <c r="P26" s="4">
        <v>10</v>
      </c>
      <c r="Q26" s="4">
        <v>9</v>
      </c>
      <c r="R26" s="4">
        <v>9</v>
      </c>
      <c r="S26" s="4">
        <v>10</v>
      </c>
      <c r="T26" s="88"/>
      <c r="U26" s="4">
        <v>98</v>
      </c>
      <c r="V26" s="4">
        <v>96</v>
      </c>
      <c r="W26" s="88"/>
      <c r="X26" s="88">
        <v>100</v>
      </c>
      <c r="Y26" s="87"/>
      <c r="Z26" s="90"/>
    </row>
    <row r="27" spans="1:26" x14ac:dyDescent="0.25">
      <c r="A27" s="4" t="s">
        <v>275</v>
      </c>
      <c r="B27" s="4">
        <v>75</v>
      </c>
      <c r="C27" s="4">
        <v>80</v>
      </c>
      <c r="D27" s="4">
        <v>80</v>
      </c>
      <c r="E27" s="4">
        <v>85</v>
      </c>
      <c r="F27" s="4">
        <v>75</v>
      </c>
      <c r="G27" s="4">
        <v>80</v>
      </c>
      <c r="H27" s="4">
        <v>80</v>
      </c>
      <c r="I27" s="87"/>
      <c r="J27" s="4">
        <v>9</v>
      </c>
      <c r="K27" s="4">
        <v>8</v>
      </c>
      <c r="L27" s="4">
        <v>9</v>
      </c>
      <c r="M27" s="4">
        <v>10</v>
      </c>
      <c r="N27" s="4">
        <v>8</v>
      </c>
      <c r="O27" s="4">
        <v>8</v>
      </c>
      <c r="P27" s="4">
        <v>8</v>
      </c>
      <c r="Q27" s="4">
        <v>7</v>
      </c>
      <c r="R27" s="4">
        <v>8</v>
      </c>
      <c r="S27" s="4">
        <v>7</v>
      </c>
      <c r="T27" s="88"/>
      <c r="U27" s="4">
        <v>86</v>
      </c>
      <c r="V27" s="4">
        <v>90</v>
      </c>
      <c r="W27" s="88"/>
      <c r="X27" s="88">
        <v>94</v>
      </c>
      <c r="Y27" s="87"/>
      <c r="Z27" s="90"/>
    </row>
    <row r="28" spans="1:26" x14ac:dyDescent="0.25">
      <c r="A28" s="4" t="s">
        <v>276</v>
      </c>
      <c r="B28" s="4">
        <v>55</v>
      </c>
      <c r="C28" s="4">
        <v>70</v>
      </c>
      <c r="D28" s="4">
        <v>75</v>
      </c>
      <c r="E28" s="4">
        <v>75</v>
      </c>
      <c r="F28" s="4">
        <v>70</v>
      </c>
      <c r="G28" s="4">
        <v>80</v>
      </c>
      <c r="H28" s="4">
        <v>0</v>
      </c>
      <c r="I28" s="87"/>
      <c r="J28" s="4">
        <v>0</v>
      </c>
      <c r="K28" s="4">
        <v>5</v>
      </c>
      <c r="L28" s="4">
        <v>8</v>
      </c>
      <c r="M28" s="4">
        <v>8</v>
      </c>
      <c r="N28" s="4">
        <v>9</v>
      </c>
      <c r="O28" s="4">
        <v>8</v>
      </c>
      <c r="P28" s="4">
        <v>9</v>
      </c>
      <c r="Q28" s="4">
        <v>6</v>
      </c>
      <c r="R28" s="4">
        <v>7</v>
      </c>
      <c r="S28" s="4">
        <v>7</v>
      </c>
      <c r="T28" s="88"/>
      <c r="U28" s="4">
        <v>78</v>
      </c>
      <c r="V28" s="4">
        <v>74</v>
      </c>
      <c r="W28" s="88"/>
      <c r="X28" s="88">
        <v>74</v>
      </c>
      <c r="Y28" s="87"/>
      <c r="Z28" s="90"/>
    </row>
    <row r="29" spans="1:26" x14ac:dyDescent="0.25">
      <c r="A29" s="4" t="s">
        <v>277</v>
      </c>
      <c r="B29" s="4">
        <v>100</v>
      </c>
      <c r="C29" s="4">
        <v>95</v>
      </c>
      <c r="D29" s="4">
        <v>95</v>
      </c>
      <c r="E29" s="4">
        <v>100</v>
      </c>
      <c r="F29" s="4">
        <v>90</v>
      </c>
      <c r="G29" s="4">
        <v>100</v>
      </c>
      <c r="H29" s="4">
        <v>80</v>
      </c>
      <c r="I29" s="87"/>
      <c r="J29" s="4">
        <v>10</v>
      </c>
      <c r="K29" s="4">
        <v>10</v>
      </c>
      <c r="L29" s="4">
        <v>10</v>
      </c>
      <c r="M29" s="4">
        <v>10</v>
      </c>
      <c r="N29" s="4">
        <v>10</v>
      </c>
      <c r="O29" s="4">
        <v>10</v>
      </c>
      <c r="P29" s="4">
        <v>10</v>
      </c>
      <c r="Q29" s="4">
        <v>10</v>
      </c>
      <c r="R29" s="4">
        <v>10</v>
      </c>
      <c r="S29" s="4">
        <v>10</v>
      </c>
      <c r="T29" s="88"/>
      <c r="U29" s="4">
        <v>96</v>
      </c>
      <c r="V29" s="4">
        <v>100</v>
      </c>
      <c r="W29" s="88"/>
      <c r="X29" s="88">
        <v>100</v>
      </c>
      <c r="Y29" s="87"/>
      <c r="Z29" s="90"/>
    </row>
    <row r="30" spans="1:26" x14ac:dyDescent="0.25">
      <c r="A30" s="4" t="s">
        <v>278</v>
      </c>
      <c r="B30" s="4">
        <v>80</v>
      </c>
      <c r="C30" s="4">
        <v>75</v>
      </c>
      <c r="D30" s="4">
        <v>85</v>
      </c>
      <c r="E30" s="4">
        <v>55</v>
      </c>
      <c r="F30" s="4">
        <v>70</v>
      </c>
      <c r="G30" s="4">
        <v>74</v>
      </c>
      <c r="H30" s="4">
        <v>76</v>
      </c>
      <c r="I30" s="87"/>
      <c r="J30" s="4">
        <v>8</v>
      </c>
      <c r="K30" s="4">
        <v>0</v>
      </c>
      <c r="L30" s="4">
        <v>7</v>
      </c>
      <c r="M30" s="4">
        <v>8</v>
      </c>
      <c r="N30" s="4">
        <v>8</v>
      </c>
      <c r="O30" s="4">
        <v>9</v>
      </c>
      <c r="P30" s="4">
        <v>8</v>
      </c>
      <c r="Q30" s="4">
        <v>8</v>
      </c>
      <c r="R30" s="4">
        <v>9</v>
      </c>
      <c r="S30" s="4">
        <v>8</v>
      </c>
      <c r="T30" s="88"/>
      <c r="U30" s="4">
        <v>74</v>
      </c>
      <c r="V30" s="4">
        <v>68</v>
      </c>
      <c r="W30" s="88"/>
      <c r="X30" s="88">
        <v>64</v>
      </c>
      <c r="Y30" s="87"/>
      <c r="Z30" s="90"/>
    </row>
    <row r="31" spans="1:26" x14ac:dyDescent="0.25">
      <c r="I31" s="91"/>
    </row>
    <row r="32" spans="1:26" x14ac:dyDescent="0.25">
      <c r="A32" s="83" t="s">
        <v>279</v>
      </c>
      <c r="I32" s="91"/>
    </row>
    <row r="33" spans="1:2" x14ac:dyDescent="0.25">
      <c r="A33" s="4" t="s">
        <v>146</v>
      </c>
    </row>
    <row r="34" spans="1:2" x14ac:dyDescent="0.25">
      <c r="A34" s="4" t="s">
        <v>280</v>
      </c>
    </row>
    <row r="35" spans="1:2" x14ac:dyDescent="0.25">
      <c r="A35" s="4" t="s">
        <v>281</v>
      </c>
    </row>
    <row r="36" spans="1:2" x14ac:dyDescent="0.25">
      <c r="A36" s="4" t="s">
        <v>282</v>
      </c>
    </row>
    <row r="39" spans="1:2" x14ac:dyDescent="0.25">
      <c r="A39" s="83" t="s">
        <v>283</v>
      </c>
      <c r="B39" s="83" t="s">
        <v>284</v>
      </c>
    </row>
    <row r="40" spans="1:2" x14ac:dyDescent="0.25">
      <c r="A40" s="4" t="s">
        <v>285</v>
      </c>
      <c r="B40" s="92">
        <v>0.3</v>
      </c>
    </row>
    <row r="41" spans="1:2" x14ac:dyDescent="0.25">
      <c r="A41" s="4" t="s">
        <v>286</v>
      </c>
      <c r="B41" s="92">
        <v>0.1</v>
      </c>
    </row>
    <row r="42" spans="1:2" x14ac:dyDescent="0.25">
      <c r="A42" s="4" t="s">
        <v>287</v>
      </c>
      <c r="B42" s="92">
        <v>0.35</v>
      </c>
    </row>
    <row r="43" spans="1:2" x14ac:dyDescent="0.25">
      <c r="A43" s="4" t="s">
        <v>288</v>
      </c>
      <c r="B43" s="92">
        <v>0.25</v>
      </c>
    </row>
  </sheetData>
  <mergeCells count="1">
    <mergeCell ref="A1:AA1"/>
  </mergeCells>
  <pageMargins left="0.2" right="0.2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zoomScale="89" zoomScaleNormal="89" workbookViewId="0">
      <selection activeCell="AD8" sqref="AD8"/>
    </sheetView>
  </sheetViews>
  <sheetFormatPr defaultRowHeight="15" x14ac:dyDescent="0.25"/>
  <cols>
    <col min="1" max="1" width="12.7109375" style="4" customWidth="1"/>
    <col min="2" max="2" width="7.5703125" style="4" customWidth="1"/>
    <col min="3" max="8" width="5.7109375" style="4" customWidth="1"/>
    <col min="9" max="9" width="7.42578125" style="4" customWidth="1"/>
    <col min="10" max="19" width="5.7109375" style="4" customWidth="1"/>
    <col min="20" max="20" width="9.140625" style="4" customWidth="1"/>
    <col min="21" max="22" width="5.7109375" style="4" customWidth="1"/>
    <col min="23" max="23" width="7.42578125" style="4" customWidth="1"/>
    <col min="24" max="28" width="7" style="4" customWidth="1"/>
    <col min="29" max="29" width="9.140625" style="4"/>
    <col min="30" max="31" width="9.42578125" style="4" bestFit="1" customWidth="1"/>
    <col min="32" max="32" width="8" style="4" customWidth="1"/>
    <col min="33" max="33" width="14.7109375" style="4" customWidth="1"/>
    <col min="34" max="16384" width="9.140625" style="4"/>
  </cols>
  <sheetData>
    <row r="1" spans="1:36" ht="33.75" x14ac:dyDescent="0.5">
      <c r="A1" s="131" t="s">
        <v>209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</row>
    <row r="2" spans="1:36" x14ac:dyDescent="0.25">
      <c r="A2" s="39" t="s">
        <v>210</v>
      </c>
      <c r="B2" s="79" t="s">
        <v>211</v>
      </c>
      <c r="C2" s="80"/>
      <c r="D2" s="80"/>
      <c r="E2" s="80"/>
      <c r="F2" s="80"/>
    </row>
    <row r="3" spans="1:36" x14ac:dyDescent="0.25">
      <c r="A3" s="39" t="s">
        <v>212</v>
      </c>
      <c r="B3" s="81">
        <v>601</v>
      </c>
      <c r="C3" s="80"/>
      <c r="D3" s="80"/>
      <c r="E3" s="80"/>
      <c r="F3" s="80"/>
    </row>
    <row r="4" spans="1:36" x14ac:dyDescent="0.25">
      <c r="A4" s="39" t="s">
        <v>213</v>
      </c>
      <c r="B4" s="79" t="s">
        <v>214</v>
      </c>
      <c r="C4" s="80"/>
      <c r="D4" s="80"/>
      <c r="E4" s="80"/>
      <c r="F4" s="80"/>
    </row>
    <row r="5" spans="1:36" x14ac:dyDescent="0.25">
      <c r="A5" s="39" t="s">
        <v>215</v>
      </c>
      <c r="B5" s="82">
        <v>70</v>
      </c>
      <c r="C5" s="80"/>
      <c r="D5" s="80"/>
      <c r="E5" s="80"/>
      <c r="F5" s="80"/>
    </row>
    <row r="6" spans="1:36" x14ac:dyDescent="0.25">
      <c r="AD6" s="4" t="s">
        <v>216</v>
      </c>
      <c r="AE6" s="4" t="s">
        <v>216</v>
      </c>
      <c r="AF6" s="4" t="s">
        <v>217</v>
      </c>
      <c r="AI6" s="4" t="s">
        <v>216</v>
      </c>
    </row>
    <row r="7" spans="1:36" x14ac:dyDescent="0.25">
      <c r="A7" s="83" t="s">
        <v>131</v>
      </c>
      <c r="B7" s="84" t="s">
        <v>218</v>
      </c>
      <c r="C7" s="84" t="s">
        <v>219</v>
      </c>
      <c r="D7" s="84" t="s">
        <v>220</v>
      </c>
      <c r="E7" s="84" t="s">
        <v>221</v>
      </c>
      <c r="F7" s="84" t="s">
        <v>222</v>
      </c>
      <c r="G7" s="84" t="s">
        <v>223</v>
      </c>
      <c r="H7" s="84" t="s">
        <v>224</v>
      </c>
      <c r="I7" s="84" t="s">
        <v>225</v>
      </c>
      <c r="J7" s="84" t="s">
        <v>226</v>
      </c>
      <c r="K7" s="84" t="s">
        <v>227</v>
      </c>
      <c r="L7" s="84" t="s">
        <v>228</v>
      </c>
      <c r="M7" s="84" t="s">
        <v>229</v>
      </c>
      <c r="N7" s="84" t="s">
        <v>230</v>
      </c>
      <c r="O7" s="84" t="s">
        <v>231</v>
      </c>
      <c r="P7" s="84" t="s">
        <v>232</v>
      </c>
      <c r="Q7" s="84" t="s">
        <v>233</v>
      </c>
      <c r="R7" s="84" t="s">
        <v>234</v>
      </c>
      <c r="S7" s="84" t="s">
        <v>235</v>
      </c>
      <c r="T7" s="84" t="s">
        <v>236</v>
      </c>
      <c r="U7" s="84" t="s">
        <v>237</v>
      </c>
      <c r="V7" s="84" t="s">
        <v>238</v>
      </c>
      <c r="W7" s="84" t="s">
        <v>239</v>
      </c>
      <c r="X7" s="84" t="s">
        <v>240</v>
      </c>
      <c r="Y7" s="85" t="s">
        <v>241</v>
      </c>
      <c r="Z7" s="85" t="s">
        <v>242</v>
      </c>
      <c r="AA7" s="85" t="s">
        <v>243</v>
      </c>
      <c r="AB7" s="85" t="s">
        <v>244</v>
      </c>
      <c r="AC7" s="84" t="s">
        <v>245</v>
      </c>
      <c r="AD7" s="85" t="s">
        <v>246</v>
      </c>
      <c r="AE7" s="85" t="s">
        <v>246</v>
      </c>
      <c r="AF7" s="85" t="s">
        <v>246</v>
      </c>
      <c r="AG7" s="83" t="s">
        <v>247</v>
      </c>
      <c r="AI7" s="86" t="s">
        <v>248</v>
      </c>
      <c r="AJ7" s="86" t="s">
        <v>249</v>
      </c>
    </row>
    <row r="8" spans="1:36" x14ac:dyDescent="0.25">
      <c r="A8" s="4" t="s">
        <v>250</v>
      </c>
      <c r="B8" s="4">
        <v>100</v>
      </c>
      <c r="C8" s="4">
        <v>95</v>
      </c>
      <c r="D8" s="4">
        <v>85</v>
      </c>
      <c r="E8" s="4">
        <v>100</v>
      </c>
      <c r="F8" s="4">
        <v>95</v>
      </c>
      <c r="G8" s="4">
        <v>90</v>
      </c>
      <c r="H8" s="4">
        <v>85</v>
      </c>
      <c r="I8" s="87">
        <f>AVERAGE(B8:H8)</f>
        <v>92.857142857142861</v>
      </c>
      <c r="J8" s="4">
        <v>10</v>
      </c>
      <c r="K8" s="4">
        <v>10</v>
      </c>
      <c r="L8" s="4">
        <v>10</v>
      </c>
      <c r="M8" s="4">
        <v>9</v>
      </c>
      <c r="N8" s="4">
        <v>10</v>
      </c>
      <c r="O8" s="4">
        <v>9</v>
      </c>
      <c r="P8" s="4">
        <v>8</v>
      </c>
      <c r="Q8" s="4">
        <v>10</v>
      </c>
      <c r="R8" s="4">
        <v>8</v>
      </c>
      <c r="S8" s="4">
        <v>9</v>
      </c>
      <c r="T8" s="88">
        <f>SUM(J8:S8)</f>
        <v>93</v>
      </c>
      <c r="U8" s="4">
        <v>90</v>
      </c>
      <c r="V8" s="4">
        <v>84</v>
      </c>
      <c r="W8" s="88">
        <f>AVERAGE(U8:V8)</f>
        <v>87</v>
      </c>
      <c r="X8" s="88">
        <v>88</v>
      </c>
      <c r="Y8" s="88">
        <f>I8*B$40</f>
        <v>27.857142857142858</v>
      </c>
      <c r="Z8" s="89">
        <f>T8*B$41</f>
        <v>9.3000000000000007</v>
      </c>
      <c r="AA8" s="89">
        <f>W8*B$42</f>
        <v>30.45</v>
      </c>
      <c r="AB8" s="88">
        <f>X8*B$43</f>
        <v>22</v>
      </c>
      <c r="AC8" s="88">
        <f>SUM(Y8:AB8)</f>
        <v>89.607142857142861</v>
      </c>
      <c r="AD8" s="90" t="e">
        <f>VLOOKUP(AC8,AI$8:AJ$11,2)</f>
        <v>#N/A</v>
      </c>
      <c r="AE8" s="90" t="str">
        <f>VLOOKUP(AC8,AI$15:AJ$18,2)</f>
        <v>F</v>
      </c>
      <c r="AF8" s="90" t="str">
        <f>VLOOKUP(AC8,AI$21:AJ$24,2)</f>
        <v>B</v>
      </c>
      <c r="AG8" s="4" t="str">
        <f>IF(AC8&gt;=B$5,"Pass","Fail")</f>
        <v>Pass</v>
      </c>
      <c r="AI8" s="4" t="s">
        <v>251</v>
      </c>
      <c r="AJ8" s="4" t="s">
        <v>241</v>
      </c>
    </row>
    <row r="9" spans="1:36" x14ac:dyDescent="0.25">
      <c r="A9" s="4" t="s">
        <v>252</v>
      </c>
      <c r="B9" s="4">
        <v>90</v>
      </c>
      <c r="C9" s="4">
        <v>90</v>
      </c>
      <c r="D9" s="4">
        <v>100</v>
      </c>
      <c r="E9" s="4">
        <v>90</v>
      </c>
      <c r="F9" s="4">
        <v>85</v>
      </c>
      <c r="G9" s="4">
        <v>100</v>
      </c>
      <c r="H9" s="4">
        <v>95</v>
      </c>
      <c r="I9" s="87">
        <f t="shared" ref="I9:I30" si="0">AVERAGE(B9:H9)</f>
        <v>92.857142857142861</v>
      </c>
      <c r="J9" s="4">
        <v>10</v>
      </c>
      <c r="K9" s="4">
        <v>9</v>
      </c>
      <c r="L9" s="4">
        <v>10</v>
      </c>
      <c r="M9" s="4">
        <v>10</v>
      </c>
      <c r="N9" s="4">
        <v>10</v>
      </c>
      <c r="O9" s="4">
        <v>10</v>
      </c>
      <c r="P9" s="4">
        <v>8</v>
      </c>
      <c r="Q9" s="4">
        <v>9</v>
      </c>
      <c r="R9" s="4">
        <v>9</v>
      </c>
      <c r="S9" s="4">
        <v>10</v>
      </c>
      <c r="T9" s="88">
        <f t="shared" ref="T9:T30" si="1">SUM(J9:S9)</f>
        <v>95</v>
      </c>
      <c r="U9" s="4">
        <v>94</v>
      </c>
      <c r="V9" s="4">
        <v>90</v>
      </c>
      <c r="W9" s="88">
        <f t="shared" ref="W9:W30" si="2">AVERAGE(U9:V9)</f>
        <v>92</v>
      </c>
      <c r="X9" s="88">
        <v>96</v>
      </c>
      <c r="Y9" s="88">
        <f t="shared" ref="Y9:Y30" si="3">I9*B$40</f>
        <v>27.857142857142858</v>
      </c>
      <c r="Z9" s="89">
        <f t="shared" ref="Z9:Z30" si="4">T9*B$41</f>
        <v>9.5</v>
      </c>
      <c r="AA9" s="89">
        <f t="shared" ref="AA9:AA30" si="5">W9*B$42</f>
        <v>32.199999999999996</v>
      </c>
      <c r="AB9" s="88">
        <f t="shared" ref="AB9:AB30" si="6">X9*B$43</f>
        <v>24</v>
      </c>
      <c r="AC9" s="88">
        <f t="shared" ref="AC9:AC30" si="7">SUM(Y9:AB9)</f>
        <v>93.55714285714285</v>
      </c>
      <c r="AD9" s="90" t="e">
        <f t="shared" ref="AD9:AD30" si="8">VLOOKUP(AC9,AI$8:AJ$11,2)</f>
        <v>#N/A</v>
      </c>
      <c r="AE9" s="90" t="str">
        <f t="shared" ref="AE9:AE30" si="9">VLOOKUP(AC9,AI$15:AJ$18,2)</f>
        <v>F</v>
      </c>
      <c r="AF9" s="90" t="str">
        <f t="shared" ref="AF9:AF30" si="10">VLOOKUP(AC9,AI$21:AJ$24,2)</f>
        <v>A</v>
      </c>
      <c r="AG9" s="4" t="str">
        <f t="shared" ref="AG9:AG30" si="11">IF(AC9&gt;=B$5,"Pass","Fail")</f>
        <v>Pass</v>
      </c>
      <c r="AI9" s="4" t="s">
        <v>253</v>
      </c>
      <c r="AJ9" s="4" t="s">
        <v>254</v>
      </c>
    </row>
    <row r="10" spans="1:36" x14ac:dyDescent="0.25">
      <c r="A10" s="4" t="s">
        <v>255</v>
      </c>
      <c r="B10" s="4">
        <v>75</v>
      </c>
      <c r="C10" s="4">
        <v>90</v>
      </c>
      <c r="D10" s="4">
        <v>75</v>
      </c>
      <c r="E10" s="4">
        <v>85</v>
      </c>
      <c r="F10" s="4">
        <v>0</v>
      </c>
      <c r="G10" s="4">
        <v>75</v>
      </c>
      <c r="H10" s="4">
        <v>60</v>
      </c>
      <c r="I10" s="87">
        <f t="shared" si="0"/>
        <v>65.714285714285708</v>
      </c>
      <c r="J10" s="4">
        <v>10</v>
      </c>
      <c r="K10" s="4">
        <v>10</v>
      </c>
      <c r="L10" s="4">
        <v>8</v>
      </c>
      <c r="M10" s="4">
        <v>10</v>
      </c>
      <c r="N10" s="4">
        <v>10</v>
      </c>
      <c r="O10" s="4">
        <v>8</v>
      </c>
      <c r="P10" s="4">
        <v>7</v>
      </c>
      <c r="Q10" s="4">
        <v>7</v>
      </c>
      <c r="R10" s="4">
        <v>8</v>
      </c>
      <c r="S10" s="4">
        <v>7</v>
      </c>
      <c r="T10" s="88">
        <f t="shared" si="1"/>
        <v>85</v>
      </c>
      <c r="U10" s="4">
        <v>78</v>
      </c>
      <c r="V10" s="4">
        <v>70</v>
      </c>
      <c r="W10" s="88">
        <f t="shared" si="2"/>
        <v>74</v>
      </c>
      <c r="X10" s="88">
        <v>68</v>
      </c>
      <c r="Y10" s="88">
        <f t="shared" si="3"/>
        <v>19.714285714285712</v>
      </c>
      <c r="Z10" s="89">
        <f t="shared" si="4"/>
        <v>8.5</v>
      </c>
      <c r="AA10" s="89">
        <f t="shared" si="5"/>
        <v>25.9</v>
      </c>
      <c r="AB10" s="88">
        <f t="shared" si="6"/>
        <v>17</v>
      </c>
      <c r="AC10" s="88">
        <f t="shared" si="7"/>
        <v>71.114285714285714</v>
      </c>
      <c r="AD10" s="90" t="e">
        <f t="shared" si="8"/>
        <v>#N/A</v>
      </c>
      <c r="AE10" s="90" t="e">
        <f t="shared" si="9"/>
        <v>#N/A</v>
      </c>
      <c r="AF10" s="90" t="str">
        <f t="shared" si="10"/>
        <v>C</v>
      </c>
      <c r="AG10" s="4" t="str">
        <f t="shared" si="11"/>
        <v>Pass</v>
      </c>
      <c r="AI10" s="4" t="s">
        <v>256</v>
      </c>
      <c r="AJ10" s="4" t="s">
        <v>257</v>
      </c>
    </row>
    <row r="11" spans="1:36" x14ac:dyDescent="0.25">
      <c r="A11" s="4" t="s">
        <v>258</v>
      </c>
      <c r="B11" s="4">
        <v>65</v>
      </c>
      <c r="C11" s="4">
        <v>75</v>
      </c>
      <c r="D11" s="4">
        <v>70</v>
      </c>
      <c r="E11" s="4">
        <v>60</v>
      </c>
      <c r="F11" s="4">
        <v>50</v>
      </c>
      <c r="G11" s="4">
        <v>70</v>
      </c>
      <c r="H11" s="4">
        <v>75</v>
      </c>
      <c r="I11" s="87">
        <f t="shared" si="0"/>
        <v>66.428571428571431</v>
      </c>
      <c r="J11" s="4">
        <v>5</v>
      </c>
      <c r="K11" s="4">
        <v>7</v>
      </c>
      <c r="L11" s="4">
        <v>8</v>
      </c>
      <c r="M11" s="4">
        <v>0</v>
      </c>
      <c r="N11" s="4">
        <v>10</v>
      </c>
      <c r="O11" s="4">
        <v>7</v>
      </c>
      <c r="P11" s="4">
        <v>3</v>
      </c>
      <c r="Q11" s="4">
        <v>5</v>
      </c>
      <c r="R11" s="4">
        <v>8</v>
      </c>
      <c r="S11" s="4">
        <v>9</v>
      </c>
      <c r="T11" s="88">
        <f t="shared" si="1"/>
        <v>62</v>
      </c>
      <c r="U11" s="4">
        <v>60</v>
      </c>
      <c r="V11" s="4">
        <v>64</v>
      </c>
      <c r="W11" s="88">
        <f t="shared" si="2"/>
        <v>62</v>
      </c>
      <c r="X11" s="88">
        <v>58</v>
      </c>
      <c r="Y11" s="88">
        <f t="shared" si="3"/>
        <v>19.928571428571427</v>
      </c>
      <c r="Z11" s="89">
        <f t="shared" si="4"/>
        <v>6.2</v>
      </c>
      <c r="AA11" s="89">
        <f t="shared" si="5"/>
        <v>21.7</v>
      </c>
      <c r="AB11" s="88">
        <f t="shared" si="6"/>
        <v>14.5</v>
      </c>
      <c r="AC11" s="88">
        <f t="shared" si="7"/>
        <v>62.328571428571422</v>
      </c>
      <c r="AD11" s="90" t="e">
        <f t="shared" si="8"/>
        <v>#N/A</v>
      </c>
      <c r="AE11" s="90" t="e">
        <f t="shared" si="9"/>
        <v>#N/A</v>
      </c>
      <c r="AF11" s="90" t="str">
        <f t="shared" si="10"/>
        <v>F</v>
      </c>
      <c r="AG11" s="4" t="str">
        <f t="shared" si="11"/>
        <v>Fail</v>
      </c>
      <c r="AI11" s="4" t="s">
        <v>259</v>
      </c>
      <c r="AJ11" s="4" t="s">
        <v>244</v>
      </c>
    </row>
    <row r="12" spans="1:36" x14ac:dyDescent="0.25">
      <c r="A12" s="4" t="s">
        <v>260</v>
      </c>
      <c r="B12" s="4">
        <v>75</v>
      </c>
      <c r="C12" s="4">
        <v>85</v>
      </c>
      <c r="D12" s="4">
        <v>80</v>
      </c>
      <c r="E12" s="4">
        <v>70</v>
      </c>
      <c r="F12" s="4">
        <v>75</v>
      </c>
      <c r="G12" s="4">
        <v>85</v>
      </c>
      <c r="H12" s="4">
        <v>70</v>
      </c>
      <c r="I12" s="87">
        <f t="shared" si="0"/>
        <v>77.142857142857139</v>
      </c>
      <c r="J12" s="4">
        <v>10</v>
      </c>
      <c r="K12" s="4">
        <v>9</v>
      </c>
      <c r="L12" s="4">
        <v>10</v>
      </c>
      <c r="M12" s="4">
        <v>10</v>
      </c>
      <c r="N12" s="4">
        <v>9</v>
      </c>
      <c r="O12" s="4">
        <v>8</v>
      </c>
      <c r="P12" s="4">
        <v>8</v>
      </c>
      <c r="Q12" s="4">
        <v>10</v>
      </c>
      <c r="R12" s="4">
        <v>7</v>
      </c>
      <c r="S12" s="4">
        <v>0</v>
      </c>
      <c r="T12" s="88">
        <f t="shared" si="1"/>
        <v>81</v>
      </c>
      <c r="U12" s="4">
        <v>82</v>
      </c>
      <c r="V12" s="4">
        <v>74</v>
      </c>
      <c r="W12" s="88">
        <f t="shared" si="2"/>
        <v>78</v>
      </c>
      <c r="X12" s="88">
        <v>82</v>
      </c>
      <c r="Y12" s="88">
        <f t="shared" si="3"/>
        <v>23.142857142857142</v>
      </c>
      <c r="Z12" s="89">
        <f t="shared" si="4"/>
        <v>8.1</v>
      </c>
      <c r="AA12" s="89">
        <f t="shared" si="5"/>
        <v>27.299999999999997</v>
      </c>
      <c r="AB12" s="88">
        <f t="shared" si="6"/>
        <v>20.5</v>
      </c>
      <c r="AC12" s="88">
        <f t="shared" si="7"/>
        <v>79.042857142857144</v>
      </c>
      <c r="AD12" s="90" t="e">
        <f t="shared" si="8"/>
        <v>#N/A</v>
      </c>
      <c r="AE12" s="90" t="e">
        <f t="shared" si="9"/>
        <v>#N/A</v>
      </c>
      <c r="AF12" s="90" t="str">
        <f t="shared" si="10"/>
        <v>C</v>
      </c>
      <c r="AG12" s="4" t="str">
        <f t="shared" si="11"/>
        <v>Pass</v>
      </c>
    </row>
    <row r="13" spans="1:36" x14ac:dyDescent="0.25">
      <c r="A13" s="4" t="s">
        <v>261</v>
      </c>
      <c r="B13" s="4">
        <v>90</v>
      </c>
      <c r="C13" s="4">
        <v>95</v>
      </c>
      <c r="D13" s="4">
        <v>95</v>
      </c>
      <c r="E13" s="4">
        <v>100</v>
      </c>
      <c r="F13" s="4">
        <v>85</v>
      </c>
      <c r="G13" s="4">
        <v>80</v>
      </c>
      <c r="H13" s="4">
        <v>85</v>
      </c>
      <c r="I13" s="87">
        <f t="shared" si="0"/>
        <v>90</v>
      </c>
      <c r="J13" s="4">
        <v>10</v>
      </c>
      <c r="K13" s="4">
        <v>10</v>
      </c>
      <c r="L13" s="4">
        <v>10</v>
      </c>
      <c r="M13" s="4">
        <v>9</v>
      </c>
      <c r="N13" s="4">
        <v>10</v>
      </c>
      <c r="O13" s="4">
        <v>9</v>
      </c>
      <c r="P13" s="4">
        <v>9</v>
      </c>
      <c r="Q13" s="4">
        <v>9</v>
      </c>
      <c r="R13" s="4">
        <v>10</v>
      </c>
      <c r="S13" s="4">
        <v>10</v>
      </c>
      <c r="T13" s="88">
        <f t="shared" si="1"/>
        <v>96</v>
      </c>
      <c r="U13" s="4">
        <v>84</v>
      </c>
      <c r="V13" s="4">
        <v>90</v>
      </c>
      <c r="W13" s="88">
        <f t="shared" si="2"/>
        <v>87</v>
      </c>
      <c r="X13" s="88">
        <v>80</v>
      </c>
      <c r="Y13" s="88">
        <f t="shared" si="3"/>
        <v>27</v>
      </c>
      <c r="Z13" s="89">
        <f t="shared" si="4"/>
        <v>9.6000000000000014</v>
      </c>
      <c r="AA13" s="89">
        <f t="shared" si="5"/>
        <v>30.45</v>
      </c>
      <c r="AB13" s="88">
        <f t="shared" si="6"/>
        <v>20</v>
      </c>
      <c r="AC13" s="88">
        <f t="shared" si="7"/>
        <v>87.05</v>
      </c>
      <c r="AD13" s="90" t="e">
        <f t="shared" si="8"/>
        <v>#N/A</v>
      </c>
      <c r="AE13" s="90" t="str">
        <f t="shared" si="9"/>
        <v>F</v>
      </c>
      <c r="AF13" s="90" t="str">
        <f t="shared" si="10"/>
        <v>B</v>
      </c>
      <c r="AG13" s="4" t="str">
        <f t="shared" si="11"/>
        <v>Pass</v>
      </c>
      <c r="AI13" s="4" t="s">
        <v>216</v>
      </c>
    </row>
    <row r="14" spans="1:36" x14ac:dyDescent="0.25">
      <c r="A14" s="4" t="s">
        <v>262</v>
      </c>
      <c r="B14" s="4">
        <v>70</v>
      </c>
      <c r="C14" s="4">
        <v>80</v>
      </c>
      <c r="D14" s="4">
        <v>0</v>
      </c>
      <c r="E14" s="4">
        <v>75</v>
      </c>
      <c r="F14" s="4">
        <v>60</v>
      </c>
      <c r="G14" s="4">
        <v>65</v>
      </c>
      <c r="H14" s="4">
        <v>75</v>
      </c>
      <c r="I14" s="87">
        <f t="shared" si="0"/>
        <v>60.714285714285715</v>
      </c>
      <c r="J14" s="4">
        <v>9</v>
      </c>
      <c r="K14" s="4">
        <v>9</v>
      </c>
      <c r="L14" s="4">
        <v>10</v>
      </c>
      <c r="M14" s="4">
        <v>9</v>
      </c>
      <c r="N14" s="4">
        <v>8</v>
      </c>
      <c r="O14" s="4">
        <v>8</v>
      </c>
      <c r="P14" s="4">
        <v>7</v>
      </c>
      <c r="Q14" s="4">
        <v>6</v>
      </c>
      <c r="R14" s="4">
        <v>0</v>
      </c>
      <c r="S14" s="4">
        <v>5</v>
      </c>
      <c r="T14" s="88">
        <f t="shared" si="1"/>
        <v>71</v>
      </c>
      <c r="U14" s="4">
        <v>70</v>
      </c>
      <c r="V14" s="4">
        <v>66</v>
      </c>
      <c r="W14" s="88">
        <f t="shared" si="2"/>
        <v>68</v>
      </c>
      <c r="X14" s="88">
        <v>62</v>
      </c>
      <c r="Y14" s="88">
        <f t="shared" si="3"/>
        <v>18.214285714285715</v>
      </c>
      <c r="Z14" s="89">
        <f t="shared" si="4"/>
        <v>7.1000000000000005</v>
      </c>
      <c r="AA14" s="89">
        <f t="shared" si="5"/>
        <v>23.799999999999997</v>
      </c>
      <c r="AB14" s="88">
        <f t="shared" si="6"/>
        <v>15.5</v>
      </c>
      <c r="AC14" s="88">
        <f t="shared" si="7"/>
        <v>64.614285714285714</v>
      </c>
      <c r="AD14" s="90" t="e">
        <f t="shared" si="8"/>
        <v>#N/A</v>
      </c>
      <c r="AE14" s="90" t="e">
        <f t="shared" si="9"/>
        <v>#N/A</v>
      </c>
      <c r="AF14" s="90" t="str">
        <f t="shared" si="10"/>
        <v>F</v>
      </c>
      <c r="AG14" s="4" t="str">
        <f t="shared" si="11"/>
        <v>Fail</v>
      </c>
      <c r="AI14" s="86" t="s">
        <v>248</v>
      </c>
      <c r="AJ14" s="86" t="s">
        <v>249</v>
      </c>
    </row>
    <row r="15" spans="1:36" x14ac:dyDescent="0.25">
      <c r="A15" s="4" t="s">
        <v>263</v>
      </c>
      <c r="B15" s="4">
        <v>75</v>
      </c>
      <c r="C15" s="4">
        <v>80</v>
      </c>
      <c r="D15" s="4">
        <v>80</v>
      </c>
      <c r="E15" s="4">
        <v>85</v>
      </c>
      <c r="F15" s="4">
        <v>70</v>
      </c>
      <c r="G15" s="4">
        <v>65</v>
      </c>
      <c r="H15" s="4">
        <v>75</v>
      </c>
      <c r="I15" s="87">
        <f t="shared" si="0"/>
        <v>75.714285714285708</v>
      </c>
      <c r="J15" s="4">
        <v>8</v>
      </c>
      <c r="K15" s="4">
        <v>10</v>
      </c>
      <c r="L15" s="4">
        <v>10</v>
      </c>
      <c r="M15" s="4">
        <v>9</v>
      </c>
      <c r="N15" s="4">
        <v>10</v>
      </c>
      <c r="O15" s="4">
        <v>8</v>
      </c>
      <c r="P15" s="4">
        <v>8</v>
      </c>
      <c r="Q15" s="4">
        <v>8</v>
      </c>
      <c r="R15" s="4">
        <v>7</v>
      </c>
      <c r="S15" s="4">
        <v>8</v>
      </c>
      <c r="T15" s="88">
        <f t="shared" si="1"/>
        <v>86</v>
      </c>
      <c r="U15" s="4">
        <v>74</v>
      </c>
      <c r="V15" s="4">
        <v>76</v>
      </c>
      <c r="W15" s="88">
        <f t="shared" si="2"/>
        <v>75</v>
      </c>
      <c r="X15" s="88">
        <v>80</v>
      </c>
      <c r="Y15" s="88">
        <f t="shared" si="3"/>
        <v>22.714285714285712</v>
      </c>
      <c r="Z15" s="89">
        <f t="shared" si="4"/>
        <v>8.6</v>
      </c>
      <c r="AA15" s="89">
        <f t="shared" si="5"/>
        <v>26.25</v>
      </c>
      <c r="AB15" s="88">
        <f t="shared" si="6"/>
        <v>20</v>
      </c>
      <c r="AC15" s="88">
        <f t="shared" si="7"/>
        <v>77.564285714285717</v>
      </c>
      <c r="AD15" s="90" t="e">
        <f t="shared" si="8"/>
        <v>#N/A</v>
      </c>
      <c r="AE15" s="90" t="e">
        <f t="shared" si="9"/>
        <v>#N/A</v>
      </c>
      <c r="AF15" s="90" t="str">
        <f t="shared" si="10"/>
        <v>C</v>
      </c>
      <c r="AG15" s="4" t="str">
        <f t="shared" si="11"/>
        <v>Pass</v>
      </c>
      <c r="AI15" s="4">
        <v>90</v>
      </c>
      <c r="AJ15" s="4" t="s">
        <v>241</v>
      </c>
    </row>
    <row r="16" spans="1:36" x14ac:dyDescent="0.25">
      <c r="A16" s="4" t="s">
        <v>264</v>
      </c>
      <c r="B16" s="4">
        <v>100</v>
      </c>
      <c r="C16" s="4">
        <v>100</v>
      </c>
      <c r="D16" s="4">
        <v>100</v>
      </c>
      <c r="E16" s="4">
        <v>95</v>
      </c>
      <c r="F16" s="4">
        <v>90</v>
      </c>
      <c r="G16" s="4">
        <v>100</v>
      </c>
      <c r="H16" s="4">
        <v>100</v>
      </c>
      <c r="I16" s="87">
        <f t="shared" si="0"/>
        <v>97.857142857142861</v>
      </c>
      <c r="J16" s="4">
        <v>10</v>
      </c>
      <c r="K16" s="4">
        <v>10</v>
      </c>
      <c r="L16" s="4">
        <v>10</v>
      </c>
      <c r="M16" s="4">
        <v>10</v>
      </c>
      <c r="N16" s="4">
        <v>10</v>
      </c>
      <c r="O16" s="4">
        <v>10</v>
      </c>
      <c r="P16" s="4">
        <v>10</v>
      </c>
      <c r="Q16" s="4">
        <v>10</v>
      </c>
      <c r="R16" s="4">
        <v>10</v>
      </c>
      <c r="S16" s="4">
        <v>10</v>
      </c>
      <c r="T16" s="88">
        <f t="shared" si="1"/>
        <v>100</v>
      </c>
      <c r="U16" s="4">
        <v>96</v>
      </c>
      <c r="V16" s="4">
        <v>90</v>
      </c>
      <c r="W16" s="88">
        <f t="shared" si="2"/>
        <v>93</v>
      </c>
      <c r="X16" s="88">
        <v>94</v>
      </c>
      <c r="Y16" s="88">
        <f t="shared" si="3"/>
        <v>29.357142857142858</v>
      </c>
      <c r="Z16" s="89">
        <f t="shared" si="4"/>
        <v>10</v>
      </c>
      <c r="AA16" s="89">
        <f t="shared" si="5"/>
        <v>32.549999999999997</v>
      </c>
      <c r="AB16" s="88">
        <f t="shared" si="6"/>
        <v>23.5</v>
      </c>
      <c r="AC16" s="88">
        <f t="shared" si="7"/>
        <v>95.407142857142858</v>
      </c>
      <c r="AD16" s="90" t="e">
        <f t="shared" si="8"/>
        <v>#N/A</v>
      </c>
      <c r="AE16" s="90" t="str">
        <f t="shared" si="9"/>
        <v>F</v>
      </c>
      <c r="AF16" s="90" t="str">
        <f t="shared" si="10"/>
        <v>A</v>
      </c>
      <c r="AG16" s="4" t="str">
        <f t="shared" si="11"/>
        <v>Pass</v>
      </c>
      <c r="AI16" s="4">
        <v>80</v>
      </c>
      <c r="AJ16" s="4" t="s">
        <v>254</v>
      </c>
    </row>
    <row r="17" spans="1:36" x14ac:dyDescent="0.25">
      <c r="A17" s="4" t="s">
        <v>265</v>
      </c>
      <c r="B17" s="4">
        <v>95</v>
      </c>
      <c r="C17" s="4">
        <v>85</v>
      </c>
      <c r="D17" s="4">
        <v>80</v>
      </c>
      <c r="E17" s="4">
        <v>90</v>
      </c>
      <c r="F17" s="4">
        <v>90</v>
      </c>
      <c r="G17" s="4">
        <v>80</v>
      </c>
      <c r="H17" s="4">
        <v>85</v>
      </c>
      <c r="I17" s="87">
        <f t="shared" si="0"/>
        <v>86.428571428571431</v>
      </c>
      <c r="J17" s="4">
        <v>8</v>
      </c>
      <c r="K17" s="4">
        <v>9</v>
      </c>
      <c r="L17" s="4">
        <v>9</v>
      </c>
      <c r="M17" s="4">
        <v>10</v>
      </c>
      <c r="N17" s="4">
        <v>8</v>
      </c>
      <c r="O17" s="4">
        <v>7</v>
      </c>
      <c r="P17" s="4">
        <v>8</v>
      </c>
      <c r="Q17" s="4">
        <v>8</v>
      </c>
      <c r="R17" s="4">
        <v>7</v>
      </c>
      <c r="S17" s="4">
        <v>8</v>
      </c>
      <c r="T17" s="88">
        <f t="shared" si="1"/>
        <v>82</v>
      </c>
      <c r="U17" s="4">
        <v>74</v>
      </c>
      <c r="V17" s="4">
        <v>78</v>
      </c>
      <c r="W17" s="88">
        <f t="shared" si="2"/>
        <v>76</v>
      </c>
      <c r="X17" s="88">
        <v>84</v>
      </c>
      <c r="Y17" s="88">
        <f t="shared" si="3"/>
        <v>25.928571428571427</v>
      </c>
      <c r="Z17" s="89">
        <f t="shared" si="4"/>
        <v>8.2000000000000011</v>
      </c>
      <c r="AA17" s="89">
        <f t="shared" si="5"/>
        <v>26.599999999999998</v>
      </c>
      <c r="AB17" s="88">
        <f t="shared" si="6"/>
        <v>21</v>
      </c>
      <c r="AC17" s="88">
        <f t="shared" si="7"/>
        <v>81.728571428571428</v>
      </c>
      <c r="AD17" s="90" t="e">
        <f t="shared" si="8"/>
        <v>#N/A</v>
      </c>
      <c r="AE17" s="90" t="str">
        <f t="shared" si="9"/>
        <v>F</v>
      </c>
      <c r="AF17" s="90" t="str">
        <f t="shared" si="10"/>
        <v>B</v>
      </c>
      <c r="AG17" s="4" t="str">
        <f t="shared" si="11"/>
        <v>Pass</v>
      </c>
      <c r="AI17" s="4">
        <v>70</v>
      </c>
      <c r="AJ17" s="4" t="s">
        <v>257</v>
      </c>
    </row>
    <row r="18" spans="1:36" x14ac:dyDescent="0.25">
      <c r="A18" s="4" t="s">
        <v>266</v>
      </c>
      <c r="B18" s="4">
        <v>75</v>
      </c>
      <c r="C18" s="4">
        <v>75</v>
      </c>
      <c r="D18" s="4">
        <v>85</v>
      </c>
      <c r="E18" s="4">
        <v>85</v>
      </c>
      <c r="F18" s="4">
        <v>80</v>
      </c>
      <c r="G18" s="4">
        <v>70</v>
      </c>
      <c r="H18" s="4">
        <v>75</v>
      </c>
      <c r="I18" s="87">
        <f t="shared" si="0"/>
        <v>77.857142857142861</v>
      </c>
      <c r="J18" s="4">
        <v>8</v>
      </c>
      <c r="K18" s="4">
        <v>8</v>
      </c>
      <c r="L18" s="4">
        <v>10</v>
      </c>
      <c r="M18" s="4">
        <v>9</v>
      </c>
      <c r="N18" s="4">
        <v>10</v>
      </c>
      <c r="O18" s="4">
        <v>8</v>
      </c>
      <c r="P18" s="4">
        <v>9</v>
      </c>
      <c r="Q18" s="4">
        <v>8</v>
      </c>
      <c r="R18" s="4">
        <v>7</v>
      </c>
      <c r="S18" s="4">
        <v>8</v>
      </c>
      <c r="T18" s="88">
        <f t="shared" si="1"/>
        <v>85</v>
      </c>
      <c r="U18" s="4">
        <v>82</v>
      </c>
      <c r="V18" s="4">
        <v>78</v>
      </c>
      <c r="W18" s="88">
        <f t="shared" si="2"/>
        <v>80</v>
      </c>
      <c r="X18" s="88">
        <v>74</v>
      </c>
      <c r="Y18" s="88">
        <f t="shared" si="3"/>
        <v>23.357142857142858</v>
      </c>
      <c r="Z18" s="89">
        <f t="shared" si="4"/>
        <v>8.5</v>
      </c>
      <c r="AA18" s="89">
        <f t="shared" si="5"/>
        <v>28</v>
      </c>
      <c r="AB18" s="88">
        <f t="shared" si="6"/>
        <v>18.5</v>
      </c>
      <c r="AC18" s="88">
        <f t="shared" si="7"/>
        <v>78.357142857142861</v>
      </c>
      <c r="AD18" s="90" t="e">
        <f t="shared" si="8"/>
        <v>#N/A</v>
      </c>
      <c r="AE18" s="90" t="e">
        <f t="shared" si="9"/>
        <v>#N/A</v>
      </c>
      <c r="AF18" s="90" t="str">
        <f t="shared" si="10"/>
        <v>C</v>
      </c>
      <c r="AG18" s="4" t="str">
        <f t="shared" si="11"/>
        <v>Pass</v>
      </c>
      <c r="AI18" s="4">
        <v>0</v>
      </c>
      <c r="AJ18" s="4" t="s">
        <v>244</v>
      </c>
    </row>
    <row r="19" spans="1:36" x14ac:dyDescent="0.25">
      <c r="A19" s="4" t="s">
        <v>267</v>
      </c>
      <c r="B19" s="4">
        <v>75</v>
      </c>
      <c r="C19" s="4">
        <v>55</v>
      </c>
      <c r="D19" s="4">
        <v>0</v>
      </c>
      <c r="E19" s="4">
        <v>70</v>
      </c>
      <c r="F19" s="4">
        <v>50</v>
      </c>
      <c r="G19" s="4">
        <v>75</v>
      </c>
      <c r="H19" s="4">
        <v>0</v>
      </c>
      <c r="I19" s="87">
        <f t="shared" si="0"/>
        <v>46.428571428571431</v>
      </c>
      <c r="J19" s="4">
        <v>8</v>
      </c>
      <c r="K19" s="4">
        <v>7</v>
      </c>
      <c r="L19" s="4">
        <v>0</v>
      </c>
      <c r="M19" s="4">
        <v>8</v>
      </c>
      <c r="N19" s="4">
        <v>9</v>
      </c>
      <c r="O19" s="4">
        <v>7</v>
      </c>
      <c r="P19" s="4">
        <v>5</v>
      </c>
      <c r="Q19" s="4">
        <v>6</v>
      </c>
      <c r="R19" s="4">
        <v>4</v>
      </c>
      <c r="S19" s="4">
        <v>7</v>
      </c>
      <c r="T19" s="88">
        <f t="shared" si="1"/>
        <v>61</v>
      </c>
      <c r="U19" s="4">
        <v>56</v>
      </c>
      <c r="V19" s="4">
        <v>52</v>
      </c>
      <c r="W19" s="88">
        <f t="shared" si="2"/>
        <v>54</v>
      </c>
      <c r="X19" s="88">
        <v>60</v>
      </c>
      <c r="Y19" s="88">
        <f t="shared" si="3"/>
        <v>13.928571428571429</v>
      </c>
      <c r="Z19" s="89">
        <f t="shared" si="4"/>
        <v>6.1000000000000005</v>
      </c>
      <c r="AA19" s="89">
        <f t="shared" si="5"/>
        <v>18.899999999999999</v>
      </c>
      <c r="AB19" s="88">
        <f t="shared" si="6"/>
        <v>15</v>
      </c>
      <c r="AC19" s="88">
        <f t="shared" si="7"/>
        <v>53.928571428571431</v>
      </c>
      <c r="AD19" s="90" t="e">
        <f t="shared" si="8"/>
        <v>#N/A</v>
      </c>
      <c r="AE19" s="90" t="e">
        <f t="shared" si="9"/>
        <v>#N/A</v>
      </c>
      <c r="AF19" s="90" t="str">
        <f t="shared" si="10"/>
        <v>F</v>
      </c>
      <c r="AG19" s="4" t="str">
        <f t="shared" si="11"/>
        <v>Fail</v>
      </c>
      <c r="AI19" s="4" t="s">
        <v>217</v>
      </c>
    </row>
    <row r="20" spans="1:36" x14ac:dyDescent="0.25">
      <c r="A20" s="4" t="s">
        <v>268</v>
      </c>
      <c r="B20" s="4">
        <v>85</v>
      </c>
      <c r="C20" s="4">
        <v>95</v>
      </c>
      <c r="D20" s="4">
        <v>95</v>
      </c>
      <c r="E20" s="4">
        <v>100</v>
      </c>
      <c r="F20" s="4">
        <v>95</v>
      </c>
      <c r="G20" s="4">
        <v>95</v>
      </c>
      <c r="H20" s="4">
        <v>100</v>
      </c>
      <c r="I20" s="87">
        <f t="shared" si="0"/>
        <v>95</v>
      </c>
      <c r="J20" s="4">
        <v>10</v>
      </c>
      <c r="K20" s="4">
        <v>9</v>
      </c>
      <c r="L20" s="4">
        <v>10</v>
      </c>
      <c r="M20" s="4">
        <v>10</v>
      </c>
      <c r="N20" s="4">
        <v>10</v>
      </c>
      <c r="O20" s="4">
        <v>10</v>
      </c>
      <c r="P20" s="4">
        <v>10</v>
      </c>
      <c r="Q20" s="4">
        <v>9</v>
      </c>
      <c r="R20" s="4">
        <v>9</v>
      </c>
      <c r="S20" s="4">
        <v>10</v>
      </c>
      <c r="T20" s="88">
        <f t="shared" si="1"/>
        <v>97</v>
      </c>
      <c r="U20" s="4">
        <v>94</v>
      </c>
      <c r="V20" s="4">
        <v>90</v>
      </c>
      <c r="W20" s="88">
        <f t="shared" si="2"/>
        <v>92</v>
      </c>
      <c r="X20" s="88">
        <v>88</v>
      </c>
      <c r="Y20" s="88">
        <f t="shared" si="3"/>
        <v>28.5</v>
      </c>
      <c r="Z20" s="89">
        <f t="shared" si="4"/>
        <v>9.7000000000000011</v>
      </c>
      <c r="AA20" s="89">
        <f t="shared" si="5"/>
        <v>32.199999999999996</v>
      </c>
      <c r="AB20" s="88">
        <f t="shared" si="6"/>
        <v>22</v>
      </c>
      <c r="AC20" s="88">
        <f t="shared" si="7"/>
        <v>92.4</v>
      </c>
      <c r="AD20" s="90" t="e">
        <f t="shared" si="8"/>
        <v>#N/A</v>
      </c>
      <c r="AE20" s="90" t="str">
        <f t="shared" si="9"/>
        <v>F</v>
      </c>
      <c r="AF20" s="90" t="str">
        <f t="shared" si="10"/>
        <v>A</v>
      </c>
      <c r="AG20" s="4" t="str">
        <f t="shared" si="11"/>
        <v>Pass</v>
      </c>
      <c r="AI20" s="86" t="s">
        <v>248</v>
      </c>
      <c r="AJ20" s="86" t="s">
        <v>249</v>
      </c>
    </row>
    <row r="21" spans="1:36" x14ac:dyDescent="0.25">
      <c r="A21" s="4" t="s">
        <v>269</v>
      </c>
      <c r="B21" s="4">
        <v>100</v>
      </c>
      <c r="C21" s="4">
        <v>85</v>
      </c>
      <c r="D21" s="4">
        <v>90</v>
      </c>
      <c r="E21" s="4">
        <v>85</v>
      </c>
      <c r="F21" s="4">
        <v>95</v>
      </c>
      <c r="G21" s="4">
        <v>95</v>
      </c>
      <c r="H21" s="4">
        <v>95</v>
      </c>
      <c r="I21" s="87">
        <f t="shared" si="0"/>
        <v>92.142857142857139</v>
      </c>
      <c r="J21" s="4">
        <v>7</v>
      </c>
      <c r="K21" s="4">
        <v>6</v>
      </c>
      <c r="L21" s="4">
        <v>8</v>
      </c>
      <c r="M21" s="4">
        <v>10</v>
      </c>
      <c r="N21" s="4">
        <v>8</v>
      </c>
      <c r="O21" s="4">
        <v>8</v>
      </c>
      <c r="P21" s="4">
        <v>8</v>
      </c>
      <c r="Q21" s="4">
        <v>7</v>
      </c>
      <c r="R21" s="4">
        <v>6</v>
      </c>
      <c r="S21" s="4">
        <v>5</v>
      </c>
      <c r="T21" s="88">
        <f t="shared" si="1"/>
        <v>73</v>
      </c>
      <c r="U21" s="4">
        <v>76</v>
      </c>
      <c r="V21" s="4">
        <v>84</v>
      </c>
      <c r="W21" s="88">
        <f t="shared" si="2"/>
        <v>80</v>
      </c>
      <c r="X21" s="88">
        <v>74</v>
      </c>
      <c r="Y21" s="88">
        <f t="shared" si="3"/>
        <v>27.642857142857142</v>
      </c>
      <c r="Z21" s="89">
        <f t="shared" si="4"/>
        <v>7.3000000000000007</v>
      </c>
      <c r="AA21" s="89">
        <f t="shared" si="5"/>
        <v>28</v>
      </c>
      <c r="AB21" s="88">
        <f t="shared" si="6"/>
        <v>18.5</v>
      </c>
      <c r="AC21" s="88">
        <f t="shared" si="7"/>
        <v>81.44285714285715</v>
      </c>
      <c r="AD21" s="90" t="e">
        <f t="shared" si="8"/>
        <v>#N/A</v>
      </c>
      <c r="AE21" s="90" t="str">
        <f t="shared" si="9"/>
        <v>F</v>
      </c>
      <c r="AF21" s="90" t="str">
        <f t="shared" si="10"/>
        <v>B</v>
      </c>
      <c r="AG21" s="4" t="str">
        <f t="shared" si="11"/>
        <v>Pass</v>
      </c>
      <c r="AI21" s="4">
        <v>0</v>
      </c>
      <c r="AJ21" s="4" t="s">
        <v>244</v>
      </c>
    </row>
    <row r="22" spans="1:36" x14ac:dyDescent="0.25">
      <c r="A22" s="4" t="s">
        <v>270</v>
      </c>
      <c r="B22" s="4">
        <v>90</v>
      </c>
      <c r="C22" s="4">
        <v>85</v>
      </c>
      <c r="D22" s="4">
        <v>90</v>
      </c>
      <c r="E22" s="4">
        <v>75</v>
      </c>
      <c r="F22" s="4">
        <v>85</v>
      </c>
      <c r="G22" s="4">
        <v>90</v>
      </c>
      <c r="H22" s="4">
        <v>90</v>
      </c>
      <c r="I22" s="87">
        <f t="shared" si="0"/>
        <v>86.428571428571431</v>
      </c>
      <c r="J22" s="4">
        <v>8</v>
      </c>
      <c r="K22" s="4">
        <v>9</v>
      </c>
      <c r="L22" s="4">
        <v>7</v>
      </c>
      <c r="M22" s="4">
        <v>10</v>
      </c>
      <c r="N22" s="4">
        <v>10</v>
      </c>
      <c r="O22" s="4">
        <v>8</v>
      </c>
      <c r="P22" s="4">
        <v>10</v>
      </c>
      <c r="Q22" s="4">
        <v>8</v>
      </c>
      <c r="R22" s="4">
        <v>9</v>
      </c>
      <c r="S22" s="4">
        <v>7</v>
      </c>
      <c r="T22" s="88">
        <f t="shared" si="1"/>
        <v>86</v>
      </c>
      <c r="U22" s="4">
        <v>82</v>
      </c>
      <c r="V22" s="4">
        <v>76</v>
      </c>
      <c r="W22" s="88">
        <f t="shared" si="2"/>
        <v>79</v>
      </c>
      <c r="X22" s="88">
        <v>86</v>
      </c>
      <c r="Y22" s="88">
        <f t="shared" si="3"/>
        <v>25.928571428571427</v>
      </c>
      <c r="Z22" s="89">
        <f t="shared" si="4"/>
        <v>8.6</v>
      </c>
      <c r="AA22" s="89">
        <f t="shared" si="5"/>
        <v>27.65</v>
      </c>
      <c r="AB22" s="88">
        <f t="shared" si="6"/>
        <v>21.5</v>
      </c>
      <c r="AC22" s="88">
        <f t="shared" si="7"/>
        <v>83.678571428571416</v>
      </c>
      <c r="AD22" s="90" t="e">
        <f t="shared" si="8"/>
        <v>#N/A</v>
      </c>
      <c r="AE22" s="90" t="str">
        <f t="shared" si="9"/>
        <v>F</v>
      </c>
      <c r="AF22" s="90" t="str">
        <f t="shared" si="10"/>
        <v>B</v>
      </c>
      <c r="AG22" s="4" t="str">
        <f t="shared" si="11"/>
        <v>Pass</v>
      </c>
      <c r="AI22" s="4">
        <v>70</v>
      </c>
      <c r="AJ22" s="4" t="s">
        <v>257</v>
      </c>
    </row>
    <row r="23" spans="1:36" x14ac:dyDescent="0.25">
      <c r="A23" s="4" t="s">
        <v>271</v>
      </c>
      <c r="B23" s="4">
        <v>75</v>
      </c>
      <c r="C23" s="4">
        <v>60</v>
      </c>
      <c r="D23" s="4">
        <v>85</v>
      </c>
      <c r="E23" s="4">
        <v>70</v>
      </c>
      <c r="F23" s="4">
        <v>80</v>
      </c>
      <c r="G23" s="4">
        <v>75</v>
      </c>
      <c r="H23" s="4">
        <v>70</v>
      </c>
      <c r="I23" s="87">
        <f t="shared" si="0"/>
        <v>73.571428571428569</v>
      </c>
      <c r="J23" s="4">
        <v>10</v>
      </c>
      <c r="K23" s="4">
        <v>8</v>
      </c>
      <c r="L23" s="4">
        <v>6</v>
      </c>
      <c r="M23" s="4">
        <v>8</v>
      </c>
      <c r="N23" s="4">
        <v>7</v>
      </c>
      <c r="O23" s="4">
        <v>7</v>
      </c>
      <c r="P23" s="4">
        <v>4</v>
      </c>
      <c r="Q23" s="4">
        <v>0</v>
      </c>
      <c r="R23" s="4">
        <v>5</v>
      </c>
      <c r="S23" s="4">
        <v>7</v>
      </c>
      <c r="T23" s="88">
        <f t="shared" si="1"/>
        <v>62</v>
      </c>
      <c r="U23" s="4">
        <v>50</v>
      </c>
      <c r="V23" s="4">
        <v>64</v>
      </c>
      <c r="W23" s="88">
        <f t="shared" si="2"/>
        <v>57</v>
      </c>
      <c r="X23" s="88">
        <v>68</v>
      </c>
      <c r="Y23" s="88">
        <f t="shared" si="3"/>
        <v>22.071428571428569</v>
      </c>
      <c r="Z23" s="89">
        <f t="shared" si="4"/>
        <v>6.2</v>
      </c>
      <c r="AA23" s="89">
        <f t="shared" si="5"/>
        <v>19.95</v>
      </c>
      <c r="AB23" s="88">
        <f t="shared" si="6"/>
        <v>17</v>
      </c>
      <c r="AC23" s="88">
        <f t="shared" si="7"/>
        <v>65.221428571428561</v>
      </c>
      <c r="AD23" s="90" t="e">
        <f t="shared" si="8"/>
        <v>#N/A</v>
      </c>
      <c r="AE23" s="90" t="e">
        <f t="shared" si="9"/>
        <v>#N/A</v>
      </c>
      <c r="AF23" s="90" t="str">
        <f t="shared" si="10"/>
        <v>F</v>
      </c>
      <c r="AG23" s="4" t="str">
        <f t="shared" si="11"/>
        <v>Fail</v>
      </c>
      <c r="AI23" s="4">
        <v>80</v>
      </c>
      <c r="AJ23" s="4" t="s">
        <v>254</v>
      </c>
    </row>
    <row r="24" spans="1:36" x14ac:dyDescent="0.25">
      <c r="A24" s="4" t="s">
        <v>272</v>
      </c>
      <c r="B24" s="4">
        <v>85</v>
      </c>
      <c r="C24" s="4">
        <v>70</v>
      </c>
      <c r="D24" s="4">
        <v>70</v>
      </c>
      <c r="E24" s="4">
        <v>75</v>
      </c>
      <c r="F24" s="4">
        <v>80</v>
      </c>
      <c r="G24" s="4">
        <v>75</v>
      </c>
      <c r="H24" s="4">
        <v>0</v>
      </c>
      <c r="I24" s="87">
        <f t="shared" si="0"/>
        <v>65</v>
      </c>
      <c r="J24" s="4">
        <v>6</v>
      </c>
      <c r="K24" s="4">
        <v>0</v>
      </c>
      <c r="L24" s="4">
        <v>8</v>
      </c>
      <c r="M24" s="4">
        <v>8</v>
      </c>
      <c r="N24" s="4">
        <v>7</v>
      </c>
      <c r="O24" s="4">
        <v>8</v>
      </c>
      <c r="P24" s="4">
        <v>0</v>
      </c>
      <c r="Q24" s="4">
        <v>6</v>
      </c>
      <c r="R24" s="4">
        <v>5</v>
      </c>
      <c r="S24" s="4">
        <v>8</v>
      </c>
      <c r="T24" s="88">
        <f t="shared" si="1"/>
        <v>56</v>
      </c>
      <c r="U24" s="4">
        <v>54</v>
      </c>
      <c r="V24" s="4">
        <v>50</v>
      </c>
      <c r="W24" s="88">
        <f t="shared" si="2"/>
        <v>52</v>
      </c>
      <c r="X24" s="88">
        <v>48</v>
      </c>
      <c r="Y24" s="88">
        <f t="shared" si="3"/>
        <v>19.5</v>
      </c>
      <c r="Z24" s="89">
        <f t="shared" si="4"/>
        <v>5.6000000000000005</v>
      </c>
      <c r="AA24" s="89">
        <f t="shared" si="5"/>
        <v>18.2</v>
      </c>
      <c r="AB24" s="88">
        <f t="shared" si="6"/>
        <v>12</v>
      </c>
      <c r="AC24" s="88">
        <f t="shared" si="7"/>
        <v>55.3</v>
      </c>
      <c r="AD24" s="90" t="e">
        <f t="shared" si="8"/>
        <v>#N/A</v>
      </c>
      <c r="AE24" s="90" t="e">
        <f t="shared" si="9"/>
        <v>#N/A</v>
      </c>
      <c r="AF24" s="90" t="str">
        <f t="shared" si="10"/>
        <v>F</v>
      </c>
      <c r="AG24" s="4" t="str">
        <f t="shared" si="11"/>
        <v>Fail</v>
      </c>
      <c r="AI24" s="4">
        <v>90</v>
      </c>
      <c r="AJ24" s="4" t="s">
        <v>241</v>
      </c>
    </row>
    <row r="25" spans="1:36" x14ac:dyDescent="0.25">
      <c r="A25" s="4" t="s">
        <v>273</v>
      </c>
      <c r="B25" s="4">
        <v>85</v>
      </c>
      <c r="C25" s="4">
        <v>75</v>
      </c>
      <c r="D25" s="4">
        <v>70</v>
      </c>
      <c r="E25" s="4">
        <v>60</v>
      </c>
      <c r="F25" s="4">
        <v>80</v>
      </c>
      <c r="G25" s="4">
        <v>70</v>
      </c>
      <c r="H25" s="4">
        <v>85</v>
      </c>
      <c r="I25" s="87">
        <f t="shared" si="0"/>
        <v>75</v>
      </c>
      <c r="J25" s="4">
        <v>0</v>
      </c>
      <c r="K25" s="4">
        <v>5</v>
      </c>
      <c r="L25" s="4">
        <v>8</v>
      </c>
      <c r="M25" s="4">
        <v>10</v>
      </c>
      <c r="N25" s="4">
        <v>8</v>
      </c>
      <c r="O25" s="4">
        <v>8</v>
      </c>
      <c r="P25" s="4">
        <v>8</v>
      </c>
      <c r="Q25" s="4">
        <v>7</v>
      </c>
      <c r="R25" s="4">
        <v>8</v>
      </c>
      <c r="S25" s="4">
        <v>7</v>
      </c>
      <c r="T25" s="88">
        <f t="shared" si="1"/>
        <v>69</v>
      </c>
      <c r="U25" s="4">
        <v>68</v>
      </c>
      <c r="V25" s="4">
        <v>62</v>
      </c>
      <c r="W25" s="88">
        <f t="shared" si="2"/>
        <v>65</v>
      </c>
      <c r="X25" s="88">
        <v>74</v>
      </c>
      <c r="Y25" s="88">
        <f t="shared" si="3"/>
        <v>22.5</v>
      </c>
      <c r="Z25" s="89">
        <f t="shared" si="4"/>
        <v>6.9</v>
      </c>
      <c r="AA25" s="89">
        <f t="shared" si="5"/>
        <v>22.75</v>
      </c>
      <c r="AB25" s="88">
        <f t="shared" si="6"/>
        <v>18.5</v>
      </c>
      <c r="AC25" s="88">
        <f t="shared" si="7"/>
        <v>70.650000000000006</v>
      </c>
      <c r="AD25" s="90" t="e">
        <f t="shared" si="8"/>
        <v>#N/A</v>
      </c>
      <c r="AE25" s="90" t="e">
        <f t="shared" si="9"/>
        <v>#N/A</v>
      </c>
      <c r="AF25" s="90" t="str">
        <f t="shared" si="10"/>
        <v>C</v>
      </c>
      <c r="AG25" s="4" t="str">
        <f t="shared" si="11"/>
        <v>Pass</v>
      </c>
    </row>
    <row r="26" spans="1:36" x14ac:dyDescent="0.25">
      <c r="A26" s="4" t="s">
        <v>274</v>
      </c>
      <c r="B26" s="4">
        <v>80</v>
      </c>
      <c r="C26" s="4">
        <v>100</v>
      </c>
      <c r="D26" s="4">
        <v>95</v>
      </c>
      <c r="E26" s="4">
        <v>95</v>
      </c>
      <c r="F26" s="4">
        <v>90</v>
      </c>
      <c r="G26" s="4">
        <v>85</v>
      </c>
      <c r="H26" s="4">
        <v>95</v>
      </c>
      <c r="I26" s="87">
        <f t="shared" si="0"/>
        <v>91.428571428571431</v>
      </c>
      <c r="J26" s="4">
        <v>10</v>
      </c>
      <c r="K26" s="4">
        <v>10</v>
      </c>
      <c r="L26" s="4">
        <v>9</v>
      </c>
      <c r="M26" s="4">
        <v>9</v>
      </c>
      <c r="N26" s="4">
        <v>10</v>
      </c>
      <c r="O26" s="4">
        <v>9</v>
      </c>
      <c r="P26" s="4">
        <v>10</v>
      </c>
      <c r="Q26" s="4">
        <v>9</v>
      </c>
      <c r="R26" s="4">
        <v>9</v>
      </c>
      <c r="S26" s="4">
        <v>10</v>
      </c>
      <c r="T26" s="88">
        <f t="shared" si="1"/>
        <v>95</v>
      </c>
      <c r="U26" s="4">
        <v>98</v>
      </c>
      <c r="V26" s="4">
        <v>96</v>
      </c>
      <c r="W26" s="88">
        <f t="shared" si="2"/>
        <v>97</v>
      </c>
      <c r="X26" s="88">
        <v>100</v>
      </c>
      <c r="Y26" s="88">
        <f t="shared" si="3"/>
        <v>27.428571428571427</v>
      </c>
      <c r="Z26" s="89">
        <f t="shared" si="4"/>
        <v>9.5</v>
      </c>
      <c r="AA26" s="89">
        <f t="shared" si="5"/>
        <v>33.949999999999996</v>
      </c>
      <c r="AB26" s="88">
        <f t="shared" si="6"/>
        <v>25</v>
      </c>
      <c r="AC26" s="88">
        <f t="shared" si="7"/>
        <v>95.878571428571433</v>
      </c>
      <c r="AD26" s="90" t="e">
        <f t="shared" si="8"/>
        <v>#N/A</v>
      </c>
      <c r="AE26" s="90" t="str">
        <f t="shared" si="9"/>
        <v>F</v>
      </c>
      <c r="AF26" s="90" t="str">
        <f t="shared" si="10"/>
        <v>A</v>
      </c>
      <c r="AG26" s="4" t="str">
        <f t="shared" si="11"/>
        <v>Pass</v>
      </c>
    </row>
    <row r="27" spans="1:36" x14ac:dyDescent="0.25">
      <c r="A27" s="4" t="s">
        <v>275</v>
      </c>
      <c r="B27" s="4">
        <v>75</v>
      </c>
      <c r="C27" s="4">
        <v>80</v>
      </c>
      <c r="D27" s="4">
        <v>80</v>
      </c>
      <c r="E27" s="4">
        <v>85</v>
      </c>
      <c r="F27" s="4">
        <v>75</v>
      </c>
      <c r="G27" s="4">
        <v>80</v>
      </c>
      <c r="H27" s="4">
        <v>80</v>
      </c>
      <c r="I27" s="87">
        <f t="shared" si="0"/>
        <v>79.285714285714292</v>
      </c>
      <c r="J27" s="4">
        <v>9</v>
      </c>
      <c r="K27" s="4">
        <v>8</v>
      </c>
      <c r="L27" s="4">
        <v>9</v>
      </c>
      <c r="M27" s="4">
        <v>10</v>
      </c>
      <c r="N27" s="4">
        <v>8</v>
      </c>
      <c r="O27" s="4">
        <v>8</v>
      </c>
      <c r="P27" s="4">
        <v>8</v>
      </c>
      <c r="Q27" s="4">
        <v>7</v>
      </c>
      <c r="R27" s="4">
        <v>8</v>
      </c>
      <c r="S27" s="4">
        <v>7</v>
      </c>
      <c r="T27" s="88">
        <f t="shared" si="1"/>
        <v>82</v>
      </c>
      <c r="U27" s="4">
        <v>86</v>
      </c>
      <c r="V27" s="4">
        <v>90</v>
      </c>
      <c r="W27" s="88">
        <f t="shared" si="2"/>
        <v>88</v>
      </c>
      <c r="X27" s="88">
        <v>94</v>
      </c>
      <c r="Y27" s="88">
        <f t="shared" si="3"/>
        <v>23.785714285714288</v>
      </c>
      <c r="Z27" s="89">
        <f t="shared" si="4"/>
        <v>8.2000000000000011</v>
      </c>
      <c r="AA27" s="89">
        <f t="shared" si="5"/>
        <v>30.799999999999997</v>
      </c>
      <c r="AB27" s="88">
        <f t="shared" si="6"/>
        <v>23.5</v>
      </c>
      <c r="AC27" s="88">
        <f t="shared" si="7"/>
        <v>86.285714285714278</v>
      </c>
      <c r="AD27" s="90" t="e">
        <f t="shared" si="8"/>
        <v>#N/A</v>
      </c>
      <c r="AE27" s="90" t="str">
        <f t="shared" si="9"/>
        <v>F</v>
      </c>
      <c r="AF27" s="90" t="str">
        <f t="shared" si="10"/>
        <v>B</v>
      </c>
      <c r="AG27" s="4" t="str">
        <f t="shared" si="11"/>
        <v>Pass</v>
      </c>
    </row>
    <row r="28" spans="1:36" x14ac:dyDescent="0.25">
      <c r="A28" s="4" t="s">
        <v>276</v>
      </c>
      <c r="B28" s="4">
        <v>55</v>
      </c>
      <c r="C28" s="4">
        <v>70</v>
      </c>
      <c r="D28" s="4">
        <v>75</v>
      </c>
      <c r="E28" s="4">
        <v>75</v>
      </c>
      <c r="F28" s="4">
        <v>70</v>
      </c>
      <c r="G28" s="4">
        <v>80</v>
      </c>
      <c r="H28" s="4">
        <v>0</v>
      </c>
      <c r="I28" s="87">
        <f t="shared" si="0"/>
        <v>60.714285714285715</v>
      </c>
      <c r="J28" s="4">
        <v>0</v>
      </c>
      <c r="K28" s="4">
        <v>5</v>
      </c>
      <c r="L28" s="4">
        <v>8</v>
      </c>
      <c r="M28" s="4">
        <v>8</v>
      </c>
      <c r="N28" s="4">
        <v>9</v>
      </c>
      <c r="O28" s="4">
        <v>8</v>
      </c>
      <c r="P28" s="4">
        <v>9</v>
      </c>
      <c r="Q28" s="4">
        <v>6</v>
      </c>
      <c r="R28" s="4">
        <v>7</v>
      </c>
      <c r="S28" s="4">
        <v>7</v>
      </c>
      <c r="T28" s="88">
        <f t="shared" si="1"/>
        <v>67</v>
      </c>
      <c r="U28" s="4">
        <v>78</v>
      </c>
      <c r="V28" s="4">
        <v>74</v>
      </c>
      <c r="W28" s="88">
        <f t="shared" si="2"/>
        <v>76</v>
      </c>
      <c r="X28" s="88">
        <v>74</v>
      </c>
      <c r="Y28" s="88">
        <f t="shared" si="3"/>
        <v>18.214285714285715</v>
      </c>
      <c r="Z28" s="89">
        <f t="shared" si="4"/>
        <v>6.7</v>
      </c>
      <c r="AA28" s="89">
        <f t="shared" si="5"/>
        <v>26.599999999999998</v>
      </c>
      <c r="AB28" s="88">
        <f t="shared" si="6"/>
        <v>18.5</v>
      </c>
      <c r="AC28" s="88">
        <f t="shared" si="7"/>
        <v>70.014285714285705</v>
      </c>
      <c r="AD28" s="90" t="e">
        <f t="shared" si="8"/>
        <v>#N/A</v>
      </c>
      <c r="AE28" s="90" t="e">
        <f t="shared" si="9"/>
        <v>#N/A</v>
      </c>
      <c r="AF28" s="90" t="str">
        <f t="shared" si="10"/>
        <v>C</v>
      </c>
      <c r="AG28" s="4" t="str">
        <f t="shared" si="11"/>
        <v>Pass</v>
      </c>
    </row>
    <row r="29" spans="1:36" x14ac:dyDescent="0.25">
      <c r="A29" s="4" t="s">
        <v>277</v>
      </c>
      <c r="B29" s="4">
        <v>100</v>
      </c>
      <c r="C29" s="4">
        <v>95</v>
      </c>
      <c r="D29" s="4">
        <v>95</v>
      </c>
      <c r="E29" s="4">
        <v>100</v>
      </c>
      <c r="F29" s="4">
        <v>90</v>
      </c>
      <c r="G29" s="4">
        <v>100</v>
      </c>
      <c r="H29" s="4">
        <v>80</v>
      </c>
      <c r="I29" s="87">
        <f t="shared" si="0"/>
        <v>94.285714285714292</v>
      </c>
      <c r="J29" s="4">
        <v>10</v>
      </c>
      <c r="K29" s="4">
        <v>10</v>
      </c>
      <c r="L29" s="4">
        <v>10</v>
      </c>
      <c r="M29" s="4">
        <v>10</v>
      </c>
      <c r="N29" s="4">
        <v>10</v>
      </c>
      <c r="O29" s="4">
        <v>10</v>
      </c>
      <c r="P29" s="4">
        <v>10</v>
      </c>
      <c r="Q29" s="4">
        <v>10</v>
      </c>
      <c r="R29" s="4">
        <v>10</v>
      </c>
      <c r="S29" s="4">
        <v>10</v>
      </c>
      <c r="T29" s="88">
        <f t="shared" si="1"/>
        <v>100</v>
      </c>
      <c r="U29" s="4">
        <v>96</v>
      </c>
      <c r="V29" s="4">
        <v>100</v>
      </c>
      <c r="W29" s="88">
        <f t="shared" si="2"/>
        <v>98</v>
      </c>
      <c r="X29" s="88">
        <v>100</v>
      </c>
      <c r="Y29" s="88">
        <f t="shared" si="3"/>
        <v>28.285714285714288</v>
      </c>
      <c r="Z29" s="89">
        <f t="shared" si="4"/>
        <v>10</v>
      </c>
      <c r="AA29" s="89">
        <f t="shared" si="5"/>
        <v>34.299999999999997</v>
      </c>
      <c r="AB29" s="88">
        <f t="shared" si="6"/>
        <v>25</v>
      </c>
      <c r="AC29" s="88">
        <f t="shared" si="7"/>
        <v>97.585714285714289</v>
      </c>
      <c r="AD29" s="90" t="e">
        <f t="shared" si="8"/>
        <v>#N/A</v>
      </c>
      <c r="AE29" s="90" t="str">
        <f t="shared" si="9"/>
        <v>F</v>
      </c>
      <c r="AF29" s="90" t="str">
        <f t="shared" si="10"/>
        <v>A</v>
      </c>
      <c r="AG29" s="4" t="str">
        <f t="shared" si="11"/>
        <v>Pass</v>
      </c>
    </row>
    <row r="30" spans="1:36" x14ac:dyDescent="0.25">
      <c r="A30" s="4" t="s">
        <v>278</v>
      </c>
      <c r="B30" s="4">
        <v>80</v>
      </c>
      <c r="C30" s="4">
        <v>75</v>
      </c>
      <c r="D30" s="4">
        <v>85</v>
      </c>
      <c r="E30" s="4">
        <v>55</v>
      </c>
      <c r="F30" s="4">
        <v>70</v>
      </c>
      <c r="G30" s="4">
        <v>74</v>
      </c>
      <c r="H30" s="4">
        <v>76</v>
      </c>
      <c r="I30" s="87">
        <f t="shared" si="0"/>
        <v>73.571428571428569</v>
      </c>
      <c r="J30" s="4">
        <v>8</v>
      </c>
      <c r="K30" s="4">
        <v>0</v>
      </c>
      <c r="L30" s="4">
        <v>7</v>
      </c>
      <c r="M30" s="4">
        <v>8</v>
      </c>
      <c r="N30" s="4">
        <v>8</v>
      </c>
      <c r="O30" s="4">
        <v>9</v>
      </c>
      <c r="P30" s="4">
        <v>8</v>
      </c>
      <c r="Q30" s="4">
        <v>8</v>
      </c>
      <c r="R30" s="4">
        <v>9</v>
      </c>
      <c r="S30" s="4">
        <v>8</v>
      </c>
      <c r="T30" s="88">
        <f t="shared" si="1"/>
        <v>73</v>
      </c>
      <c r="U30" s="4">
        <v>74</v>
      </c>
      <c r="V30" s="4">
        <v>68</v>
      </c>
      <c r="W30" s="88">
        <f t="shared" si="2"/>
        <v>71</v>
      </c>
      <c r="X30" s="88">
        <v>64</v>
      </c>
      <c r="Y30" s="88">
        <f t="shared" si="3"/>
        <v>22.071428571428569</v>
      </c>
      <c r="Z30" s="89">
        <f t="shared" si="4"/>
        <v>7.3000000000000007</v>
      </c>
      <c r="AA30" s="89">
        <f t="shared" si="5"/>
        <v>24.849999999999998</v>
      </c>
      <c r="AB30" s="88">
        <f t="shared" si="6"/>
        <v>16</v>
      </c>
      <c r="AC30" s="88">
        <f t="shared" si="7"/>
        <v>70.221428571428561</v>
      </c>
      <c r="AD30" s="90" t="e">
        <f t="shared" si="8"/>
        <v>#N/A</v>
      </c>
      <c r="AE30" s="90" t="e">
        <f t="shared" si="9"/>
        <v>#N/A</v>
      </c>
      <c r="AF30" s="90" t="str">
        <f t="shared" si="10"/>
        <v>C</v>
      </c>
      <c r="AG30" s="4" t="str">
        <f t="shared" si="11"/>
        <v>Pass</v>
      </c>
    </row>
    <row r="31" spans="1:36" x14ac:dyDescent="0.25">
      <c r="I31" s="91"/>
    </row>
    <row r="32" spans="1:36" x14ac:dyDescent="0.25">
      <c r="A32" s="83" t="s">
        <v>279</v>
      </c>
      <c r="I32" s="91"/>
    </row>
    <row r="33" spans="1:2" x14ac:dyDescent="0.25">
      <c r="A33" s="4" t="s">
        <v>146</v>
      </c>
    </row>
    <row r="34" spans="1:2" x14ac:dyDescent="0.25">
      <c r="A34" s="4" t="s">
        <v>280</v>
      </c>
    </row>
    <row r="35" spans="1:2" x14ac:dyDescent="0.25">
      <c r="A35" s="4" t="s">
        <v>281</v>
      </c>
    </row>
    <row r="36" spans="1:2" x14ac:dyDescent="0.25">
      <c r="A36" s="4" t="s">
        <v>282</v>
      </c>
    </row>
    <row r="39" spans="1:2" x14ac:dyDescent="0.25">
      <c r="A39" s="83" t="s">
        <v>283</v>
      </c>
      <c r="B39" s="83" t="s">
        <v>284</v>
      </c>
    </row>
    <row r="40" spans="1:2" x14ac:dyDescent="0.25">
      <c r="A40" s="4" t="s">
        <v>285</v>
      </c>
      <c r="B40" s="92">
        <v>0.3</v>
      </c>
    </row>
    <row r="41" spans="1:2" x14ac:dyDescent="0.25">
      <c r="A41" s="4" t="s">
        <v>286</v>
      </c>
      <c r="B41" s="92">
        <v>0.1</v>
      </c>
    </row>
    <row r="42" spans="1:2" x14ac:dyDescent="0.25">
      <c r="A42" s="4" t="s">
        <v>287</v>
      </c>
      <c r="B42" s="92">
        <v>0.35</v>
      </c>
    </row>
    <row r="43" spans="1:2" x14ac:dyDescent="0.25">
      <c r="A43" s="4" t="s">
        <v>288</v>
      </c>
      <c r="B43" s="92">
        <v>0.25</v>
      </c>
    </row>
  </sheetData>
  <mergeCells count="1">
    <mergeCell ref="A1:AG1"/>
  </mergeCells>
  <pageMargins left="0.2" right="0.2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zoomScale="96" zoomScaleNormal="96" zoomScalePageLayoutView="1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8" sqref="A28"/>
    </sheetView>
  </sheetViews>
  <sheetFormatPr defaultColWidth="8.85546875" defaultRowHeight="15" x14ac:dyDescent="0.25"/>
  <cols>
    <col min="1" max="1" width="31.7109375" style="4" customWidth="1"/>
    <col min="2" max="2" width="32.7109375" style="4" customWidth="1"/>
    <col min="3" max="3" width="50.42578125" style="4" customWidth="1"/>
    <col min="4" max="4" width="7.28515625" style="4" bestFit="1" customWidth="1"/>
    <col min="5" max="5" width="9.140625" style="4" customWidth="1"/>
    <col min="6" max="6" width="11" style="4" customWidth="1"/>
    <col min="7" max="7" width="12" style="4" customWidth="1"/>
    <col min="8" max="8" width="13.7109375" style="4" customWidth="1"/>
    <col min="9" max="9" width="11" style="4" customWidth="1"/>
    <col min="10" max="10" width="12" style="4" customWidth="1"/>
    <col min="11" max="12" width="13.7109375" style="4" customWidth="1"/>
    <col min="13" max="16384" width="8.85546875" style="4"/>
  </cols>
  <sheetData>
    <row r="1" spans="1:12" x14ac:dyDescent="0.25">
      <c r="D1" s="5"/>
      <c r="E1" s="5"/>
      <c r="G1" s="4" t="s">
        <v>0</v>
      </c>
      <c r="J1" s="6">
        <v>1.25</v>
      </c>
    </row>
    <row r="2" spans="1:12" x14ac:dyDescent="0.25">
      <c r="D2" s="5"/>
      <c r="E2" s="5"/>
      <c r="G2" s="4" t="s">
        <v>1</v>
      </c>
      <c r="J2" s="6">
        <v>0.1</v>
      </c>
    </row>
    <row r="3" spans="1:12" x14ac:dyDescent="0.25">
      <c r="D3" s="5"/>
      <c r="E3" s="5"/>
      <c r="J3" s="6"/>
    </row>
    <row r="4" spans="1:12" ht="30" x14ac:dyDescent="0.25">
      <c r="A4" s="9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</row>
    <row r="5" spans="1:12" x14ac:dyDescent="0.25">
      <c r="A5" s="4" t="s">
        <v>14</v>
      </c>
      <c r="B5" s="4" t="s">
        <v>15</v>
      </c>
      <c r="C5" s="4" t="s">
        <v>16</v>
      </c>
      <c r="D5" s="5">
        <v>6</v>
      </c>
      <c r="E5" s="5">
        <v>2015</v>
      </c>
      <c r="F5" s="7">
        <v>16750</v>
      </c>
      <c r="G5" s="8">
        <v>164</v>
      </c>
      <c r="H5" s="13">
        <f t="shared" ref="H5:H50" si="0">F5*G5</f>
        <v>2747000</v>
      </c>
      <c r="I5" s="7">
        <v>93</v>
      </c>
      <c r="J5" s="8">
        <f t="shared" ref="J5:J50" si="1">ROUND(G5*RetailRate,0)</f>
        <v>205</v>
      </c>
      <c r="K5" s="13">
        <f t="shared" ref="K5:K50" si="2">I5*J5</f>
        <v>19065</v>
      </c>
      <c r="L5" s="12">
        <f t="shared" ref="L5:L50" si="3">H5+K5</f>
        <v>2766065</v>
      </c>
    </row>
    <row r="6" spans="1:12" x14ac:dyDescent="0.25">
      <c r="A6" s="4" t="s">
        <v>14</v>
      </c>
      <c r="B6" s="4" t="s">
        <v>17</v>
      </c>
      <c r="C6" s="4" t="s">
        <v>18</v>
      </c>
      <c r="D6" s="5">
        <v>8</v>
      </c>
      <c r="E6" s="5">
        <v>2015</v>
      </c>
      <c r="F6" s="7">
        <v>12345</v>
      </c>
      <c r="G6" s="8">
        <v>88</v>
      </c>
      <c r="H6" s="13">
        <f t="shared" si="0"/>
        <v>1086360</v>
      </c>
      <c r="I6" s="7">
        <v>240</v>
      </c>
      <c r="J6" s="8">
        <f t="shared" si="1"/>
        <v>110</v>
      </c>
      <c r="K6" s="13">
        <f t="shared" si="2"/>
        <v>26400</v>
      </c>
      <c r="L6" s="12">
        <f t="shared" si="3"/>
        <v>1112760</v>
      </c>
    </row>
    <row r="7" spans="1:12" x14ac:dyDescent="0.25">
      <c r="A7" s="4" t="s">
        <v>19</v>
      </c>
      <c r="B7" s="4" t="s">
        <v>20</v>
      </c>
      <c r="C7" s="4" t="s">
        <v>21</v>
      </c>
      <c r="D7" s="5">
        <v>4</v>
      </c>
      <c r="E7" s="5">
        <v>2017</v>
      </c>
      <c r="F7" s="7">
        <v>7500</v>
      </c>
      <c r="G7" s="8">
        <v>212</v>
      </c>
      <c r="H7" s="13">
        <f t="shared" si="0"/>
        <v>1590000</v>
      </c>
      <c r="I7" s="7">
        <v>100</v>
      </c>
      <c r="J7" s="8">
        <f t="shared" si="1"/>
        <v>265</v>
      </c>
      <c r="K7" s="13">
        <f t="shared" si="2"/>
        <v>26500</v>
      </c>
      <c r="L7" s="12">
        <f t="shared" si="3"/>
        <v>1616500</v>
      </c>
    </row>
    <row r="8" spans="1:12" x14ac:dyDescent="0.25">
      <c r="A8" s="4" t="s">
        <v>19</v>
      </c>
      <c r="B8" s="4" t="s">
        <v>20</v>
      </c>
      <c r="C8" s="4" t="s">
        <v>22</v>
      </c>
      <c r="D8" s="5">
        <v>1</v>
      </c>
      <c r="E8" s="5">
        <v>2016</v>
      </c>
      <c r="F8" s="7">
        <v>14300</v>
      </c>
      <c r="G8" s="8">
        <v>185</v>
      </c>
      <c r="H8" s="13">
        <f t="shared" si="0"/>
        <v>2645500</v>
      </c>
      <c r="I8" s="7">
        <v>1000</v>
      </c>
      <c r="J8" s="8">
        <f t="shared" si="1"/>
        <v>231</v>
      </c>
      <c r="K8" s="13">
        <f t="shared" si="2"/>
        <v>231000</v>
      </c>
      <c r="L8" s="12">
        <f t="shared" si="3"/>
        <v>2876500</v>
      </c>
    </row>
    <row r="9" spans="1:12" x14ac:dyDescent="0.25">
      <c r="A9" s="4" t="s">
        <v>14</v>
      </c>
      <c r="B9" s="4" t="s">
        <v>23</v>
      </c>
      <c r="C9" s="4" t="s">
        <v>24</v>
      </c>
      <c r="D9" s="5">
        <v>13</v>
      </c>
      <c r="E9" s="5">
        <v>2017</v>
      </c>
      <c r="F9" s="7">
        <v>12400</v>
      </c>
      <c r="G9" s="8">
        <v>194</v>
      </c>
      <c r="H9" s="13">
        <f t="shared" si="0"/>
        <v>2405600</v>
      </c>
      <c r="I9" s="7">
        <v>100</v>
      </c>
      <c r="J9" s="8">
        <f t="shared" si="1"/>
        <v>243</v>
      </c>
      <c r="K9" s="13">
        <f t="shared" si="2"/>
        <v>24300</v>
      </c>
      <c r="L9" s="12">
        <f t="shared" si="3"/>
        <v>2429900</v>
      </c>
    </row>
    <row r="10" spans="1:12" x14ac:dyDescent="0.25">
      <c r="A10" s="4" t="s">
        <v>25</v>
      </c>
      <c r="B10" s="4" t="s">
        <v>26</v>
      </c>
      <c r="C10" s="4" t="s">
        <v>27</v>
      </c>
      <c r="D10" s="5">
        <v>4</v>
      </c>
      <c r="E10" s="5">
        <v>2017</v>
      </c>
      <c r="F10" s="7">
        <v>25750</v>
      </c>
      <c r="G10" s="8">
        <v>208</v>
      </c>
      <c r="H10" s="13">
        <f t="shared" si="0"/>
        <v>5356000</v>
      </c>
      <c r="I10" s="7">
        <v>1234</v>
      </c>
      <c r="J10" s="8">
        <f t="shared" si="1"/>
        <v>260</v>
      </c>
      <c r="K10" s="13">
        <f t="shared" si="2"/>
        <v>320840</v>
      </c>
      <c r="L10" s="12">
        <f t="shared" si="3"/>
        <v>5676840</v>
      </c>
    </row>
    <row r="11" spans="1:12" x14ac:dyDescent="0.25">
      <c r="A11" s="4" t="s">
        <v>28</v>
      </c>
      <c r="B11" s="4" t="s">
        <v>29</v>
      </c>
      <c r="C11" s="4" t="s">
        <v>30</v>
      </c>
      <c r="D11" s="5">
        <v>10</v>
      </c>
      <c r="E11" s="5">
        <v>2014</v>
      </c>
      <c r="F11" s="7">
        <v>5575</v>
      </c>
      <c r="G11" s="8">
        <v>266</v>
      </c>
      <c r="H11" s="13">
        <f t="shared" si="0"/>
        <v>1482950</v>
      </c>
      <c r="I11" s="7">
        <v>32</v>
      </c>
      <c r="J11" s="8">
        <f t="shared" si="1"/>
        <v>333</v>
      </c>
      <c r="K11" s="13">
        <f t="shared" si="2"/>
        <v>10656</v>
      </c>
      <c r="L11" s="12">
        <f t="shared" si="3"/>
        <v>1493606</v>
      </c>
    </row>
    <row r="12" spans="1:12" x14ac:dyDescent="0.25">
      <c r="A12" s="4" t="s">
        <v>28</v>
      </c>
      <c r="B12" s="4" t="s">
        <v>31</v>
      </c>
      <c r="C12" s="4" t="s">
        <v>32</v>
      </c>
      <c r="D12" s="5">
        <v>6</v>
      </c>
      <c r="E12" s="5">
        <v>2017</v>
      </c>
      <c r="F12" s="7">
        <v>18500</v>
      </c>
      <c r="G12" s="8">
        <v>219</v>
      </c>
      <c r="H12" s="13">
        <f t="shared" si="0"/>
        <v>4051500</v>
      </c>
      <c r="I12" s="7">
        <v>245</v>
      </c>
      <c r="J12" s="8">
        <f t="shared" si="1"/>
        <v>274</v>
      </c>
      <c r="K12" s="13">
        <f t="shared" si="2"/>
        <v>67130</v>
      </c>
      <c r="L12" s="12">
        <f t="shared" si="3"/>
        <v>4118630</v>
      </c>
    </row>
    <row r="13" spans="1:12" x14ac:dyDescent="0.25">
      <c r="A13" s="4" t="s">
        <v>28</v>
      </c>
      <c r="B13" s="4" t="s">
        <v>29</v>
      </c>
      <c r="C13" s="4" t="s">
        <v>33</v>
      </c>
      <c r="D13" s="5">
        <v>11</v>
      </c>
      <c r="E13" s="5">
        <v>2017</v>
      </c>
      <c r="F13" s="7">
        <v>5893</v>
      </c>
      <c r="G13" s="8">
        <v>230</v>
      </c>
      <c r="H13" s="13">
        <f t="shared" si="0"/>
        <v>1355390</v>
      </c>
      <c r="I13" s="7">
        <v>93</v>
      </c>
      <c r="J13" s="8">
        <f t="shared" si="1"/>
        <v>288</v>
      </c>
      <c r="K13" s="13">
        <f t="shared" si="2"/>
        <v>26784</v>
      </c>
      <c r="L13" s="12">
        <f t="shared" si="3"/>
        <v>1382174</v>
      </c>
    </row>
    <row r="14" spans="1:12" x14ac:dyDescent="0.25">
      <c r="A14" s="4" t="s">
        <v>28</v>
      </c>
      <c r="B14" s="4" t="s">
        <v>29</v>
      </c>
      <c r="C14" s="4" t="s">
        <v>34</v>
      </c>
      <c r="D14" s="5">
        <v>5</v>
      </c>
      <c r="E14" s="5">
        <v>2014</v>
      </c>
      <c r="F14" s="7">
        <v>7503</v>
      </c>
      <c r="G14" s="8">
        <v>185</v>
      </c>
      <c r="H14" s="13">
        <f t="shared" si="0"/>
        <v>1388055</v>
      </c>
      <c r="I14" s="7">
        <v>29</v>
      </c>
      <c r="J14" s="8">
        <f t="shared" si="1"/>
        <v>231</v>
      </c>
      <c r="K14" s="13">
        <f t="shared" si="2"/>
        <v>6699</v>
      </c>
      <c r="L14" s="12">
        <f t="shared" si="3"/>
        <v>1394754</v>
      </c>
    </row>
    <row r="15" spans="1:12" x14ac:dyDescent="0.25">
      <c r="A15" s="4" t="s">
        <v>19</v>
      </c>
      <c r="B15" s="4" t="s">
        <v>35</v>
      </c>
      <c r="C15" s="4" t="s">
        <v>36</v>
      </c>
      <c r="D15" s="5">
        <v>5</v>
      </c>
      <c r="E15" s="5">
        <v>2017</v>
      </c>
      <c r="F15" s="7">
        <v>4500</v>
      </c>
      <c r="G15" s="8">
        <v>275</v>
      </c>
      <c r="H15" s="13">
        <f t="shared" si="0"/>
        <v>1237500</v>
      </c>
      <c r="I15" s="7">
        <v>312</v>
      </c>
      <c r="J15" s="8">
        <f t="shared" si="1"/>
        <v>344</v>
      </c>
      <c r="K15" s="13">
        <f t="shared" si="2"/>
        <v>107328</v>
      </c>
      <c r="L15" s="12">
        <f t="shared" si="3"/>
        <v>1344828</v>
      </c>
    </row>
    <row r="16" spans="1:12" x14ac:dyDescent="0.25">
      <c r="A16" s="4" t="s">
        <v>19</v>
      </c>
      <c r="B16" s="4" t="s">
        <v>20</v>
      </c>
      <c r="C16" s="4" t="s">
        <v>37</v>
      </c>
      <c r="D16" s="5">
        <v>8</v>
      </c>
      <c r="E16" s="5">
        <v>2017</v>
      </c>
      <c r="F16" s="7">
        <v>25000</v>
      </c>
      <c r="G16" s="8">
        <v>192</v>
      </c>
      <c r="H16" s="13">
        <f t="shared" si="0"/>
        <v>4800000</v>
      </c>
      <c r="I16" s="7">
        <v>123</v>
      </c>
      <c r="J16" s="8">
        <f t="shared" si="1"/>
        <v>240</v>
      </c>
      <c r="K16" s="13">
        <f t="shared" si="2"/>
        <v>29520</v>
      </c>
      <c r="L16" s="12">
        <f t="shared" si="3"/>
        <v>4829520</v>
      </c>
    </row>
    <row r="17" spans="1:12" x14ac:dyDescent="0.25">
      <c r="A17" s="4" t="s">
        <v>19</v>
      </c>
      <c r="B17" s="4" t="s">
        <v>38</v>
      </c>
      <c r="C17" s="4" t="s">
        <v>39</v>
      </c>
      <c r="D17" s="5">
        <v>2</v>
      </c>
      <c r="E17" s="5">
        <v>2016</v>
      </c>
      <c r="F17" s="7">
        <v>14398</v>
      </c>
      <c r="G17" s="8">
        <v>182</v>
      </c>
      <c r="H17" s="13">
        <f t="shared" si="0"/>
        <v>2620436</v>
      </c>
      <c r="I17" s="7">
        <v>212</v>
      </c>
      <c r="J17" s="8">
        <f t="shared" si="1"/>
        <v>228</v>
      </c>
      <c r="K17" s="13">
        <f t="shared" si="2"/>
        <v>48336</v>
      </c>
      <c r="L17" s="12">
        <f t="shared" si="3"/>
        <v>2668772</v>
      </c>
    </row>
    <row r="18" spans="1:12" x14ac:dyDescent="0.25">
      <c r="A18" s="4" t="s">
        <v>40</v>
      </c>
      <c r="B18" s="4" t="s">
        <v>41</v>
      </c>
      <c r="C18" s="4" t="s">
        <v>42</v>
      </c>
      <c r="D18" s="5">
        <v>12</v>
      </c>
      <c r="E18" s="5">
        <v>2017</v>
      </c>
      <c r="F18" s="7">
        <v>9245</v>
      </c>
      <c r="G18" s="8">
        <v>215</v>
      </c>
      <c r="H18" s="13">
        <f t="shared" si="0"/>
        <v>1987675</v>
      </c>
      <c r="I18" s="7">
        <v>218</v>
      </c>
      <c r="J18" s="8">
        <f t="shared" si="1"/>
        <v>269</v>
      </c>
      <c r="K18" s="13">
        <f t="shared" si="2"/>
        <v>58642</v>
      </c>
      <c r="L18" s="12">
        <f t="shared" si="3"/>
        <v>2046317</v>
      </c>
    </row>
    <row r="19" spans="1:12" x14ac:dyDescent="0.25">
      <c r="A19" s="4" t="s">
        <v>14</v>
      </c>
      <c r="B19" s="4" t="s">
        <v>17</v>
      </c>
      <c r="C19" s="4" t="s">
        <v>43</v>
      </c>
      <c r="D19" s="5">
        <v>5</v>
      </c>
      <c r="E19" s="5">
        <v>2016</v>
      </c>
      <c r="F19" s="7">
        <v>22875</v>
      </c>
      <c r="G19" s="8">
        <v>130</v>
      </c>
      <c r="H19" s="13">
        <f t="shared" si="0"/>
        <v>2973750</v>
      </c>
      <c r="I19" s="7">
        <v>1000</v>
      </c>
      <c r="J19" s="8">
        <f t="shared" si="1"/>
        <v>163</v>
      </c>
      <c r="K19" s="13">
        <f t="shared" si="2"/>
        <v>163000</v>
      </c>
      <c r="L19" s="12">
        <f t="shared" si="3"/>
        <v>3136750</v>
      </c>
    </row>
    <row r="20" spans="1:12" x14ac:dyDescent="0.25">
      <c r="A20" s="4" t="s">
        <v>44</v>
      </c>
      <c r="B20" s="4" t="s">
        <v>45</v>
      </c>
      <c r="C20" s="4" t="s">
        <v>46</v>
      </c>
      <c r="D20" s="5">
        <v>2</v>
      </c>
      <c r="E20" s="5">
        <v>2016</v>
      </c>
      <c r="F20" s="7">
        <v>32400</v>
      </c>
      <c r="G20" s="8">
        <v>110</v>
      </c>
      <c r="H20" s="13">
        <f t="shared" si="0"/>
        <v>3564000</v>
      </c>
      <c r="I20" s="7">
        <v>1309</v>
      </c>
      <c r="J20" s="8">
        <f t="shared" si="1"/>
        <v>138</v>
      </c>
      <c r="K20" s="13">
        <f t="shared" si="2"/>
        <v>180642</v>
      </c>
      <c r="L20" s="12">
        <f t="shared" si="3"/>
        <v>3744642</v>
      </c>
    </row>
    <row r="21" spans="1:12" x14ac:dyDescent="0.25">
      <c r="A21" s="4" t="s">
        <v>44</v>
      </c>
      <c r="B21" s="4" t="s">
        <v>45</v>
      </c>
      <c r="C21" s="4" t="s">
        <v>44</v>
      </c>
      <c r="D21" s="5">
        <v>13</v>
      </c>
      <c r="E21" s="5">
        <v>2017</v>
      </c>
      <c r="F21" s="7">
        <v>22418</v>
      </c>
      <c r="G21" s="8">
        <v>218</v>
      </c>
      <c r="H21" s="13">
        <f t="shared" si="0"/>
        <v>4887124</v>
      </c>
      <c r="I21" s="7">
        <v>45</v>
      </c>
      <c r="J21" s="8">
        <f t="shared" si="1"/>
        <v>273</v>
      </c>
      <c r="K21" s="13">
        <f t="shared" si="2"/>
        <v>12285</v>
      </c>
      <c r="L21" s="12">
        <f t="shared" si="3"/>
        <v>4899409</v>
      </c>
    </row>
    <row r="22" spans="1:12" x14ac:dyDescent="0.25">
      <c r="A22" s="4" t="s">
        <v>28</v>
      </c>
      <c r="B22" s="4" t="s">
        <v>29</v>
      </c>
      <c r="C22" s="4" t="s">
        <v>47</v>
      </c>
      <c r="D22" s="5">
        <v>6</v>
      </c>
      <c r="E22" s="5">
        <v>2016</v>
      </c>
      <c r="F22" s="7">
        <v>3400</v>
      </c>
      <c r="G22" s="8">
        <v>204</v>
      </c>
      <c r="H22" s="13">
        <f t="shared" si="0"/>
        <v>693600</v>
      </c>
      <c r="I22" s="7">
        <v>24</v>
      </c>
      <c r="J22" s="8">
        <f t="shared" si="1"/>
        <v>255</v>
      </c>
      <c r="K22" s="13">
        <f t="shared" si="2"/>
        <v>6120</v>
      </c>
      <c r="L22" s="12">
        <f t="shared" si="3"/>
        <v>699720</v>
      </c>
    </row>
    <row r="23" spans="1:12" x14ac:dyDescent="0.25">
      <c r="A23" s="4" t="s">
        <v>44</v>
      </c>
      <c r="B23" s="4" t="s">
        <v>45</v>
      </c>
      <c r="C23" s="4" t="s">
        <v>48</v>
      </c>
      <c r="D23" s="5">
        <v>5</v>
      </c>
      <c r="E23" s="5">
        <v>2015</v>
      </c>
      <c r="F23" s="7">
        <v>11875</v>
      </c>
      <c r="G23" s="8">
        <v>145</v>
      </c>
      <c r="H23" s="13">
        <f t="shared" si="0"/>
        <v>1721875</v>
      </c>
      <c r="I23" s="7">
        <v>1200</v>
      </c>
      <c r="J23" s="8">
        <f t="shared" si="1"/>
        <v>181</v>
      </c>
      <c r="K23" s="13">
        <f t="shared" si="2"/>
        <v>217200</v>
      </c>
      <c r="L23" s="12">
        <f t="shared" si="3"/>
        <v>1939075</v>
      </c>
    </row>
    <row r="24" spans="1:12" x14ac:dyDescent="0.25">
      <c r="A24" s="4" t="s">
        <v>25</v>
      </c>
      <c r="B24" s="4" t="s">
        <v>49</v>
      </c>
      <c r="C24" s="4" t="s">
        <v>50</v>
      </c>
      <c r="D24" s="5">
        <v>3</v>
      </c>
      <c r="E24" s="5">
        <v>2016</v>
      </c>
      <c r="F24" s="7">
        <v>5500</v>
      </c>
      <c r="G24" s="8">
        <v>244</v>
      </c>
      <c r="H24" s="13">
        <f t="shared" si="0"/>
        <v>1342000</v>
      </c>
      <c r="I24" s="7">
        <v>114</v>
      </c>
      <c r="J24" s="8">
        <f t="shared" si="1"/>
        <v>305</v>
      </c>
      <c r="K24" s="13">
        <f t="shared" si="2"/>
        <v>34770</v>
      </c>
      <c r="L24" s="12">
        <f t="shared" si="3"/>
        <v>1376770</v>
      </c>
    </row>
    <row r="25" spans="1:12" x14ac:dyDescent="0.25">
      <c r="A25" s="4" t="s">
        <v>40</v>
      </c>
      <c r="B25" s="4" t="s">
        <v>41</v>
      </c>
      <c r="C25" s="4" t="s">
        <v>51</v>
      </c>
      <c r="D25" s="5">
        <v>2</v>
      </c>
      <c r="E25" s="5">
        <v>2016</v>
      </c>
      <c r="F25" s="7">
        <v>5387</v>
      </c>
      <c r="G25" s="8">
        <v>182</v>
      </c>
      <c r="H25" s="13">
        <f t="shared" si="0"/>
        <v>980434</v>
      </c>
      <c r="I25" s="7">
        <v>34</v>
      </c>
      <c r="J25" s="8">
        <f t="shared" si="1"/>
        <v>228</v>
      </c>
      <c r="K25" s="13">
        <f t="shared" si="2"/>
        <v>7752</v>
      </c>
      <c r="L25" s="12">
        <f t="shared" si="3"/>
        <v>988186</v>
      </c>
    </row>
    <row r="26" spans="1:12" x14ac:dyDescent="0.25">
      <c r="A26" s="4" t="s">
        <v>40</v>
      </c>
      <c r="B26" s="4" t="s">
        <v>52</v>
      </c>
      <c r="C26" s="4" t="s">
        <v>53</v>
      </c>
      <c r="D26" s="5">
        <v>12</v>
      </c>
      <c r="E26" s="5">
        <v>2017</v>
      </c>
      <c r="F26" s="7">
        <v>37400</v>
      </c>
      <c r="G26" s="8">
        <v>206</v>
      </c>
      <c r="H26" s="13">
        <f t="shared" si="0"/>
        <v>7704400</v>
      </c>
      <c r="I26" s="7">
        <v>1000</v>
      </c>
      <c r="J26" s="8">
        <f t="shared" si="1"/>
        <v>258</v>
      </c>
      <c r="K26" s="13">
        <f t="shared" si="2"/>
        <v>258000</v>
      </c>
      <c r="L26" s="12">
        <f t="shared" si="3"/>
        <v>7962400</v>
      </c>
    </row>
    <row r="27" spans="1:12" x14ac:dyDescent="0.25">
      <c r="A27" s="4" t="s">
        <v>14</v>
      </c>
      <c r="B27" s="4" t="s">
        <v>15</v>
      </c>
      <c r="C27" s="4" t="s">
        <v>54</v>
      </c>
      <c r="D27" s="5">
        <v>8</v>
      </c>
      <c r="E27" s="5">
        <v>2017</v>
      </c>
      <c r="F27" s="7">
        <v>21230</v>
      </c>
      <c r="G27" s="8">
        <v>183</v>
      </c>
      <c r="H27" s="13">
        <f t="shared" si="0"/>
        <v>3885090</v>
      </c>
      <c r="I27" s="7">
        <v>1200</v>
      </c>
      <c r="J27" s="8">
        <f t="shared" si="1"/>
        <v>229</v>
      </c>
      <c r="K27" s="13">
        <f t="shared" si="2"/>
        <v>274800</v>
      </c>
      <c r="L27" s="12">
        <f t="shared" si="3"/>
        <v>4159890</v>
      </c>
    </row>
    <row r="28" spans="1:12" x14ac:dyDescent="0.25">
      <c r="A28" s="4" t="s">
        <v>55</v>
      </c>
      <c r="B28" s="4" t="s">
        <v>56</v>
      </c>
      <c r="C28" s="4" t="s">
        <v>57</v>
      </c>
      <c r="D28" s="5">
        <v>4</v>
      </c>
      <c r="E28" s="5">
        <v>2016</v>
      </c>
      <c r="F28" s="7">
        <v>9575</v>
      </c>
      <c r="G28" s="8">
        <v>188</v>
      </c>
      <c r="H28" s="13">
        <f t="shared" si="0"/>
        <v>1800100</v>
      </c>
      <c r="I28" s="7">
        <v>43</v>
      </c>
      <c r="J28" s="8">
        <f t="shared" si="1"/>
        <v>235</v>
      </c>
      <c r="K28" s="13">
        <f t="shared" si="2"/>
        <v>10105</v>
      </c>
      <c r="L28" s="12">
        <f t="shared" si="3"/>
        <v>1810205</v>
      </c>
    </row>
    <row r="29" spans="1:12" x14ac:dyDescent="0.25">
      <c r="A29" s="4" t="s">
        <v>14</v>
      </c>
      <c r="B29" s="4" t="s">
        <v>17</v>
      </c>
      <c r="C29" s="4" t="s">
        <v>58</v>
      </c>
      <c r="D29" s="5">
        <v>9</v>
      </c>
      <c r="E29" s="5">
        <v>2015</v>
      </c>
      <c r="F29" s="7">
        <v>4575</v>
      </c>
      <c r="G29" s="8">
        <v>156</v>
      </c>
      <c r="H29" s="13">
        <f t="shared" si="0"/>
        <v>713700</v>
      </c>
      <c r="I29" s="7">
        <v>63</v>
      </c>
      <c r="J29" s="8">
        <f t="shared" si="1"/>
        <v>195</v>
      </c>
      <c r="K29" s="13">
        <f t="shared" si="2"/>
        <v>12285</v>
      </c>
      <c r="L29" s="12">
        <f t="shared" si="3"/>
        <v>725985</v>
      </c>
    </row>
    <row r="30" spans="1:12" x14ac:dyDescent="0.25">
      <c r="A30" s="4" t="s">
        <v>55</v>
      </c>
      <c r="B30" s="4" t="s">
        <v>56</v>
      </c>
      <c r="C30" s="4" t="s">
        <v>59</v>
      </c>
      <c r="D30" s="5">
        <v>6</v>
      </c>
      <c r="E30" s="5">
        <v>2017</v>
      </c>
      <c r="F30" s="7">
        <v>12435</v>
      </c>
      <c r="G30" s="8">
        <v>218</v>
      </c>
      <c r="H30" s="13">
        <f t="shared" si="0"/>
        <v>2710830</v>
      </c>
      <c r="I30" s="7">
        <v>142</v>
      </c>
      <c r="J30" s="8">
        <f t="shared" si="1"/>
        <v>273</v>
      </c>
      <c r="K30" s="13">
        <f t="shared" si="2"/>
        <v>38766</v>
      </c>
      <c r="L30" s="12">
        <f t="shared" si="3"/>
        <v>2749596</v>
      </c>
    </row>
    <row r="31" spans="1:12" x14ac:dyDescent="0.25">
      <c r="A31" s="4" t="s">
        <v>28</v>
      </c>
      <c r="B31" s="4" t="s">
        <v>31</v>
      </c>
      <c r="C31" s="4" t="s">
        <v>60</v>
      </c>
      <c r="D31" s="5">
        <v>8</v>
      </c>
      <c r="E31" s="5">
        <v>2017</v>
      </c>
      <c r="F31" s="7">
        <v>11342</v>
      </c>
      <c r="G31" s="8">
        <v>217</v>
      </c>
      <c r="H31" s="13">
        <f t="shared" si="0"/>
        <v>2461214</v>
      </c>
      <c r="I31" s="7">
        <v>87</v>
      </c>
      <c r="J31" s="8">
        <f t="shared" si="1"/>
        <v>271</v>
      </c>
      <c r="K31" s="13">
        <f t="shared" si="2"/>
        <v>23577</v>
      </c>
      <c r="L31" s="12">
        <f t="shared" si="3"/>
        <v>2484791</v>
      </c>
    </row>
    <row r="32" spans="1:12" x14ac:dyDescent="0.25">
      <c r="A32" s="4" t="s">
        <v>55</v>
      </c>
      <c r="B32" s="4" t="s">
        <v>56</v>
      </c>
      <c r="C32" s="4" t="s">
        <v>61</v>
      </c>
      <c r="D32" s="5">
        <v>10</v>
      </c>
      <c r="E32" s="5">
        <v>2015</v>
      </c>
      <c r="F32" s="7">
        <v>3000</v>
      </c>
      <c r="G32" s="8">
        <v>225</v>
      </c>
      <c r="H32" s="13">
        <f t="shared" si="0"/>
        <v>675000</v>
      </c>
      <c r="I32" s="7">
        <v>418</v>
      </c>
      <c r="J32" s="8">
        <f t="shared" si="1"/>
        <v>281</v>
      </c>
      <c r="K32" s="13">
        <f t="shared" si="2"/>
        <v>117458</v>
      </c>
      <c r="L32" s="12">
        <f t="shared" si="3"/>
        <v>792458</v>
      </c>
    </row>
    <row r="33" spans="1:12" x14ac:dyDescent="0.25">
      <c r="A33" s="4" t="s">
        <v>55</v>
      </c>
      <c r="B33" s="4" t="s">
        <v>61</v>
      </c>
      <c r="C33" s="4" t="s">
        <v>62</v>
      </c>
      <c r="D33" s="5">
        <v>7</v>
      </c>
      <c r="E33" s="5">
        <v>2017</v>
      </c>
      <c r="F33" s="7">
        <v>12000</v>
      </c>
      <c r="G33" s="8">
        <v>265</v>
      </c>
      <c r="H33" s="13">
        <f t="shared" si="0"/>
        <v>3180000</v>
      </c>
      <c r="I33" s="7">
        <v>155</v>
      </c>
      <c r="J33" s="8">
        <f t="shared" si="1"/>
        <v>331</v>
      </c>
      <c r="K33" s="13">
        <f t="shared" si="2"/>
        <v>51305</v>
      </c>
      <c r="L33" s="12">
        <f t="shared" si="3"/>
        <v>3231305</v>
      </c>
    </row>
    <row r="34" spans="1:12" x14ac:dyDescent="0.25">
      <c r="A34" s="4" t="s">
        <v>44</v>
      </c>
      <c r="B34" s="4" t="s">
        <v>63</v>
      </c>
      <c r="C34" s="4" t="s">
        <v>64</v>
      </c>
      <c r="D34" s="5">
        <v>2</v>
      </c>
      <c r="E34" s="5">
        <v>2013</v>
      </c>
      <c r="F34" s="7">
        <v>11254</v>
      </c>
      <c r="G34" s="8">
        <v>118</v>
      </c>
      <c r="H34" s="13">
        <f t="shared" si="0"/>
        <v>1327972</v>
      </c>
      <c r="I34" s="7">
        <v>750</v>
      </c>
      <c r="J34" s="8">
        <f t="shared" si="1"/>
        <v>148</v>
      </c>
      <c r="K34" s="13">
        <f t="shared" si="2"/>
        <v>111000</v>
      </c>
      <c r="L34" s="12">
        <f t="shared" si="3"/>
        <v>1438972</v>
      </c>
    </row>
    <row r="35" spans="1:12" x14ac:dyDescent="0.25">
      <c r="A35" s="4" t="s">
        <v>19</v>
      </c>
      <c r="B35" s="4" t="s">
        <v>38</v>
      </c>
      <c r="C35" s="4" t="s">
        <v>65</v>
      </c>
      <c r="D35" s="5">
        <v>1</v>
      </c>
      <c r="E35" s="5">
        <v>2014</v>
      </c>
      <c r="F35" s="7">
        <v>9876</v>
      </c>
      <c r="G35" s="8">
        <v>155</v>
      </c>
      <c r="H35" s="13">
        <f t="shared" si="0"/>
        <v>1530780</v>
      </c>
      <c r="I35" s="7">
        <v>22</v>
      </c>
      <c r="J35" s="8">
        <f t="shared" si="1"/>
        <v>194</v>
      </c>
      <c r="K35" s="13">
        <f t="shared" si="2"/>
        <v>4268</v>
      </c>
      <c r="L35" s="12">
        <f t="shared" si="3"/>
        <v>1535048</v>
      </c>
    </row>
    <row r="36" spans="1:12" x14ac:dyDescent="0.25">
      <c r="A36" s="4" t="s">
        <v>44</v>
      </c>
      <c r="B36" s="4" t="s">
        <v>45</v>
      </c>
      <c r="C36" s="4" t="s">
        <v>66</v>
      </c>
      <c r="D36" s="5">
        <v>5</v>
      </c>
      <c r="E36" s="5">
        <v>2014</v>
      </c>
      <c r="F36" s="7">
        <v>23575</v>
      </c>
      <c r="G36" s="8">
        <v>125</v>
      </c>
      <c r="H36" s="13">
        <f t="shared" si="0"/>
        <v>2946875</v>
      </c>
      <c r="I36" s="7">
        <v>1245</v>
      </c>
      <c r="J36" s="8">
        <f t="shared" si="1"/>
        <v>156</v>
      </c>
      <c r="K36" s="13">
        <f t="shared" si="2"/>
        <v>194220</v>
      </c>
      <c r="L36" s="12">
        <f t="shared" si="3"/>
        <v>3141095</v>
      </c>
    </row>
    <row r="37" spans="1:12" x14ac:dyDescent="0.25">
      <c r="A37" s="4" t="s">
        <v>25</v>
      </c>
      <c r="B37" s="4" t="s">
        <v>26</v>
      </c>
      <c r="C37" s="4" t="s">
        <v>26</v>
      </c>
      <c r="D37" s="5">
        <v>5</v>
      </c>
      <c r="E37" s="5">
        <v>2015</v>
      </c>
      <c r="F37" s="7">
        <v>22345</v>
      </c>
      <c r="G37" s="8">
        <v>221</v>
      </c>
      <c r="H37" s="13">
        <f t="shared" si="0"/>
        <v>4938245</v>
      </c>
      <c r="I37" s="7">
        <v>732</v>
      </c>
      <c r="J37" s="8">
        <f t="shared" si="1"/>
        <v>276</v>
      </c>
      <c r="K37" s="13">
        <f t="shared" si="2"/>
        <v>202032</v>
      </c>
      <c r="L37" s="12">
        <f t="shared" si="3"/>
        <v>5140277</v>
      </c>
    </row>
    <row r="38" spans="1:12" x14ac:dyDescent="0.25">
      <c r="A38" s="4" t="s">
        <v>40</v>
      </c>
      <c r="B38" s="4" t="s">
        <v>52</v>
      </c>
      <c r="C38" s="4" t="s">
        <v>67</v>
      </c>
      <c r="D38" s="5">
        <v>3</v>
      </c>
      <c r="E38" s="5">
        <v>2015</v>
      </c>
      <c r="F38" s="7">
        <v>2750</v>
      </c>
      <c r="G38" s="8">
        <v>165</v>
      </c>
      <c r="H38" s="13">
        <f t="shared" si="0"/>
        <v>453750</v>
      </c>
      <c r="I38" s="7">
        <v>83</v>
      </c>
      <c r="J38" s="8">
        <f t="shared" si="1"/>
        <v>206</v>
      </c>
      <c r="K38" s="13">
        <f t="shared" si="2"/>
        <v>17098</v>
      </c>
      <c r="L38" s="12">
        <f t="shared" si="3"/>
        <v>470848</v>
      </c>
    </row>
    <row r="39" spans="1:12" x14ac:dyDescent="0.25">
      <c r="A39" s="4" t="s">
        <v>14</v>
      </c>
      <c r="B39" s="4" t="s">
        <v>23</v>
      </c>
      <c r="C39" s="4" t="s">
        <v>68</v>
      </c>
      <c r="D39" s="5">
        <v>3</v>
      </c>
      <c r="E39" s="5">
        <v>2015</v>
      </c>
      <c r="F39" s="7">
        <v>4500</v>
      </c>
      <c r="G39" s="8">
        <v>125</v>
      </c>
      <c r="H39" s="13">
        <f t="shared" si="0"/>
        <v>562500</v>
      </c>
      <c r="I39" s="7">
        <v>12</v>
      </c>
      <c r="J39" s="8">
        <f t="shared" si="1"/>
        <v>156</v>
      </c>
      <c r="K39" s="13">
        <f t="shared" si="2"/>
        <v>1872</v>
      </c>
      <c r="L39" s="12">
        <f t="shared" si="3"/>
        <v>564372</v>
      </c>
    </row>
    <row r="40" spans="1:12" x14ac:dyDescent="0.25">
      <c r="A40" s="4" t="s">
        <v>28</v>
      </c>
      <c r="B40" s="4" t="s">
        <v>69</v>
      </c>
      <c r="C40" s="4" t="s">
        <v>70</v>
      </c>
      <c r="D40" s="5">
        <v>12</v>
      </c>
      <c r="E40" s="5">
        <v>2016</v>
      </c>
      <c r="F40" s="7">
        <v>8590</v>
      </c>
      <c r="G40" s="8">
        <v>236</v>
      </c>
      <c r="H40" s="13">
        <f t="shared" si="0"/>
        <v>2027240</v>
      </c>
      <c r="I40" s="7">
        <v>48</v>
      </c>
      <c r="J40" s="8">
        <f t="shared" si="1"/>
        <v>295</v>
      </c>
      <c r="K40" s="13">
        <f t="shared" si="2"/>
        <v>14160</v>
      </c>
      <c r="L40" s="12">
        <f t="shared" si="3"/>
        <v>2041400</v>
      </c>
    </row>
    <row r="41" spans="1:12" x14ac:dyDescent="0.25">
      <c r="A41" s="4" t="s">
        <v>28</v>
      </c>
      <c r="B41" s="4" t="s">
        <v>69</v>
      </c>
      <c r="C41" s="4" t="s">
        <v>71</v>
      </c>
      <c r="D41" s="5">
        <v>9</v>
      </c>
      <c r="E41" s="5">
        <v>2016</v>
      </c>
      <c r="F41" s="7">
        <v>5837</v>
      </c>
      <c r="G41" s="8">
        <v>186</v>
      </c>
      <c r="H41" s="13">
        <f t="shared" si="0"/>
        <v>1085682</v>
      </c>
      <c r="I41" s="7">
        <v>632</v>
      </c>
      <c r="J41" s="8">
        <f t="shared" si="1"/>
        <v>233</v>
      </c>
      <c r="K41" s="13">
        <f t="shared" si="2"/>
        <v>147256</v>
      </c>
      <c r="L41" s="12">
        <f t="shared" si="3"/>
        <v>1232938</v>
      </c>
    </row>
    <row r="42" spans="1:12" x14ac:dyDescent="0.25">
      <c r="A42" s="4" t="s">
        <v>44</v>
      </c>
      <c r="B42" s="4" t="s">
        <v>63</v>
      </c>
      <c r="C42" s="4" t="s">
        <v>72</v>
      </c>
      <c r="D42" s="5">
        <v>10</v>
      </c>
      <c r="E42" s="5">
        <v>2014</v>
      </c>
      <c r="F42" s="7">
        <v>7500</v>
      </c>
      <c r="G42" s="8">
        <v>195</v>
      </c>
      <c r="H42" s="13">
        <f t="shared" si="0"/>
        <v>1462500</v>
      </c>
      <c r="I42" s="7">
        <v>53</v>
      </c>
      <c r="J42" s="8">
        <f t="shared" si="1"/>
        <v>244</v>
      </c>
      <c r="K42" s="13">
        <f t="shared" si="2"/>
        <v>12932</v>
      </c>
      <c r="L42" s="12">
        <f t="shared" si="3"/>
        <v>1475432</v>
      </c>
    </row>
    <row r="43" spans="1:12" x14ac:dyDescent="0.25">
      <c r="A43" s="4" t="s">
        <v>25</v>
      </c>
      <c r="B43" s="4" t="s">
        <v>49</v>
      </c>
      <c r="C43" s="4" t="s">
        <v>49</v>
      </c>
      <c r="D43" s="5">
        <v>9</v>
      </c>
      <c r="E43" s="5">
        <v>2017</v>
      </c>
      <c r="F43" s="7">
        <v>3500</v>
      </c>
      <c r="G43" s="8">
        <v>310</v>
      </c>
      <c r="H43" s="13">
        <f t="shared" si="0"/>
        <v>1085000</v>
      </c>
      <c r="I43" s="7">
        <v>43</v>
      </c>
      <c r="J43" s="8">
        <f t="shared" si="1"/>
        <v>388</v>
      </c>
      <c r="K43" s="13">
        <f t="shared" si="2"/>
        <v>16684</v>
      </c>
      <c r="L43" s="12">
        <f t="shared" si="3"/>
        <v>1101684</v>
      </c>
    </row>
    <row r="44" spans="1:12" x14ac:dyDescent="0.25">
      <c r="A44" s="4" t="s">
        <v>14</v>
      </c>
      <c r="B44" s="4" t="s">
        <v>15</v>
      </c>
      <c r="C44" s="4" t="s">
        <v>73</v>
      </c>
      <c r="D44" s="5">
        <v>2</v>
      </c>
      <c r="E44" s="5">
        <v>2014</v>
      </c>
      <c r="F44" s="7">
        <v>15374</v>
      </c>
      <c r="G44" s="8">
        <v>120</v>
      </c>
      <c r="H44" s="13">
        <f t="shared" si="0"/>
        <v>1844880</v>
      </c>
      <c r="I44" s="7">
        <v>110</v>
      </c>
      <c r="J44" s="8">
        <f t="shared" si="1"/>
        <v>150</v>
      </c>
      <c r="K44" s="13">
        <f t="shared" si="2"/>
        <v>16500</v>
      </c>
      <c r="L44" s="12">
        <f t="shared" si="3"/>
        <v>1861380</v>
      </c>
    </row>
    <row r="45" spans="1:12" x14ac:dyDescent="0.25">
      <c r="A45" s="4" t="s">
        <v>19</v>
      </c>
      <c r="B45" s="4" t="s">
        <v>35</v>
      </c>
      <c r="C45" s="4" t="s">
        <v>74</v>
      </c>
      <c r="D45" s="5">
        <v>3</v>
      </c>
      <c r="E45" s="5">
        <v>2017</v>
      </c>
      <c r="F45" s="7">
        <v>20300</v>
      </c>
      <c r="G45" s="8">
        <v>298</v>
      </c>
      <c r="H45" s="13">
        <f t="shared" si="0"/>
        <v>6049400</v>
      </c>
      <c r="I45" s="7">
        <v>118</v>
      </c>
      <c r="J45" s="8">
        <f t="shared" si="1"/>
        <v>373</v>
      </c>
      <c r="K45" s="13">
        <f t="shared" si="2"/>
        <v>44014</v>
      </c>
      <c r="L45" s="12">
        <f t="shared" si="3"/>
        <v>6093414</v>
      </c>
    </row>
    <row r="46" spans="1:12" x14ac:dyDescent="0.25">
      <c r="A46" s="4" t="s">
        <v>55</v>
      </c>
      <c r="B46" s="4" t="s">
        <v>61</v>
      </c>
      <c r="C46" s="4" t="s">
        <v>75</v>
      </c>
      <c r="D46" s="5">
        <v>6</v>
      </c>
      <c r="E46" s="5">
        <v>2016</v>
      </c>
      <c r="F46" s="7">
        <v>7532</v>
      </c>
      <c r="G46" s="8">
        <v>210</v>
      </c>
      <c r="H46" s="13">
        <f t="shared" si="0"/>
        <v>1581720</v>
      </c>
      <c r="I46" s="7">
        <v>83</v>
      </c>
      <c r="J46" s="8">
        <f t="shared" si="1"/>
        <v>263</v>
      </c>
      <c r="K46" s="13">
        <f t="shared" si="2"/>
        <v>21829</v>
      </c>
      <c r="L46" s="12">
        <f t="shared" si="3"/>
        <v>1603549</v>
      </c>
    </row>
    <row r="47" spans="1:12" x14ac:dyDescent="0.25">
      <c r="A47" s="4" t="s">
        <v>28</v>
      </c>
      <c r="B47" s="4" t="s">
        <v>69</v>
      </c>
      <c r="C47" s="4" t="s">
        <v>76</v>
      </c>
      <c r="D47" s="5">
        <v>5</v>
      </c>
      <c r="E47" s="5">
        <v>2003</v>
      </c>
      <c r="F47" s="7">
        <v>18750</v>
      </c>
      <c r="G47" s="8">
        <v>194</v>
      </c>
      <c r="H47" s="13">
        <f t="shared" si="0"/>
        <v>3637500</v>
      </c>
      <c r="I47" s="7">
        <v>1023</v>
      </c>
      <c r="J47" s="8">
        <f t="shared" si="1"/>
        <v>243</v>
      </c>
      <c r="K47" s="13">
        <f t="shared" si="2"/>
        <v>248589</v>
      </c>
      <c r="L47" s="12">
        <f t="shared" si="3"/>
        <v>3886089</v>
      </c>
    </row>
    <row r="48" spans="1:12" x14ac:dyDescent="0.25">
      <c r="A48" s="4" t="s">
        <v>19</v>
      </c>
      <c r="B48" s="4" t="s">
        <v>35</v>
      </c>
      <c r="C48" s="4" t="s">
        <v>77</v>
      </c>
      <c r="D48" s="5">
        <v>1</v>
      </c>
      <c r="E48" s="5">
        <v>2015</v>
      </c>
      <c r="F48" s="7">
        <v>11983</v>
      </c>
      <c r="G48" s="8">
        <v>66</v>
      </c>
      <c r="H48" s="13">
        <f t="shared" si="0"/>
        <v>790878</v>
      </c>
      <c r="I48" s="7">
        <v>93</v>
      </c>
      <c r="J48" s="8">
        <f t="shared" si="1"/>
        <v>83</v>
      </c>
      <c r="K48" s="13">
        <f t="shared" si="2"/>
        <v>7719</v>
      </c>
      <c r="L48" s="12">
        <f t="shared" si="3"/>
        <v>798597</v>
      </c>
    </row>
    <row r="49" spans="1:12" x14ac:dyDescent="0.25">
      <c r="A49" s="4" t="s">
        <v>14</v>
      </c>
      <c r="B49" s="4" t="s">
        <v>23</v>
      </c>
      <c r="C49" s="4" t="s">
        <v>78</v>
      </c>
      <c r="D49" s="5">
        <v>9</v>
      </c>
      <c r="E49" s="5">
        <v>2016</v>
      </c>
      <c r="F49" s="7">
        <v>4500</v>
      </c>
      <c r="G49" s="8">
        <v>175</v>
      </c>
      <c r="H49" s="13">
        <f t="shared" si="0"/>
        <v>787500</v>
      </c>
      <c r="I49" s="7">
        <v>251</v>
      </c>
      <c r="J49" s="8">
        <f t="shared" si="1"/>
        <v>219</v>
      </c>
      <c r="K49" s="13">
        <f t="shared" si="2"/>
        <v>54969</v>
      </c>
      <c r="L49" s="12">
        <f t="shared" si="3"/>
        <v>842469</v>
      </c>
    </row>
    <row r="50" spans="1:12" x14ac:dyDescent="0.25">
      <c r="A50" s="4" t="s">
        <v>19</v>
      </c>
      <c r="B50" s="4" t="s">
        <v>38</v>
      </c>
      <c r="C50" s="4" t="s">
        <v>79</v>
      </c>
      <c r="D50" s="5">
        <v>1</v>
      </c>
      <c r="E50" s="5">
        <v>2012</v>
      </c>
      <c r="F50" s="7">
        <v>20100</v>
      </c>
      <c r="G50" s="8">
        <v>125</v>
      </c>
      <c r="H50" s="13">
        <f t="shared" si="0"/>
        <v>2512500</v>
      </c>
      <c r="I50" s="7">
        <v>1723</v>
      </c>
      <c r="J50" s="8">
        <f t="shared" si="1"/>
        <v>156</v>
      </c>
      <c r="K50" s="13">
        <f t="shared" si="2"/>
        <v>268788</v>
      </c>
      <c r="L50" s="12">
        <f t="shared" si="3"/>
        <v>2781288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zoomScale="96" zoomScaleNormal="96" zoomScalePageLayoutView="180" workbookViewId="0">
      <pane xSplit="2" ySplit="7" topLeftCell="C8" activePane="bottomRight" state="frozen"/>
      <selection pane="topRight" activeCell="C1" sqref="C1"/>
      <selection pane="bottomLeft" activeCell="A5" sqref="A5"/>
      <selection pane="bottomRight" activeCell="A16" sqref="A16"/>
    </sheetView>
  </sheetViews>
  <sheetFormatPr defaultColWidth="8.85546875" defaultRowHeight="15" x14ac:dyDescent="0.25"/>
  <cols>
    <col min="1" max="1" width="43.85546875" style="4" bestFit="1" customWidth="1"/>
    <col min="2" max="2" width="32.7109375" style="4" customWidth="1"/>
    <col min="3" max="3" width="50.42578125" style="4" customWidth="1"/>
    <col min="4" max="4" width="7.28515625" style="4" bestFit="1" customWidth="1"/>
    <col min="5" max="5" width="9.140625" style="4" customWidth="1"/>
    <col min="6" max="6" width="11" style="4" customWidth="1"/>
    <col min="7" max="7" width="12" style="4" customWidth="1"/>
    <col min="8" max="8" width="13.7109375" style="4" customWidth="1"/>
    <col min="9" max="9" width="11" style="4" customWidth="1"/>
    <col min="10" max="10" width="12" style="4" customWidth="1"/>
    <col min="11" max="12" width="13.7109375" style="4" customWidth="1"/>
    <col min="13" max="16384" width="8.85546875" style="4"/>
  </cols>
  <sheetData>
    <row r="1" spans="1:12" x14ac:dyDescent="0.25">
      <c r="A1" s="95" t="s">
        <v>291</v>
      </c>
    </row>
    <row r="2" spans="1:12" x14ac:dyDescent="0.25">
      <c r="A2" s="95" t="s">
        <v>292</v>
      </c>
    </row>
    <row r="4" spans="1:12" x14ac:dyDescent="0.25">
      <c r="D4" s="5"/>
      <c r="E4" s="5"/>
      <c r="G4" s="4" t="s">
        <v>0</v>
      </c>
      <c r="J4" s="6">
        <v>1.25</v>
      </c>
    </row>
    <row r="5" spans="1:12" ht="15.75" customHeight="1" x14ac:dyDescent="0.25">
      <c r="D5" s="5"/>
      <c r="E5" s="5"/>
      <c r="G5" s="4" t="s">
        <v>1</v>
      </c>
      <c r="J5" s="6">
        <v>0.1</v>
      </c>
    </row>
    <row r="6" spans="1:12" x14ac:dyDescent="0.25">
      <c r="D6" s="5"/>
      <c r="E6" s="5"/>
      <c r="J6" s="6"/>
    </row>
    <row r="7" spans="1:12" ht="30" x14ac:dyDescent="0.25">
      <c r="A7" s="9" t="s">
        <v>2</v>
      </c>
      <c r="B7" s="9" t="s">
        <v>3</v>
      </c>
      <c r="C7" s="9" t="s">
        <v>4</v>
      </c>
      <c r="D7" s="10" t="s">
        <v>5</v>
      </c>
      <c r="E7" s="10" t="s">
        <v>6</v>
      </c>
      <c r="F7" s="11" t="s">
        <v>7</v>
      </c>
      <c r="G7" s="11" t="s">
        <v>8</v>
      </c>
      <c r="H7" s="11" t="s">
        <v>9</v>
      </c>
      <c r="I7" s="11" t="s">
        <v>10</v>
      </c>
      <c r="J7" s="11" t="s">
        <v>11</v>
      </c>
      <c r="K7" s="11" t="s">
        <v>12</v>
      </c>
      <c r="L7" s="11" t="s">
        <v>13</v>
      </c>
    </row>
    <row r="8" spans="1:12" x14ac:dyDescent="0.25">
      <c r="A8" s="4" t="s">
        <v>55</v>
      </c>
      <c r="B8" s="4" t="s">
        <v>56</v>
      </c>
      <c r="C8" s="4" t="s">
        <v>57</v>
      </c>
      <c r="D8" s="5">
        <v>4</v>
      </c>
      <c r="E8" s="5">
        <v>2016</v>
      </c>
      <c r="F8" s="7">
        <v>9575</v>
      </c>
      <c r="G8" s="8">
        <v>188</v>
      </c>
      <c r="H8" s="13">
        <f t="shared" ref="H8:H53" si="0">F8*G8</f>
        <v>1800100</v>
      </c>
      <c r="I8" s="7">
        <v>43</v>
      </c>
      <c r="J8" s="8">
        <f t="shared" ref="J8:J53" si="1">ROUND(G8*RetailRate,0)</f>
        <v>235</v>
      </c>
      <c r="K8" s="13">
        <f t="shared" ref="K8:K53" si="2">I8*J8</f>
        <v>10105</v>
      </c>
      <c r="L8" s="12">
        <f t="shared" ref="L8:L53" si="3">H8+K8</f>
        <v>1810205</v>
      </c>
    </row>
    <row r="9" spans="1:12" x14ac:dyDescent="0.25">
      <c r="A9" s="4" t="s">
        <v>55</v>
      </c>
      <c r="B9" s="4" t="s">
        <v>56</v>
      </c>
      <c r="C9" s="4" t="s">
        <v>59</v>
      </c>
      <c r="D9" s="5">
        <v>6</v>
      </c>
      <c r="E9" s="5">
        <v>2017</v>
      </c>
      <c r="F9" s="7">
        <v>12435</v>
      </c>
      <c r="G9" s="8">
        <v>218</v>
      </c>
      <c r="H9" s="13">
        <f t="shared" si="0"/>
        <v>2710830</v>
      </c>
      <c r="I9" s="7">
        <v>142</v>
      </c>
      <c r="J9" s="8">
        <f t="shared" si="1"/>
        <v>273</v>
      </c>
      <c r="K9" s="13">
        <f t="shared" si="2"/>
        <v>38766</v>
      </c>
      <c r="L9" s="12">
        <f t="shared" si="3"/>
        <v>2749596</v>
      </c>
    </row>
    <row r="10" spans="1:12" x14ac:dyDescent="0.25">
      <c r="A10" s="4" t="s">
        <v>55</v>
      </c>
      <c r="B10" s="4" t="s">
        <v>56</v>
      </c>
      <c r="C10" s="4" t="s">
        <v>61</v>
      </c>
      <c r="D10" s="5">
        <v>10</v>
      </c>
      <c r="E10" s="5">
        <v>2015</v>
      </c>
      <c r="F10" s="7">
        <v>3000</v>
      </c>
      <c r="G10" s="8">
        <v>225</v>
      </c>
      <c r="H10" s="13">
        <f t="shared" si="0"/>
        <v>675000</v>
      </c>
      <c r="I10" s="7">
        <v>418</v>
      </c>
      <c r="J10" s="8">
        <f t="shared" si="1"/>
        <v>281</v>
      </c>
      <c r="K10" s="13">
        <f t="shared" si="2"/>
        <v>117458</v>
      </c>
      <c r="L10" s="12">
        <f t="shared" si="3"/>
        <v>792458</v>
      </c>
    </row>
    <row r="11" spans="1:12" x14ac:dyDescent="0.25">
      <c r="A11" s="4" t="s">
        <v>55</v>
      </c>
      <c r="B11" s="4" t="s">
        <v>61</v>
      </c>
      <c r="C11" s="4" t="s">
        <v>62</v>
      </c>
      <c r="D11" s="5">
        <v>7</v>
      </c>
      <c r="E11" s="5">
        <v>2017</v>
      </c>
      <c r="F11" s="7">
        <v>12000</v>
      </c>
      <c r="G11" s="8">
        <v>265</v>
      </c>
      <c r="H11" s="13">
        <f t="shared" si="0"/>
        <v>3180000</v>
      </c>
      <c r="I11" s="7">
        <v>155</v>
      </c>
      <c r="J11" s="8">
        <f t="shared" si="1"/>
        <v>331</v>
      </c>
      <c r="K11" s="13">
        <f t="shared" si="2"/>
        <v>51305</v>
      </c>
      <c r="L11" s="12">
        <f t="shared" si="3"/>
        <v>3231305</v>
      </c>
    </row>
    <row r="12" spans="1:12" x14ac:dyDescent="0.25">
      <c r="A12" s="4" t="s">
        <v>55</v>
      </c>
      <c r="B12" s="4" t="s">
        <v>61</v>
      </c>
      <c r="C12" s="4" t="s">
        <v>75</v>
      </c>
      <c r="D12" s="5">
        <v>6</v>
      </c>
      <c r="E12" s="5">
        <v>2016</v>
      </c>
      <c r="F12" s="7">
        <v>7532</v>
      </c>
      <c r="G12" s="8">
        <v>210</v>
      </c>
      <c r="H12" s="13">
        <f t="shared" si="0"/>
        <v>1581720</v>
      </c>
      <c r="I12" s="7">
        <v>83</v>
      </c>
      <c r="J12" s="8">
        <f t="shared" si="1"/>
        <v>263</v>
      </c>
      <c r="K12" s="13">
        <f t="shared" si="2"/>
        <v>21829</v>
      </c>
      <c r="L12" s="12">
        <f t="shared" si="3"/>
        <v>1603549</v>
      </c>
    </row>
    <row r="13" spans="1:12" x14ac:dyDescent="0.25">
      <c r="A13" s="4" t="s">
        <v>28</v>
      </c>
      <c r="B13" s="4" t="s">
        <v>31</v>
      </c>
      <c r="C13" s="4" t="s">
        <v>32</v>
      </c>
      <c r="D13" s="5">
        <v>6</v>
      </c>
      <c r="E13" s="5">
        <v>2017</v>
      </c>
      <c r="F13" s="7">
        <v>18500</v>
      </c>
      <c r="G13" s="8">
        <v>219</v>
      </c>
      <c r="H13" s="13">
        <f t="shared" si="0"/>
        <v>4051500</v>
      </c>
      <c r="I13" s="7">
        <v>245</v>
      </c>
      <c r="J13" s="8">
        <f t="shared" si="1"/>
        <v>274</v>
      </c>
      <c r="K13" s="13">
        <f t="shared" si="2"/>
        <v>67130</v>
      </c>
      <c r="L13" s="12">
        <f t="shared" si="3"/>
        <v>4118630</v>
      </c>
    </row>
    <row r="14" spans="1:12" x14ac:dyDescent="0.25">
      <c r="A14" s="4" t="s">
        <v>28</v>
      </c>
      <c r="B14" s="4" t="s">
        <v>31</v>
      </c>
      <c r="C14" s="4" t="s">
        <v>60</v>
      </c>
      <c r="D14" s="5">
        <v>8</v>
      </c>
      <c r="E14" s="5">
        <v>2017</v>
      </c>
      <c r="F14" s="7">
        <v>11342</v>
      </c>
      <c r="G14" s="8">
        <v>217</v>
      </c>
      <c r="H14" s="13">
        <f t="shared" si="0"/>
        <v>2461214</v>
      </c>
      <c r="I14" s="7">
        <v>87</v>
      </c>
      <c r="J14" s="8">
        <f t="shared" si="1"/>
        <v>271</v>
      </c>
      <c r="K14" s="13">
        <f t="shared" si="2"/>
        <v>23577</v>
      </c>
      <c r="L14" s="12">
        <f t="shared" si="3"/>
        <v>2484791</v>
      </c>
    </row>
    <row r="15" spans="1:12" x14ac:dyDescent="0.25">
      <c r="A15" s="4" t="s">
        <v>28</v>
      </c>
      <c r="B15" s="4" t="s">
        <v>29</v>
      </c>
      <c r="C15" s="4" t="s">
        <v>30</v>
      </c>
      <c r="D15" s="5">
        <v>10</v>
      </c>
      <c r="E15" s="5">
        <v>2014</v>
      </c>
      <c r="F15" s="7">
        <v>5575</v>
      </c>
      <c r="G15" s="8">
        <v>266</v>
      </c>
      <c r="H15" s="13">
        <f t="shared" si="0"/>
        <v>1482950</v>
      </c>
      <c r="I15" s="7">
        <v>32</v>
      </c>
      <c r="J15" s="8">
        <f t="shared" si="1"/>
        <v>333</v>
      </c>
      <c r="K15" s="13">
        <f t="shared" si="2"/>
        <v>10656</v>
      </c>
      <c r="L15" s="12">
        <f t="shared" si="3"/>
        <v>1493606</v>
      </c>
    </row>
    <row r="16" spans="1:12" x14ac:dyDescent="0.25">
      <c r="A16" s="4" t="s">
        <v>28</v>
      </c>
      <c r="B16" s="4" t="s">
        <v>29</v>
      </c>
      <c r="C16" s="4" t="s">
        <v>33</v>
      </c>
      <c r="D16" s="5">
        <v>11</v>
      </c>
      <c r="E16" s="5">
        <v>2017</v>
      </c>
      <c r="F16" s="7">
        <v>5893</v>
      </c>
      <c r="G16" s="8">
        <v>230</v>
      </c>
      <c r="H16" s="13">
        <f t="shared" si="0"/>
        <v>1355390</v>
      </c>
      <c r="I16" s="7">
        <v>93</v>
      </c>
      <c r="J16" s="8">
        <f t="shared" si="1"/>
        <v>288</v>
      </c>
      <c r="K16" s="13">
        <f t="shared" si="2"/>
        <v>26784</v>
      </c>
      <c r="L16" s="12">
        <f t="shared" si="3"/>
        <v>1382174</v>
      </c>
    </row>
    <row r="17" spans="1:12" x14ac:dyDescent="0.25">
      <c r="A17" s="4" t="s">
        <v>28</v>
      </c>
      <c r="B17" s="4" t="s">
        <v>29</v>
      </c>
      <c r="C17" s="4" t="s">
        <v>34</v>
      </c>
      <c r="D17" s="5">
        <v>5</v>
      </c>
      <c r="E17" s="5">
        <v>2014</v>
      </c>
      <c r="F17" s="7">
        <v>7503</v>
      </c>
      <c r="G17" s="8">
        <v>185</v>
      </c>
      <c r="H17" s="13">
        <f t="shared" si="0"/>
        <v>1388055</v>
      </c>
      <c r="I17" s="7">
        <v>29</v>
      </c>
      <c r="J17" s="8">
        <f t="shared" si="1"/>
        <v>231</v>
      </c>
      <c r="K17" s="13">
        <f t="shared" si="2"/>
        <v>6699</v>
      </c>
      <c r="L17" s="12">
        <f t="shared" si="3"/>
        <v>1394754</v>
      </c>
    </row>
    <row r="18" spans="1:12" x14ac:dyDescent="0.25">
      <c r="A18" s="4" t="s">
        <v>28</v>
      </c>
      <c r="B18" s="4" t="s">
        <v>29</v>
      </c>
      <c r="C18" s="4" t="s">
        <v>47</v>
      </c>
      <c r="D18" s="5">
        <v>6</v>
      </c>
      <c r="E18" s="5">
        <v>2016</v>
      </c>
      <c r="F18" s="7">
        <v>3400</v>
      </c>
      <c r="G18" s="8">
        <v>204</v>
      </c>
      <c r="H18" s="13">
        <f t="shared" si="0"/>
        <v>693600</v>
      </c>
      <c r="I18" s="7">
        <v>24</v>
      </c>
      <c r="J18" s="8">
        <f t="shared" si="1"/>
        <v>255</v>
      </c>
      <c r="K18" s="13">
        <f t="shared" si="2"/>
        <v>6120</v>
      </c>
      <c r="L18" s="12">
        <f t="shared" si="3"/>
        <v>699720</v>
      </c>
    </row>
    <row r="19" spans="1:12" x14ac:dyDescent="0.25">
      <c r="A19" s="4" t="s">
        <v>28</v>
      </c>
      <c r="B19" s="4" t="s">
        <v>69</v>
      </c>
      <c r="C19" s="4" t="s">
        <v>70</v>
      </c>
      <c r="D19" s="5">
        <v>12</v>
      </c>
      <c r="E19" s="5">
        <v>2016</v>
      </c>
      <c r="F19" s="7">
        <v>8590</v>
      </c>
      <c r="G19" s="8">
        <v>236</v>
      </c>
      <c r="H19" s="13">
        <f t="shared" si="0"/>
        <v>2027240</v>
      </c>
      <c r="I19" s="7">
        <v>48</v>
      </c>
      <c r="J19" s="8">
        <f t="shared" si="1"/>
        <v>295</v>
      </c>
      <c r="K19" s="13">
        <f t="shared" si="2"/>
        <v>14160</v>
      </c>
      <c r="L19" s="12">
        <f t="shared" si="3"/>
        <v>2041400</v>
      </c>
    </row>
    <row r="20" spans="1:12" x14ac:dyDescent="0.25">
      <c r="A20" s="4" t="s">
        <v>28</v>
      </c>
      <c r="B20" s="4" t="s">
        <v>69</v>
      </c>
      <c r="C20" s="4" t="s">
        <v>71</v>
      </c>
      <c r="D20" s="5">
        <v>9</v>
      </c>
      <c r="E20" s="5">
        <v>2016</v>
      </c>
      <c r="F20" s="7">
        <v>5837</v>
      </c>
      <c r="G20" s="8">
        <v>186</v>
      </c>
      <c r="H20" s="13">
        <f t="shared" si="0"/>
        <v>1085682</v>
      </c>
      <c r="I20" s="7">
        <v>632</v>
      </c>
      <c r="J20" s="8">
        <f t="shared" si="1"/>
        <v>233</v>
      </c>
      <c r="K20" s="13">
        <f t="shared" si="2"/>
        <v>147256</v>
      </c>
      <c r="L20" s="12">
        <f t="shared" si="3"/>
        <v>1232938</v>
      </c>
    </row>
    <row r="21" spans="1:12" x14ac:dyDescent="0.25">
      <c r="A21" s="4" t="s">
        <v>28</v>
      </c>
      <c r="B21" s="4" t="s">
        <v>69</v>
      </c>
      <c r="C21" s="4" t="s">
        <v>76</v>
      </c>
      <c r="D21" s="5">
        <v>5</v>
      </c>
      <c r="E21" s="5">
        <v>2003</v>
      </c>
      <c r="F21" s="7">
        <v>18750</v>
      </c>
      <c r="G21" s="8">
        <v>194</v>
      </c>
      <c r="H21" s="13">
        <f t="shared" si="0"/>
        <v>3637500</v>
      </c>
      <c r="I21" s="7">
        <v>1023</v>
      </c>
      <c r="J21" s="8">
        <f t="shared" si="1"/>
        <v>243</v>
      </c>
      <c r="K21" s="13">
        <f t="shared" si="2"/>
        <v>248589</v>
      </c>
      <c r="L21" s="12">
        <f t="shared" si="3"/>
        <v>3886089</v>
      </c>
    </row>
    <row r="22" spans="1:12" x14ac:dyDescent="0.25">
      <c r="A22" s="4" t="s">
        <v>25</v>
      </c>
      <c r="B22" s="4" t="s">
        <v>26</v>
      </c>
      <c r="C22" s="4" t="s">
        <v>27</v>
      </c>
      <c r="D22" s="5">
        <v>4</v>
      </c>
      <c r="E22" s="5">
        <v>2017</v>
      </c>
      <c r="F22" s="7">
        <v>25750</v>
      </c>
      <c r="G22" s="8">
        <v>208</v>
      </c>
      <c r="H22" s="13">
        <f t="shared" si="0"/>
        <v>5356000</v>
      </c>
      <c r="I22" s="7">
        <v>1234</v>
      </c>
      <c r="J22" s="8">
        <f t="shared" si="1"/>
        <v>260</v>
      </c>
      <c r="K22" s="13">
        <f t="shared" si="2"/>
        <v>320840</v>
      </c>
      <c r="L22" s="12">
        <f t="shared" si="3"/>
        <v>5676840</v>
      </c>
    </row>
    <row r="23" spans="1:12" x14ac:dyDescent="0.25">
      <c r="A23" s="4" t="s">
        <v>25</v>
      </c>
      <c r="B23" s="4" t="s">
        <v>26</v>
      </c>
      <c r="C23" s="4" t="s">
        <v>26</v>
      </c>
      <c r="D23" s="5">
        <v>5</v>
      </c>
      <c r="E23" s="5">
        <v>2015</v>
      </c>
      <c r="F23" s="7">
        <v>22345</v>
      </c>
      <c r="G23" s="8">
        <v>221</v>
      </c>
      <c r="H23" s="13">
        <f t="shared" si="0"/>
        <v>4938245</v>
      </c>
      <c r="I23" s="7">
        <v>732</v>
      </c>
      <c r="J23" s="8">
        <f t="shared" si="1"/>
        <v>276</v>
      </c>
      <c r="K23" s="13">
        <f t="shared" si="2"/>
        <v>202032</v>
      </c>
      <c r="L23" s="12">
        <f t="shared" si="3"/>
        <v>5140277</v>
      </c>
    </row>
    <row r="24" spans="1:12" x14ac:dyDescent="0.25">
      <c r="A24" s="4" t="s">
        <v>25</v>
      </c>
      <c r="B24" s="4" t="s">
        <v>49</v>
      </c>
      <c r="C24" s="4" t="s">
        <v>50</v>
      </c>
      <c r="D24" s="5">
        <v>3</v>
      </c>
      <c r="E24" s="5">
        <v>2016</v>
      </c>
      <c r="F24" s="7">
        <v>5500</v>
      </c>
      <c r="G24" s="8">
        <v>244</v>
      </c>
      <c r="H24" s="13">
        <f t="shared" si="0"/>
        <v>1342000</v>
      </c>
      <c r="I24" s="7">
        <v>114</v>
      </c>
      <c r="J24" s="8">
        <f t="shared" si="1"/>
        <v>305</v>
      </c>
      <c r="K24" s="13">
        <f t="shared" si="2"/>
        <v>34770</v>
      </c>
      <c r="L24" s="12">
        <f t="shared" si="3"/>
        <v>1376770</v>
      </c>
    </row>
    <row r="25" spans="1:12" x14ac:dyDescent="0.25">
      <c r="A25" s="4" t="s">
        <v>25</v>
      </c>
      <c r="B25" s="4" t="s">
        <v>49</v>
      </c>
      <c r="C25" s="4" t="s">
        <v>49</v>
      </c>
      <c r="D25" s="5">
        <v>9</v>
      </c>
      <c r="E25" s="5">
        <v>2017</v>
      </c>
      <c r="F25" s="7">
        <v>3500</v>
      </c>
      <c r="G25" s="8">
        <v>310</v>
      </c>
      <c r="H25" s="13">
        <f t="shared" si="0"/>
        <v>1085000</v>
      </c>
      <c r="I25" s="7">
        <v>43</v>
      </c>
      <c r="J25" s="8">
        <f t="shared" si="1"/>
        <v>388</v>
      </c>
      <c r="K25" s="13">
        <f t="shared" si="2"/>
        <v>16684</v>
      </c>
      <c r="L25" s="12">
        <f t="shared" si="3"/>
        <v>1101684</v>
      </c>
    </row>
    <row r="26" spans="1:12" x14ac:dyDescent="0.25">
      <c r="A26" s="4" t="s">
        <v>44</v>
      </c>
      <c r="B26" s="4" t="s">
        <v>45</v>
      </c>
      <c r="C26" s="4" t="s">
        <v>46</v>
      </c>
      <c r="D26" s="5">
        <v>2</v>
      </c>
      <c r="E26" s="5">
        <v>2016</v>
      </c>
      <c r="F26" s="7">
        <v>32400</v>
      </c>
      <c r="G26" s="8">
        <v>110</v>
      </c>
      <c r="H26" s="13">
        <f t="shared" si="0"/>
        <v>3564000</v>
      </c>
      <c r="I26" s="7">
        <v>1309</v>
      </c>
      <c r="J26" s="8">
        <f t="shared" si="1"/>
        <v>138</v>
      </c>
      <c r="K26" s="13">
        <f t="shared" si="2"/>
        <v>180642</v>
      </c>
      <c r="L26" s="12">
        <f t="shared" si="3"/>
        <v>3744642</v>
      </c>
    </row>
    <row r="27" spans="1:12" x14ac:dyDescent="0.25">
      <c r="A27" s="4" t="s">
        <v>44</v>
      </c>
      <c r="B27" s="4" t="s">
        <v>45</v>
      </c>
      <c r="C27" s="4" t="s">
        <v>44</v>
      </c>
      <c r="D27" s="5">
        <v>13</v>
      </c>
      <c r="E27" s="5">
        <v>2017</v>
      </c>
      <c r="F27" s="7">
        <v>22418</v>
      </c>
      <c r="G27" s="8">
        <v>218</v>
      </c>
      <c r="H27" s="13">
        <f t="shared" si="0"/>
        <v>4887124</v>
      </c>
      <c r="I27" s="7">
        <v>45</v>
      </c>
      <c r="J27" s="8">
        <f t="shared" si="1"/>
        <v>273</v>
      </c>
      <c r="K27" s="13">
        <f t="shared" si="2"/>
        <v>12285</v>
      </c>
      <c r="L27" s="12">
        <f t="shared" si="3"/>
        <v>4899409</v>
      </c>
    </row>
    <row r="28" spans="1:12" x14ac:dyDescent="0.25">
      <c r="A28" s="4" t="s">
        <v>44</v>
      </c>
      <c r="B28" s="4" t="s">
        <v>45</v>
      </c>
      <c r="C28" s="4" t="s">
        <v>48</v>
      </c>
      <c r="D28" s="5">
        <v>5</v>
      </c>
      <c r="E28" s="5">
        <v>2015</v>
      </c>
      <c r="F28" s="7">
        <v>11875</v>
      </c>
      <c r="G28" s="8">
        <v>145</v>
      </c>
      <c r="H28" s="13">
        <f t="shared" si="0"/>
        <v>1721875</v>
      </c>
      <c r="I28" s="7">
        <v>1200</v>
      </c>
      <c r="J28" s="8">
        <f t="shared" si="1"/>
        <v>181</v>
      </c>
      <c r="K28" s="13">
        <f t="shared" si="2"/>
        <v>217200</v>
      </c>
      <c r="L28" s="12">
        <f t="shared" si="3"/>
        <v>1939075</v>
      </c>
    </row>
    <row r="29" spans="1:12" x14ac:dyDescent="0.25">
      <c r="A29" s="4" t="s">
        <v>44</v>
      </c>
      <c r="B29" s="4" t="s">
        <v>45</v>
      </c>
      <c r="C29" s="4" t="s">
        <v>66</v>
      </c>
      <c r="D29" s="5">
        <v>5</v>
      </c>
      <c r="E29" s="5">
        <v>2014</v>
      </c>
      <c r="F29" s="7">
        <v>23575</v>
      </c>
      <c r="G29" s="8">
        <v>125</v>
      </c>
      <c r="H29" s="13">
        <f t="shared" si="0"/>
        <v>2946875</v>
      </c>
      <c r="I29" s="7">
        <v>1245</v>
      </c>
      <c r="J29" s="8">
        <f t="shared" si="1"/>
        <v>156</v>
      </c>
      <c r="K29" s="13">
        <f t="shared" si="2"/>
        <v>194220</v>
      </c>
      <c r="L29" s="12">
        <f t="shared" si="3"/>
        <v>3141095</v>
      </c>
    </row>
    <row r="30" spans="1:12" x14ac:dyDescent="0.25">
      <c r="A30" s="4" t="s">
        <v>44</v>
      </c>
      <c r="B30" s="4" t="s">
        <v>63</v>
      </c>
      <c r="C30" s="4" t="s">
        <v>64</v>
      </c>
      <c r="D30" s="5">
        <v>2</v>
      </c>
      <c r="E30" s="5">
        <v>2013</v>
      </c>
      <c r="F30" s="7">
        <v>11254</v>
      </c>
      <c r="G30" s="8">
        <v>118</v>
      </c>
      <c r="H30" s="13">
        <f t="shared" si="0"/>
        <v>1327972</v>
      </c>
      <c r="I30" s="7">
        <v>750</v>
      </c>
      <c r="J30" s="8">
        <f t="shared" si="1"/>
        <v>148</v>
      </c>
      <c r="K30" s="13">
        <f t="shared" si="2"/>
        <v>111000</v>
      </c>
      <c r="L30" s="12">
        <f t="shared" si="3"/>
        <v>1438972</v>
      </c>
    </row>
    <row r="31" spans="1:12" x14ac:dyDescent="0.25">
      <c r="A31" s="4" t="s">
        <v>44</v>
      </c>
      <c r="B31" s="4" t="s">
        <v>63</v>
      </c>
      <c r="C31" s="4" t="s">
        <v>72</v>
      </c>
      <c r="D31" s="5">
        <v>10</v>
      </c>
      <c r="E31" s="5">
        <v>2014</v>
      </c>
      <c r="F31" s="7">
        <v>7500</v>
      </c>
      <c r="G31" s="8">
        <v>195</v>
      </c>
      <c r="H31" s="13">
        <f t="shared" si="0"/>
        <v>1462500</v>
      </c>
      <c r="I31" s="7">
        <v>53</v>
      </c>
      <c r="J31" s="8">
        <f t="shared" si="1"/>
        <v>244</v>
      </c>
      <c r="K31" s="13">
        <f t="shared" si="2"/>
        <v>12932</v>
      </c>
      <c r="L31" s="12">
        <f t="shared" si="3"/>
        <v>1475432</v>
      </c>
    </row>
    <row r="32" spans="1:12" x14ac:dyDescent="0.25">
      <c r="A32" s="4" t="s">
        <v>14</v>
      </c>
      <c r="B32" s="4" t="s">
        <v>15</v>
      </c>
      <c r="C32" s="4" t="s">
        <v>16</v>
      </c>
      <c r="D32" s="5">
        <v>6</v>
      </c>
      <c r="E32" s="5">
        <v>2015</v>
      </c>
      <c r="F32" s="7">
        <v>16750</v>
      </c>
      <c r="G32" s="8">
        <v>164</v>
      </c>
      <c r="H32" s="13">
        <f t="shared" si="0"/>
        <v>2747000</v>
      </c>
      <c r="I32" s="7">
        <v>93</v>
      </c>
      <c r="J32" s="8">
        <f t="shared" si="1"/>
        <v>205</v>
      </c>
      <c r="K32" s="13">
        <f t="shared" si="2"/>
        <v>19065</v>
      </c>
      <c r="L32" s="12">
        <f t="shared" si="3"/>
        <v>2766065</v>
      </c>
    </row>
    <row r="33" spans="1:12" x14ac:dyDescent="0.25">
      <c r="A33" s="4" t="s">
        <v>14</v>
      </c>
      <c r="B33" s="4" t="s">
        <v>15</v>
      </c>
      <c r="C33" s="4" t="s">
        <v>54</v>
      </c>
      <c r="D33" s="5">
        <v>8</v>
      </c>
      <c r="E33" s="5">
        <v>2017</v>
      </c>
      <c r="F33" s="7">
        <v>21230</v>
      </c>
      <c r="G33" s="8">
        <v>183</v>
      </c>
      <c r="H33" s="13">
        <f t="shared" si="0"/>
        <v>3885090</v>
      </c>
      <c r="I33" s="7">
        <v>1200</v>
      </c>
      <c r="J33" s="8">
        <f t="shared" si="1"/>
        <v>229</v>
      </c>
      <c r="K33" s="13">
        <f t="shared" si="2"/>
        <v>274800</v>
      </c>
      <c r="L33" s="12">
        <f t="shared" si="3"/>
        <v>4159890</v>
      </c>
    </row>
    <row r="34" spans="1:12" x14ac:dyDescent="0.25">
      <c r="A34" s="4" t="s">
        <v>14</v>
      </c>
      <c r="B34" s="4" t="s">
        <v>15</v>
      </c>
      <c r="C34" s="4" t="s">
        <v>73</v>
      </c>
      <c r="D34" s="5">
        <v>2</v>
      </c>
      <c r="E34" s="5">
        <v>2014</v>
      </c>
      <c r="F34" s="7">
        <v>15374</v>
      </c>
      <c r="G34" s="8">
        <v>120</v>
      </c>
      <c r="H34" s="13">
        <f t="shared" si="0"/>
        <v>1844880</v>
      </c>
      <c r="I34" s="7">
        <v>110</v>
      </c>
      <c r="J34" s="8">
        <f t="shared" si="1"/>
        <v>150</v>
      </c>
      <c r="K34" s="13">
        <f t="shared" si="2"/>
        <v>16500</v>
      </c>
      <c r="L34" s="12">
        <f t="shared" si="3"/>
        <v>1861380</v>
      </c>
    </row>
    <row r="35" spans="1:12" x14ac:dyDescent="0.25">
      <c r="A35" s="4" t="s">
        <v>14</v>
      </c>
      <c r="B35" s="4" t="s">
        <v>23</v>
      </c>
      <c r="C35" s="4" t="s">
        <v>24</v>
      </c>
      <c r="D35" s="5">
        <v>13</v>
      </c>
      <c r="E35" s="5">
        <v>2017</v>
      </c>
      <c r="F35" s="7">
        <v>12400</v>
      </c>
      <c r="G35" s="8">
        <v>194</v>
      </c>
      <c r="H35" s="13">
        <f t="shared" si="0"/>
        <v>2405600</v>
      </c>
      <c r="I35" s="7">
        <v>100</v>
      </c>
      <c r="J35" s="8">
        <f t="shared" si="1"/>
        <v>243</v>
      </c>
      <c r="K35" s="13">
        <f t="shared" si="2"/>
        <v>24300</v>
      </c>
      <c r="L35" s="12">
        <f t="shared" si="3"/>
        <v>2429900</v>
      </c>
    </row>
    <row r="36" spans="1:12" x14ac:dyDescent="0.25">
      <c r="A36" s="4" t="s">
        <v>14</v>
      </c>
      <c r="B36" s="4" t="s">
        <v>23</v>
      </c>
      <c r="C36" s="4" t="s">
        <v>68</v>
      </c>
      <c r="D36" s="5">
        <v>3</v>
      </c>
      <c r="E36" s="5">
        <v>2015</v>
      </c>
      <c r="F36" s="7">
        <v>4500</v>
      </c>
      <c r="G36" s="8">
        <v>125</v>
      </c>
      <c r="H36" s="13">
        <f t="shared" si="0"/>
        <v>562500</v>
      </c>
      <c r="I36" s="7">
        <v>12</v>
      </c>
      <c r="J36" s="8">
        <f t="shared" si="1"/>
        <v>156</v>
      </c>
      <c r="K36" s="13">
        <f t="shared" si="2"/>
        <v>1872</v>
      </c>
      <c r="L36" s="12">
        <f t="shared" si="3"/>
        <v>564372</v>
      </c>
    </row>
    <row r="37" spans="1:12" x14ac:dyDescent="0.25">
      <c r="A37" s="4" t="s">
        <v>14</v>
      </c>
      <c r="B37" s="4" t="s">
        <v>23</v>
      </c>
      <c r="C37" s="4" t="s">
        <v>78</v>
      </c>
      <c r="D37" s="5">
        <v>9</v>
      </c>
      <c r="E37" s="5">
        <v>2016</v>
      </c>
      <c r="F37" s="7">
        <v>4500</v>
      </c>
      <c r="G37" s="8">
        <v>175</v>
      </c>
      <c r="H37" s="13">
        <f t="shared" si="0"/>
        <v>787500</v>
      </c>
      <c r="I37" s="7">
        <v>251</v>
      </c>
      <c r="J37" s="8">
        <f t="shared" si="1"/>
        <v>219</v>
      </c>
      <c r="K37" s="13">
        <f t="shared" si="2"/>
        <v>54969</v>
      </c>
      <c r="L37" s="12">
        <f t="shared" si="3"/>
        <v>842469</v>
      </c>
    </row>
    <row r="38" spans="1:12" x14ac:dyDescent="0.25">
      <c r="A38" s="4" t="s">
        <v>14</v>
      </c>
      <c r="B38" s="4" t="s">
        <v>17</v>
      </c>
      <c r="C38" s="4" t="s">
        <v>18</v>
      </c>
      <c r="D38" s="5">
        <v>8</v>
      </c>
      <c r="E38" s="5">
        <v>2015</v>
      </c>
      <c r="F38" s="7">
        <v>12345</v>
      </c>
      <c r="G38" s="8">
        <v>88</v>
      </c>
      <c r="H38" s="13">
        <f t="shared" si="0"/>
        <v>1086360</v>
      </c>
      <c r="I38" s="7">
        <v>240</v>
      </c>
      <c r="J38" s="8">
        <f t="shared" si="1"/>
        <v>110</v>
      </c>
      <c r="K38" s="13">
        <f t="shared" si="2"/>
        <v>26400</v>
      </c>
      <c r="L38" s="12">
        <f t="shared" si="3"/>
        <v>1112760</v>
      </c>
    </row>
    <row r="39" spans="1:12" x14ac:dyDescent="0.25">
      <c r="A39" s="4" t="s">
        <v>14</v>
      </c>
      <c r="B39" s="4" t="s">
        <v>17</v>
      </c>
      <c r="C39" s="4" t="s">
        <v>43</v>
      </c>
      <c r="D39" s="5">
        <v>5</v>
      </c>
      <c r="E39" s="5">
        <v>2016</v>
      </c>
      <c r="F39" s="7">
        <v>22875</v>
      </c>
      <c r="G39" s="8">
        <v>130</v>
      </c>
      <c r="H39" s="13">
        <f t="shared" si="0"/>
        <v>2973750</v>
      </c>
      <c r="I39" s="7">
        <v>1000</v>
      </c>
      <c r="J39" s="8">
        <f t="shared" si="1"/>
        <v>163</v>
      </c>
      <c r="K39" s="13">
        <f t="shared" si="2"/>
        <v>163000</v>
      </c>
      <c r="L39" s="12">
        <f t="shared" si="3"/>
        <v>3136750</v>
      </c>
    </row>
    <row r="40" spans="1:12" x14ac:dyDescent="0.25">
      <c r="A40" s="4" t="s">
        <v>14</v>
      </c>
      <c r="B40" s="4" t="s">
        <v>17</v>
      </c>
      <c r="C40" s="4" t="s">
        <v>58</v>
      </c>
      <c r="D40" s="5">
        <v>9</v>
      </c>
      <c r="E40" s="5">
        <v>2015</v>
      </c>
      <c r="F40" s="7">
        <v>4575</v>
      </c>
      <c r="G40" s="8">
        <v>156</v>
      </c>
      <c r="H40" s="13">
        <f t="shared" si="0"/>
        <v>713700</v>
      </c>
      <c r="I40" s="7">
        <v>63</v>
      </c>
      <c r="J40" s="8">
        <f t="shared" si="1"/>
        <v>195</v>
      </c>
      <c r="K40" s="13">
        <f t="shared" si="2"/>
        <v>12285</v>
      </c>
      <c r="L40" s="12">
        <f t="shared" si="3"/>
        <v>725985</v>
      </c>
    </row>
    <row r="41" spans="1:12" x14ac:dyDescent="0.25">
      <c r="A41" s="4" t="s">
        <v>40</v>
      </c>
      <c r="B41" s="4" t="s">
        <v>41</v>
      </c>
      <c r="C41" s="4" t="s">
        <v>42</v>
      </c>
      <c r="D41" s="5">
        <v>12</v>
      </c>
      <c r="E41" s="5">
        <v>2017</v>
      </c>
      <c r="F41" s="7">
        <v>9245</v>
      </c>
      <c r="G41" s="8">
        <v>215</v>
      </c>
      <c r="H41" s="13">
        <f t="shared" si="0"/>
        <v>1987675</v>
      </c>
      <c r="I41" s="7">
        <v>218</v>
      </c>
      <c r="J41" s="8">
        <f t="shared" si="1"/>
        <v>269</v>
      </c>
      <c r="K41" s="13">
        <f t="shared" si="2"/>
        <v>58642</v>
      </c>
      <c r="L41" s="12">
        <f t="shared" si="3"/>
        <v>2046317</v>
      </c>
    </row>
    <row r="42" spans="1:12" x14ac:dyDescent="0.25">
      <c r="A42" s="4" t="s">
        <v>40</v>
      </c>
      <c r="B42" s="4" t="s">
        <v>41</v>
      </c>
      <c r="C42" s="4" t="s">
        <v>51</v>
      </c>
      <c r="D42" s="5">
        <v>2</v>
      </c>
      <c r="E42" s="5">
        <v>2016</v>
      </c>
      <c r="F42" s="7">
        <v>5387</v>
      </c>
      <c r="G42" s="8">
        <v>182</v>
      </c>
      <c r="H42" s="13">
        <f t="shared" si="0"/>
        <v>980434</v>
      </c>
      <c r="I42" s="7">
        <v>34</v>
      </c>
      <c r="J42" s="8">
        <f t="shared" si="1"/>
        <v>228</v>
      </c>
      <c r="K42" s="13">
        <f t="shared" si="2"/>
        <v>7752</v>
      </c>
      <c r="L42" s="12">
        <f t="shared" si="3"/>
        <v>988186</v>
      </c>
    </row>
    <row r="43" spans="1:12" x14ac:dyDescent="0.25">
      <c r="A43" s="4" t="s">
        <v>40</v>
      </c>
      <c r="B43" s="4" t="s">
        <v>52</v>
      </c>
      <c r="C43" s="4" t="s">
        <v>53</v>
      </c>
      <c r="D43" s="5">
        <v>12</v>
      </c>
      <c r="E43" s="5">
        <v>2017</v>
      </c>
      <c r="F43" s="7">
        <v>37400</v>
      </c>
      <c r="G43" s="8">
        <v>206</v>
      </c>
      <c r="H43" s="13">
        <f t="shared" si="0"/>
        <v>7704400</v>
      </c>
      <c r="I43" s="7">
        <v>1000</v>
      </c>
      <c r="J43" s="8">
        <f t="shared" si="1"/>
        <v>258</v>
      </c>
      <c r="K43" s="13">
        <f t="shared" si="2"/>
        <v>258000</v>
      </c>
      <c r="L43" s="12">
        <f t="shared" si="3"/>
        <v>7962400</v>
      </c>
    </row>
    <row r="44" spans="1:12" x14ac:dyDescent="0.25">
      <c r="A44" s="4" t="s">
        <v>40</v>
      </c>
      <c r="B44" s="4" t="s">
        <v>52</v>
      </c>
      <c r="C44" s="4" t="s">
        <v>67</v>
      </c>
      <c r="D44" s="5">
        <v>3</v>
      </c>
      <c r="E44" s="5">
        <v>2015</v>
      </c>
      <c r="F44" s="7">
        <v>2750</v>
      </c>
      <c r="G44" s="8">
        <v>165</v>
      </c>
      <c r="H44" s="13">
        <f t="shared" si="0"/>
        <v>453750</v>
      </c>
      <c r="I44" s="7">
        <v>83</v>
      </c>
      <c r="J44" s="8">
        <f t="shared" si="1"/>
        <v>206</v>
      </c>
      <c r="K44" s="13">
        <f t="shared" si="2"/>
        <v>17098</v>
      </c>
      <c r="L44" s="12">
        <f t="shared" si="3"/>
        <v>470848</v>
      </c>
    </row>
    <row r="45" spans="1:12" x14ac:dyDescent="0.25">
      <c r="A45" s="4" t="s">
        <v>19</v>
      </c>
      <c r="B45" s="4" t="s">
        <v>38</v>
      </c>
      <c r="C45" s="4" t="s">
        <v>39</v>
      </c>
      <c r="D45" s="5">
        <v>2</v>
      </c>
      <c r="E45" s="5">
        <v>2016</v>
      </c>
      <c r="F45" s="7">
        <v>14398</v>
      </c>
      <c r="G45" s="8">
        <v>182</v>
      </c>
      <c r="H45" s="13">
        <f t="shared" si="0"/>
        <v>2620436</v>
      </c>
      <c r="I45" s="7">
        <v>212</v>
      </c>
      <c r="J45" s="8">
        <f t="shared" si="1"/>
        <v>228</v>
      </c>
      <c r="K45" s="13">
        <f t="shared" si="2"/>
        <v>48336</v>
      </c>
      <c r="L45" s="12">
        <f t="shared" si="3"/>
        <v>2668772</v>
      </c>
    </row>
    <row r="46" spans="1:12" x14ac:dyDescent="0.25">
      <c r="A46" s="4" t="s">
        <v>19</v>
      </c>
      <c r="B46" s="4" t="s">
        <v>38</v>
      </c>
      <c r="C46" s="4" t="s">
        <v>65</v>
      </c>
      <c r="D46" s="5">
        <v>1</v>
      </c>
      <c r="E46" s="5">
        <v>2014</v>
      </c>
      <c r="F46" s="7">
        <v>9876</v>
      </c>
      <c r="G46" s="8">
        <v>155</v>
      </c>
      <c r="H46" s="13">
        <f t="shared" si="0"/>
        <v>1530780</v>
      </c>
      <c r="I46" s="7">
        <v>22</v>
      </c>
      <c r="J46" s="8">
        <f t="shared" si="1"/>
        <v>194</v>
      </c>
      <c r="K46" s="13">
        <f t="shared" si="2"/>
        <v>4268</v>
      </c>
      <c r="L46" s="12">
        <f t="shared" si="3"/>
        <v>1535048</v>
      </c>
    </row>
    <row r="47" spans="1:12" x14ac:dyDescent="0.25">
      <c r="A47" s="4" t="s">
        <v>19</v>
      </c>
      <c r="B47" s="4" t="s">
        <v>38</v>
      </c>
      <c r="C47" s="4" t="s">
        <v>79</v>
      </c>
      <c r="D47" s="5">
        <v>1</v>
      </c>
      <c r="E47" s="5">
        <v>2012</v>
      </c>
      <c r="F47" s="7">
        <v>20100</v>
      </c>
      <c r="G47" s="8">
        <v>125</v>
      </c>
      <c r="H47" s="13">
        <f t="shared" si="0"/>
        <v>2512500</v>
      </c>
      <c r="I47" s="7">
        <v>1723</v>
      </c>
      <c r="J47" s="8">
        <f t="shared" si="1"/>
        <v>156</v>
      </c>
      <c r="K47" s="13">
        <f t="shared" si="2"/>
        <v>268788</v>
      </c>
      <c r="L47" s="12">
        <f t="shared" si="3"/>
        <v>2781288</v>
      </c>
    </row>
    <row r="48" spans="1:12" x14ac:dyDescent="0.25">
      <c r="A48" s="4" t="s">
        <v>19</v>
      </c>
      <c r="B48" s="4" t="s">
        <v>20</v>
      </c>
      <c r="C48" s="4" t="s">
        <v>21</v>
      </c>
      <c r="D48" s="5">
        <v>4</v>
      </c>
      <c r="E48" s="5">
        <v>2017</v>
      </c>
      <c r="F48" s="7">
        <v>7500</v>
      </c>
      <c r="G48" s="8">
        <v>212</v>
      </c>
      <c r="H48" s="13">
        <f t="shared" si="0"/>
        <v>1590000</v>
      </c>
      <c r="I48" s="7">
        <v>100</v>
      </c>
      <c r="J48" s="8">
        <f t="shared" si="1"/>
        <v>265</v>
      </c>
      <c r="K48" s="13">
        <f t="shared" si="2"/>
        <v>26500</v>
      </c>
      <c r="L48" s="12">
        <f t="shared" si="3"/>
        <v>1616500</v>
      </c>
    </row>
    <row r="49" spans="1:12" x14ac:dyDescent="0.25">
      <c r="A49" s="4" t="s">
        <v>19</v>
      </c>
      <c r="B49" s="4" t="s">
        <v>20</v>
      </c>
      <c r="C49" s="4" t="s">
        <v>22</v>
      </c>
      <c r="D49" s="5">
        <v>1</v>
      </c>
      <c r="E49" s="5">
        <v>2016</v>
      </c>
      <c r="F49" s="7">
        <v>14300</v>
      </c>
      <c r="G49" s="8">
        <v>185</v>
      </c>
      <c r="H49" s="13">
        <f t="shared" si="0"/>
        <v>2645500</v>
      </c>
      <c r="I49" s="7">
        <v>1000</v>
      </c>
      <c r="J49" s="8">
        <f t="shared" si="1"/>
        <v>231</v>
      </c>
      <c r="K49" s="13">
        <f t="shared" si="2"/>
        <v>231000</v>
      </c>
      <c r="L49" s="12">
        <f t="shared" si="3"/>
        <v>2876500</v>
      </c>
    </row>
    <row r="50" spans="1:12" x14ac:dyDescent="0.25">
      <c r="A50" s="4" t="s">
        <v>19</v>
      </c>
      <c r="B50" s="4" t="s">
        <v>20</v>
      </c>
      <c r="C50" s="4" t="s">
        <v>37</v>
      </c>
      <c r="D50" s="5">
        <v>8</v>
      </c>
      <c r="E50" s="5">
        <v>2017</v>
      </c>
      <c r="F50" s="7">
        <v>25000</v>
      </c>
      <c r="G50" s="8">
        <v>192</v>
      </c>
      <c r="H50" s="13">
        <f t="shared" si="0"/>
        <v>4800000</v>
      </c>
      <c r="I50" s="7">
        <v>123</v>
      </c>
      <c r="J50" s="8">
        <f t="shared" si="1"/>
        <v>240</v>
      </c>
      <c r="K50" s="13">
        <f t="shared" si="2"/>
        <v>29520</v>
      </c>
      <c r="L50" s="12">
        <f t="shared" si="3"/>
        <v>4829520</v>
      </c>
    </row>
    <row r="51" spans="1:12" x14ac:dyDescent="0.25">
      <c r="A51" s="4" t="s">
        <v>19</v>
      </c>
      <c r="B51" s="4" t="s">
        <v>35</v>
      </c>
      <c r="C51" s="4" t="s">
        <v>36</v>
      </c>
      <c r="D51" s="5">
        <v>5</v>
      </c>
      <c r="E51" s="5">
        <v>2017</v>
      </c>
      <c r="F51" s="7">
        <v>4500</v>
      </c>
      <c r="G51" s="8">
        <v>275</v>
      </c>
      <c r="H51" s="13">
        <f t="shared" si="0"/>
        <v>1237500</v>
      </c>
      <c r="I51" s="7">
        <v>312</v>
      </c>
      <c r="J51" s="8">
        <f t="shared" si="1"/>
        <v>344</v>
      </c>
      <c r="K51" s="13">
        <f t="shared" si="2"/>
        <v>107328</v>
      </c>
      <c r="L51" s="12">
        <f t="shared" si="3"/>
        <v>1344828</v>
      </c>
    </row>
    <row r="52" spans="1:12" x14ac:dyDescent="0.25">
      <c r="A52" s="4" t="s">
        <v>19</v>
      </c>
      <c r="B52" s="4" t="s">
        <v>35</v>
      </c>
      <c r="C52" s="4" t="s">
        <v>74</v>
      </c>
      <c r="D52" s="5">
        <v>3</v>
      </c>
      <c r="E52" s="5">
        <v>2017</v>
      </c>
      <c r="F52" s="7">
        <v>20300</v>
      </c>
      <c r="G52" s="8">
        <v>298</v>
      </c>
      <c r="H52" s="13">
        <f t="shared" si="0"/>
        <v>6049400</v>
      </c>
      <c r="I52" s="7">
        <v>118</v>
      </c>
      <c r="J52" s="8">
        <f t="shared" si="1"/>
        <v>373</v>
      </c>
      <c r="K52" s="13">
        <f t="shared" si="2"/>
        <v>44014</v>
      </c>
      <c r="L52" s="12">
        <f t="shared" si="3"/>
        <v>6093414</v>
      </c>
    </row>
    <row r="53" spans="1:12" x14ac:dyDescent="0.25">
      <c r="A53" s="4" t="s">
        <v>19</v>
      </c>
      <c r="B53" s="4" t="s">
        <v>35</v>
      </c>
      <c r="C53" s="4" t="s">
        <v>77</v>
      </c>
      <c r="D53" s="5">
        <v>1</v>
      </c>
      <c r="E53" s="5">
        <v>2015</v>
      </c>
      <c r="F53" s="7">
        <v>11983</v>
      </c>
      <c r="G53" s="8">
        <v>66</v>
      </c>
      <c r="H53" s="13">
        <f t="shared" si="0"/>
        <v>790878</v>
      </c>
      <c r="I53" s="7">
        <v>93</v>
      </c>
      <c r="J53" s="8">
        <f t="shared" si="1"/>
        <v>83</v>
      </c>
      <c r="K53" s="13">
        <f t="shared" si="2"/>
        <v>7719</v>
      </c>
      <c r="L53" s="12">
        <f t="shared" si="3"/>
        <v>798597</v>
      </c>
    </row>
  </sheetData>
  <sortState ref="A8:L53">
    <sortCondition ref="A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zoomScale="96" zoomScaleNormal="96" zoomScalePageLayoutView="1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8" sqref="A28"/>
    </sheetView>
  </sheetViews>
  <sheetFormatPr defaultColWidth="8.85546875" defaultRowHeight="15" x14ac:dyDescent="0.25"/>
  <cols>
    <col min="1" max="1" width="31.7109375" style="4" customWidth="1"/>
    <col min="2" max="2" width="32.7109375" style="4" customWidth="1"/>
    <col min="3" max="3" width="50.42578125" style="4" customWidth="1"/>
    <col min="4" max="4" width="7.28515625" style="4" bestFit="1" customWidth="1"/>
    <col min="5" max="5" width="9.140625" style="4" customWidth="1"/>
    <col min="6" max="6" width="11" style="4" customWidth="1"/>
    <col min="7" max="7" width="12" style="4" customWidth="1"/>
    <col min="8" max="8" width="13.7109375" style="4" customWidth="1"/>
    <col min="9" max="9" width="11" style="4" customWidth="1"/>
    <col min="10" max="10" width="12" style="4" customWidth="1"/>
    <col min="11" max="12" width="13.7109375" style="4" customWidth="1"/>
    <col min="13" max="16384" width="8.85546875" style="4"/>
  </cols>
  <sheetData>
    <row r="1" spans="1:12" x14ac:dyDescent="0.25">
      <c r="D1" s="5"/>
      <c r="E1" s="5"/>
      <c r="G1" s="4" t="s">
        <v>0</v>
      </c>
      <c r="J1" s="6">
        <v>1.25</v>
      </c>
    </row>
    <row r="2" spans="1:12" x14ac:dyDescent="0.25">
      <c r="D2" s="5"/>
      <c r="E2" s="5"/>
      <c r="G2" s="4" t="s">
        <v>1</v>
      </c>
      <c r="J2" s="6">
        <v>0.1</v>
      </c>
    </row>
    <row r="3" spans="1:12" x14ac:dyDescent="0.25">
      <c r="D3" s="5"/>
      <c r="E3" s="5"/>
      <c r="J3" s="6"/>
    </row>
    <row r="4" spans="1:12" ht="30" x14ac:dyDescent="0.25">
      <c r="A4" s="9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</row>
    <row r="5" spans="1:12" x14ac:dyDescent="0.25">
      <c r="A5" s="4" t="s">
        <v>14</v>
      </c>
      <c r="B5" s="4" t="s">
        <v>15</v>
      </c>
      <c r="C5" s="4" t="s">
        <v>16</v>
      </c>
      <c r="D5" s="5">
        <v>6</v>
      </c>
      <c r="E5" s="5">
        <v>2015</v>
      </c>
      <c r="F5" s="7">
        <v>16750</v>
      </c>
      <c r="G5" s="8">
        <v>164</v>
      </c>
      <c r="H5" s="13">
        <f t="shared" ref="H5:H50" si="0">F5*G5</f>
        <v>2747000</v>
      </c>
      <c r="I5" s="7">
        <v>93</v>
      </c>
      <c r="J5" s="8">
        <f t="shared" ref="J5:J50" si="1">ROUND(G5*RetailRate,0)</f>
        <v>205</v>
      </c>
      <c r="K5" s="13">
        <f t="shared" ref="K5:K50" si="2">I5*J5</f>
        <v>19065</v>
      </c>
      <c r="L5" s="12">
        <f t="shared" ref="L5:L50" si="3">H5+K5</f>
        <v>2766065</v>
      </c>
    </row>
    <row r="6" spans="1:12" x14ac:dyDescent="0.25">
      <c r="A6" s="4" t="s">
        <v>14</v>
      </c>
      <c r="B6" s="4" t="s">
        <v>17</v>
      </c>
      <c r="C6" s="4" t="s">
        <v>18</v>
      </c>
      <c r="D6" s="5">
        <v>8</v>
      </c>
      <c r="E6" s="5">
        <v>2015</v>
      </c>
      <c r="F6" s="7">
        <v>12345</v>
      </c>
      <c r="G6" s="8">
        <v>88</v>
      </c>
      <c r="H6" s="13">
        <f t="shared" si="0"/>
        <v>1086360</v>
      </c>
      <c r="I6" s="7">
        <v>240</v>
      </c>
      <c r="J6" s="8">
        <f t="shared" si="1"/>
        <v>110</v>
      </c>
      <c r="K6" s="13">
        <f t="shared" si="2"/>
        <v>26400</v>
      </c>
      <c r="L6" s="12">
        <f t="shared" si="3"/>
        <v>1112760</v>
      </c>
    </row>
    <row r="7" spans="1:12" x14ac:dyDescent="0.25">
      <c r="A7" s="4" t="s">
        <v>19</v>
      </c>
      <c r="B7" s="4" t="s">
        <v>20</v>
      </c>
      <c r="C7" s="4" t="s">
        <v>21</v>
      </c>
      <c r="D7" s="5">
        <v>4</v>
      </c>
      <c r="E7" s="5">
        <v>2017</v>
      </c>
      <c r="F7" s="7">
        <v>7500</v>
      </c>
      <c r="G7" s="8">
        <v>212</v>
      </c>
      <c r="H7" s="13">
        <f t="shared" si="0"/>
        <v>1590000</v>
      </c>
      <c r="I7" s="7">
        <v>100</v>
      </c>
      <c r="J7" s="8">
        <f t="shared" si="1"/>
        <v>265</v>
      </c>
      <c r="K7" s="13">
        <f t="shared" si="2"/>
        <v>26500</v>
      </c>
      <c r="L7" s="12">
        <f t="shared" si="3"/>
        <v>1616500</v>
      </c>
    </row>
    <row r="8" spans="1:12" x14ac:dyDescent="0.25">
      <c r="A8" s="4" t="s">
        <v>19</v>
      </c>
      <c r="B8" s="4" t="s">
        <v>20</v>
      </c>
      <c r="C8" s="4" t="s">
        <v>22</v>
      </c>
      <c r="D8" s="5">
        <v>1</v>
      </c>
      <c r="E8" s="5">
        <v>2016</v>
      </c>
      <c r="F8" s="7">
        <v>14300</v>
      </c>
      <c r="G8" s="8">
        <v>185</v>
      </c>
      <c r="H8" s="13">
        <f t="shared" si="0"/>
        <v>2645500</v>
      </c>
      <c r="I8" s="7">
        <v>1000</v>
      </c>
      <c r="J8" s="8">
        <f t="shared" si="1"/>
        <v>231</v>
      </c>
      <c r="K8" s="13">
        <f t="shared" si="2"/>
        <v>231000</v>
      </c>
      <c r="L8" s="12">
        <f t="shared" si="3"/>
        <v>2876500</v>
      </c>
    </row>
    <row r="9" spans="1:12" x14ac:dyDescent="0.25">
      <c r="A9" s="4" t="s">
        <v>14</v>
      </c>
      <c r="B9" s="4" t="s">
        <v>23</v>
      </c>
      <c r="C9" s="4" t="s">
        <v>24</v>
      </c>
      <c r="D9" s="5">
        <v>13</v>
      </c>
      <c r="E9" s="5">
        <v>2017</v>
      </c>
      <c r="F9" s="7">
        <v>12400</v>
      </c>
      <c r="G9" s="8">
        <v>194</v>
      </c>
      <c r="H9" s="13">
        <f t="shared" si="0"/>
        <v>2405600</v>
      </c>
      <c r="I9" s="7">
        <v>100</v>
      </c>
      <c r="J9" s="8">
        <f t="shared" si="1"/>
        <v>243</v>
      </c>
      <c r="K9" s="13">
        <f t="shared" si="2"/>
        <v>24300</v>
      </c>
      <c r="L9" s="12">
        <f t="shared" si="3"/>
        <v>2429900</v>
      </c>
    </row>
    <row r="10" spans="1:12" x14ac:dyDescent="0.25">
      <c r="A10" s="4" t="s">
        <v>25</v>
      </c>
      <c r="B10" s="4" t="s">
        <v>26</v>
      </c>
      <c r="C10" s="4" t="s">
        <v>27</v>
      </c>
      <c r="D10" s="5">
        <v>4</v>
      </c>
      <c r="E10" s="5">
        <v>2017</v>
      </c>
      <c r="F10" s="7">
        <v>25750</v>
      </c>
      <c r="G10" s="8">
        <v>208</v>
      </c>
      <c r="H10" s="13">
        <f t="shared" si="0"/>
        <v>5356000</v>
      </c>
      <c r="I10" s="7">
        <v>1234</v>
      </c>
      <c r="J10" s="8">
        <f t="shared" si="1"/>
        <v>260</v>
      </c>
      <c r="K10" s="13">
        <f t="shared" si="2"/>
        <v>320840</v>
      </c>
      <c r="L10" s="12">
        <f t="shared" si="3"/>
        <v>5676840</v>
      </c>
    </row>
    <row r="11" spans="1:12" x14ac:dyDescent="0.25">
      <c r="A11" s="4" t="s">
        <v>28</v>
      </c>
      <c r="B11" s="4" t="s">
        <v>29</v>
      </c>
      <c r="C11" s="4" t="s">
        <v>30</v>
      </c>
      <c r="D11" s="5">
        <v>10</v>
      </c>
      <c r="E11" s="5">
        <v>2014</v>
      </c>
      <c r="F11" s="7">
        <v>5575</v>
      </c>
      <c r="G11" s="8">
        <v>266</v>
      </c>
      <c r="H11" s="13">
        <f t="shared" si="0"/>
        <v>1482950</v>
      </c>
      <c r="I11" s="7">
        <v>32</v>
      </c>
      <c r="J11" s="8">
        <f t="shared" si="1"/>
        <v>333</v>
      </c>
      <c r="K11" s="13">
        <f t="shared" si="2"/>
        <v>10656</v>
      </c>
      <c r="L11" s="12">
        <f t="shared" si="3"/>
        <v>1493606</v>
      </c>
    </row>
    <row r="12" spans="1:12" x14ac:dyDescent="0.25">
      <c r="A12" s="4" t="s">
        <v>28</v>
      </c>
      <c r="B12" s="4" t="s">
        <v>31</v>
      </c>
      <c r="C12" s="4" t="s">
        <v>32</v>
      </c>
      <c r="D12" s="5">
        <v>6</v>
      </c>
      <c r="E12" s="5">
        <v>2017</v>
      </c>
      <c r="F12" s="7">
        <v>18500</v>
      </c>
      <c r="G12" s="8">
        <v>219</v>
      </c>
      <c r="H12" s="13">
        <f t="shared" si="0"/>
        <v>4051500</v>
      </c>
      <c r="I12" s="7">
        <v>245</v>
      </c>
      <c r="J12" s="8">
        <f t="shared" si="1"/>
        <v>274</v>
      </c>
      <c r="K12" s="13">
        <f t="shared" si="2"/>
        <v>67130</v>
      </c>
      <c r="L12" s="12">
        <f t="shared" si="3"/>
        <v>4118630</v>
      </c>
    </row>
    <row r="13" spans="1:12" x14ac:dyDescent="0.25">
      <c r="A13" s="4" t="s">
        <v>28</v>
      </c>
      <c r="B13" s="4" t="s">
        <v>29</v>
      </c>
      <c r="C13" s="4" t="s">
        <v>33</v>
      </c>
      <c r="D13" s="5">
        <v>11</v>
      </c>
      <c r="E13" s="5">
        <v>2017</v>
      </c>
      <c r="F13" s="7">
        <v>5893</v>
      </c>
      <c r="G13" s="8">
        <v>230</v>
      </c>
      <c r="H13" s="13">
        <f t="shared" si="0"/>
        <v>1355390</v>
      </c>
      <c r="I13" s="7">
        <v>93</v>
      </c>
      <c r="J13" s="8">
        <f t="shared" si="1"/>
        <v>288</v>
      </c>
      <c r="K13" s="13">
        <f t="shared" si="2"/>
        <v>26784</v>
      </c>
      <c r="L13" s="12">
        <f t="shared" si="3"/>
        <v>1382174</v>
      </c>
    </row>
    <row r="14" spans="1:12" x14ac:dyDescent="0.25">
      <c r="A14" s="4" t="s">
        <v>28</v>
      </c>
      <c r="B14" s="4" t="s">
        <v>29</v>
      </c>
      <c r="C14" s="4" t="s">
        <v>34</v>
      </c>
      <c r="D14" s="5">
        <v>5</v>
      </c>
      <c r="E14" s="5">
        <v>2014</v>
      </c>
      <c r="F14" s="7">
        <v>7503</v>
      </c>
      <c r="G14" s="8">
        <v>185</v>
      </c>
      <c r="H14" s="13">
        <f t="shared" si="0"/>
        <v>1388055</v>
      </c>
      <c r="I14" s="7">
        <v>29</v>
      </c>
      <c r="J14" s="8">
        <f t="shared" si="1"/>
        <v>231</v>
      </c>
      <c r="K14" s="13">
        <f t="shared" si="2"/>
        <v>6699</v>
      </c>
      <c r="L14" s="12">
        <f t="shared" si="3"/>
        <v>1394754</v>
      </c>
    </row>
    <row r="15" spans="1:12" x14ac:dyDescent="0.25">
      <c r="A15" s="4" t="s">
        <v>19</v>
      </c>
      <c r="B15" s="4" t="s">
        <v>35</v>
      </c>
      <c r="C15" s="4" t="s">
        <v>36</v>
      </c>
      <c r="D15" s="5">
        <v>5</v>
      </c>
      <c r="E15" s="5">
        <v>2017</v>
      </c>
      <c r="F15" s="7">
        <v>4500</v>
      </c>
      <c r="G15" s="8">
        <v>275</v>
      </c>
      <c r="H15" s="13">
        <f t="shared" si="0"/>
        <v>1237500</v>
      </c>
      <c r="I15" s="7">
        <v>312</v>
      </c>
      <c r="J15" s="8">
        <f t="shared" si="1"/>
        <v>344</v>
      </c>
      <c r="K15" s="13">
        <f t="shared" si="2"/>
        <v>107328</v>
      </c>
      <c r="L15" s="12">
        <f t="shared" si="3"/>
        <v>1344828</v>
      </c>
    </row>
    <row r="16" spans="1:12" x14ac:dyDescent="0.25">
      <c r="A16" s="4" t="s">
        <v>19</v>
      </c>
      <c r="B16" s="4" t="s">
        <v>20</v>
      </c>
      <c r="C16" s="4" t="s">
        <v>37</v>
      </c>
      <c r="D16" s="5">
        <v>8</v>
      </c>
      <c r="E16" s="5">
        <v>2017</v>
      </c>
      <c r="F16" s="7">
        <v>25000</v>
      </c>
      <c r="G16" s="8">
        <v>192</v>
      </c>
      <c r="H16" s="13">
        <f t="shared" si="0"/>
        <v>4800000</v>
      </c>
      <c r="I16" s="7">
        <v>123</v>
      </c>
      <c r="J16" s="8">
        <f t="shared" si="1"/>
        <v>240</v>
      </c>
      <c r="K16" s="13">
        <f t="shared" si="2"/>
        <v>29520</v>
      </c>
      <c r="L16" s="12">
        <f t="shared" si="3"/>
        <v>4829520</v>
      </c>
    </row>
    <row r="17" spans="1:12" x14ac:dyDescent="0.25">
      <c r="A17" s="4" t="s">
        <v>19</v>
      </c>
      <c r="B17" s="4" t="s">
        <v>38</v>
      </c>
      <c r="C17" s="4" t="s">
        <v>39</v>
      </c>
      <c r="D17" s="5">
        <v>2</v>
      </c>
      <c r="E17" s="5">
        <v>2016</v>
      </c>
      <c r="F17" s="7">
        <v>14398</v>
      </c>
      <c r="G17" s="8">
        <v>182</v>
      </c>
      <c r="H17" s="13">
        <f t="shared" si="0"/>
        <v>2620436</v>
      </c>
      <c r="I17" s="7">
        <v>212</v>
      </c>
      <c r="J17" s="8">
        <f t="shared" si="1"/>
        <v>228</v>
      </c>
      <c r="K17" s="13">
        <f t="shared" si="2"/>
        <v>48336</v>
      </c>
      <c r="L17" s="12">
        <f t="shared" si="3"/>
        <v>2668772</v>
      </c>
    </row>
    <row r="18" spans="1:12" x14ac:dyDescent="0.25">
      <c r="A18" s="4" t="s">
        <v>40</v>
      </c>
      <c r="B18" s="4" t="s">
        <v>41</v>
      </c>
      <c r="C18" s="4" t="s">
        <v>42</v>
      </c>
      <c r="D18" s="5">
        <v>12</v>
      </c>
      <c r="E18" s="5">
        <v>2017</v>
      </c>
      <c r="F18" s="7">
        <v>9245</v>
      </c>
      <c r="G18" s="8">
        <v>215</v>
      </c>
      <c r="H18" s="13">
        <f t="shared" si="0"/>
        <v>1987675</v>
      </c>
      <c r="I18" s="7">
        <v>218</v>
      </c>
      <c r="J18" s="8">
        <f t="shared" si="1"/>
        <v>269</v>
      </c>
      <c r="K18" s="13">
        <f t="shared" si="2"/>
        <v>58642</v>
      </c>
      <c r="L18" s="12">
        <f t="shared" si="3"/>
        <v>2046317</v>
      </c>
    </row>
    <row r="19" spans="1:12" x14ac:dyDescent="0.25">
      <c r="A19" s="4" t="s">
        <v>14</v>
      </c>
      <c r="B19" s="4" t="s">
        <v>17</v>
      </c>
      <c r="C19" s="4" t="s">
        <v>43</v>
      </c>
      <c r="D19" s="5">
        <v>5</v>
      </c>
      <c r="E19" s="5">
        <v>2016</v>
      </c>
      <c r="F19" s="7">
        <v>22875</v>
      </c>
      <c r="G19" s="8">
        <v>130</v>
      </c>
      <c r="H19" s="13">
        <f t="shared" si="0"/>
        <v>2973750</v>
      </c>
      <c r="I19" s="7">
        <v>1000</v>
      </c>
      <c r="J19" s="8">
        <f t="shared" si="1"/>
        <v>163</v>
      </c>
      <c r="K19" s="13">
        <f t="shared" si="2"/>
        <v>163000</v>
      </c>
      <c r="L19" s="12">
        <f t="shared" si="3"/>
        <v>3136750</v>
      </c>
    </row>
    <row r="20" spans="1:12" x14ac:dyDescent="0.25">
      <c r="A20" s="4" t="s">
        <v>44</v>
      </c>
      <c r="B20" s="4" t="s">
        <v>45</v>
      </c>
      <c r="C20" s="4" t="s">
        <v>46</v>
      </c>
      <c r="D20" s="5">
        <v>2</v>
      </c>
      <c r="E20" s="5">
        <v>2016</v>
      </c>
      <c r="F20" s="7">
        <v>32400</v>
      </c>
      <c r="G20" s="8">
        <v>110</v>
      </c>
      <c r="H20" s="13">
        <f t="shared" si="0"/>
        <v>3564000</v>
      </c>
      <c r="I20" s="7">
        <v>1309</v>
      </c>
      <c r="J20" s="8">
        <f t="shared" si="1"/>
        <v>138</v>
      </c>
      <c r="K20" s="13">
        <f t="shared" si="2"/>
        <v>180642</v>
      </c>
      <c r="L20" s="12">
        <f t="shared" si="3"/>
        <v>3744642</v>
      </c>
    </row>
    <row r="21" spans="1:12" x14ac:dyDescent="0.25">
      <c r="A21" s="4" t="s">
        <v>44</v>
      </c>
      <c r="B21" s="4" t="s">
        <v>45</v>
      </c>
      <c r="C21" s="4" t="s">
        <v>44</v>
      </c>
      <c r="D21" s="5">
        <v>13</v>
      </c>
      <c r="E21" s="5">
        <v>2017</v>
      </c>
      <c r="F21" s="7">
        <v>22418</v>
      </c>
      <c r="G21" s="8">
        <v>218</v>
      </c>
      <c r="H21" s="13">
        <f t="shared" si="0"/>
        <v>4887124</v>
      </c>
      <c r="I21" s="7">
        <v>45</v>
      </c>
      <c r="J21" s="8">
        <f t="shared" si="1"/>
        <v>273</v>
      </c>
      <c r="K21" s="13">
        <f t="shared" si="2"/>
        <v>12285</v>
      </c>
      <c r="L21" s="12">
        <f t="shared" si="3"/>
        <v>4899409</v>
      </c>
    </row>
    <row r="22" spans="1:12" x14ac:dyDescent="0.25">
      <c r="A22" s="4" t="s">
        <v>28</v>
      </c>
      <c r="B22" s="4" t="s">
        <v>29</v>
      </c>
      <c r="C22" s="4" t="s">
        <v>47</v>
      </c>
      <c r="D22" s="5">
        <v>6</v>
      </c>
      <c r="E22" s="5">
        <v>2016</v>
      </c>
      <c r="F22" s="7">
        <v>3400</v>
      </c>
      <c r="G22" s="8">
        <v>204</v>
      </c>
      <c r="H22" s="13">
        <f t="shared" si="0"/>
        <v>693600</v>
      </c>
      <c r="I22" s="7">
        <v>24</v>
      </c>
      <c r="J22" s="8">
        <f t="shared" si="1"/>
        <v>255</v>
      </c>
      <c r="K22" s="13">
        <f t="shared" si="2"/>
        <v>6120</v>
      </c>
      <c r="L22" s="12">
        <f t="shared" si="3"/>
        <v>699720</v>
      </c>
    </row>
    <row r="23" spans="1:12" x14ac:dyDescent="0.25">
      <c r="A23" s="4" t="s">
        <v>44</v>
      </c>
      <c r="B23" s="4" t="s">
        <v>45</v>
      </c>
      <c r="C23" s="4" t="s">
        <v>48</v>
      </c>
      <c r="D23" s="5">
        <v>5</v>
      </c>
      <c r="E23" s="5">
        <v>2015</v>
      </c>
      <c r="F23" s="7">
        <v>11875</v>
      </c>
      <c r="G23" s="8">
        <v>145</v>
      </c>
      <c r="H23" s="13">
        <f t="shared" si="0"/>
        <v>1721875</v>
      </c>
      <c r="I23" s="7">
        <v>1200</v>
      </c>
      <c r="J23" s="8">
        <f t="shared" si="1"/>
        <v>181</v>
      </c>
      <c r="K23" s="13">
        <f t="shared" si="2"/>
        <v>217200</v>
      </c>
      <c r="L23" s="12">
        <f t="shared" si="3"/>
        <v>1939075</v>
      </c>
    </row>
    <row r="24" spans="1:12" x14ac:dyDescent="0.25">
      <c r="A24" s="4" t="s">
        <v>25</v>
      </c>
      <c r="B24" s="4" t="s">
        <v>49</v>
      </c>
      <c r="C24" s="4" t="s">
        <v>50</v>
      </c>
      <c r="D24" s="5">
        <v>3</v>
      </c>
      <c r="E24" s="5">
        <v>2016</v>
      </c>
      <c r="F24" s="7">
        <v>5500</v>
      </c>
      <c r="G24" s="8">
        <v>244</v>
      </c>
      <c r="H24" s="13">
        <f t="shared" si="0"/>
        <v>1342000</v>
      </c>
      <c r="I24" s="7">
        <v>114</v>
      </c>
      <c r="J24" s="8">
        <f t="shared" si="1"/>
        <v>305</v>
      </c>
      <c r="K24" s="13">
        <f t="shared" si="2"/>
        <v>34770</v>
      </c>
      <c r="L24" s="12">
        <f t="shared" si="3"/>
        <v>1376770</v>
      </c>
    </row>
    <row r="25" spans="1:12" x14ac:dyDescent="0.25">
      <c r="A25" s="4" t="s">
        <v>40</v>
      </c>
      <c r="B25" s="4" t="s">
        <v>41</v>
      </c>
      <c r="C25" s="4" t="s">
        <v>51</v>
      </c>
      <c r="D25" s="5">
        <v>2</v>
      </c>
      <c r="E25" s="5">
        <v>2016</v>
      </c>
      <c r="F25" s="7">
        <v>5387</v>
      </c>
      <c r="G25" s="8">
        <v>182</v>
      </c>
      <c r="H25" s="13">
        <f t="shared" si="0"/>
        <v>980434</v>
      </c>
      <c r="I25" s="7">
        <v>34</v>
      </c>
      <c r="J25" s="8">
        <f t="shared" si="1"/>
        <v>228</v>
      </c>
      <c r="K25" s="13">
        <f t="shared" si="2"/>
        <v>7752</v>
      </c>
      <c r="L25" s="12">
        <f t="shared" si="3"/>
        <v>988186</v>
      </c>
    </row>
    <row r="26" spans="1:12" x14ac:dyDescent="0.25">
      <c r="A26" s="4" t="s">
        <v>40</v>
      </c>
      <c r="B26" s="4" t="s">
        <v>52</v>
      </c>
      <c r="C26" s="4" t="s">
        <v>53</v>
      </c>
      <c r="D26" s="5">
        <v>12</v>
      </c>
      <c r="E26" s="5">
        <v>2017</v>
      </c>
      <c r="F26" s="7">
        <v>37400</v>
      </c>
      <c r="G26" s="8">
        <v>206</v>
      </c>
      <c r="H26" s="13">
        <f t="shared" si="0"/>
        <v>7704400</v>
      </c>
      <c r="I26" s="7">
        <v>1000</v>
      </c>
      <c r="J26" s="8">
        <f t="shared" si="1"/>
        <v>258</v>
      </c>
      <c r="K26" s="13">
        <f t="shared" si="2"/>
        <v>258000</v>
      </c>
      <c r="L26" s="12">
        <f t="shared" si="3"/>
        <v>7962400</v>
      </c>
    </row>
    <row r="27" spans="1:12" x14ac:dyDescent="0.25">
      <c r="A27" s="4" t="s">
        <v>14</v>
      </c>
      <c r="B27" s="4" t="s">
        <v>15</v>
      </c>
      <c r="C27" s="4" t="s">
        <v>54</v>
      </c>
      <c r="D27" s="5">
        <v>8</v>
      </c>
      <c r="E27" s="5">
        <v>2017</v>
      </c>
      <c r="F27" s="7">
        <v>21230</v>
      </c>
      <c r="G27" s="8">
        <v>183</v>
      </c>
      <c r="H27" s="13">
        <f t="shared" si="0"/>
        <v>3885090</v>
      </c>
      <c r="I27" s="7">
        <v>1200</v>
      </c>
      <c r="J27" s="8">
        <f t="shared" si="1"/>
        <v>229</v>
      </c>
      <c r="K27" s="13">
        <f t="shared" si="2"/>
        <v>274800</v>
      </c>
      <c r="L27" s="12">
        <f t="shared" si="3"/>
        <v>4159890</v>
      </c>
    </row>
    <row r="28" spans="1:12" x14ac:dyDescent="0.25">
      <c r="A28" s="4" t="s">
        <v>55</v>
      </c>
      <c r="B28" s="4" t="s">
        <v>56</v>
      </c>
      <c r="C28" s="4" t="s">
        <v>57</v>
      </c>
      <c r="D28" s="5">
        <v>4</v>
      </c>
      <c r="E28" s="5">
        <v>2016</v>
      </c>
      <c r="F28" s="7">
        <v>9575</v>
      </c>
      <c r="G28" s="8">
        <v>188</v>
      </c>
      <c r="H28" s="13">
        <f t="shared" si="0"/>
        <v>1800100</v>
      </c>
      <c r="I28" s="7">
        <v>43</v>
      </c>
      <c r="J28" s="8">
        <f t="shared" si="1"/>
        <v>235</v>
      </c>
      <c r="K28" s="13">
        <f t="shared" si="2"/>
        <v>10105</v>
      </c>
      <c r="L28" s="12">
        <f t="shared" si="3"/>
        <v>1810205</v>
      </c>
    </row>
    <row r="29" spans="1:12" x14ac:dyDescent="0.25">
      <c r="A29" s="4" t="s">
        <v>14</v>
      </c>
      <c r="B29" s="4" t="s">
        <v>17</v>
      </c>
      <c r="C29" s="4" t="s">
        <v>58</v>
      </c>
      <c r="D29" s="5">
        <v>9</v>
      </c>
      <c r="E29" s="5">
        <v>2015</v>
      </c>
      <c r="F29" s="7">
        <v>4575</v>
      </c>
      <c r="G29" s="8">
        <v>156</v>
      </c>
      <c r="H29" s="13">
        <f t="shared" si="0"/>
        <v>713700</v>
      </c>
      <c r="I29" s="7">
        <v>63</v>
      </c>
      <c r="J29" s="8">
        <f t="shared" si="1"/>
        <v>195</v>
      </c>
      <c r="K29" s="13">
        <f t="shared" si="2"/>
        <v>12285</v>
      </c>
      <c r="L29" s="12">
        <f t="shared" si="3"/>
        <v>725985</v>
      </c>
    </row>
    <row r="30" spans="1:12" x14ac:dyDescent="0.25">
      <c r="A30" s="4" t="s">
        <v>55</v>
      </c>
      <c r="B30" s="4" t="s">
        <v>56</v>
      </c>
      <c r="C30" s="4" t="s">
        <v>59</v>
      </c>
      <c r="D30" s="5">
        <v>6</v>
      </c>
      <c r="E30" s="5">
        <v>2017</v>
      </c>
      <c r="F30" s="7">
        <v>12435</v>
      </c>
      <c r="G30" s="8">
        <v>218</v>
      </c>
      <c r="H30" s="13">
        <f t="shared" si="0"/>
        <v>2710830</v>
      </c>
      <c r="I30" s="7">
        <v>142</v>
      </c>
      <c r="J30" s="8">
        <f t="shared" si="1"/>
        <v>273</v>
      </c>
      <c r="K30" s="13">
        <f t="shared" si="2"/>
        <v>38766</v>
      </c>
      <c r="L30" s="12">
        <f t="shared" si="3"/>
        <v>2749596</v>
      </c>
    </row>
    <row r="31" spans="1:12" x14ac:dyDescent="0.25">
      <c r="A31" s="4" t="s">
        <v>28</v>
      </c>
      <c r="B31" s="4" t="s">
        <v>31</v>
      </c>
      <c r="C31" s="4" t="s">
        <v>60</v>
      </c>
      <c r="D31" s="5">
        <v>8</v>
      </c>
      <c r="E31" s="5">
        <v>2017</v>
      </c>
      <c r="F31" s="7">
        <v>11342</v>
      </c>
      <c r="G31" s="8">
        <v>217</v>
      </c>
      <c r="H31" s="13">
        <f t="shared" si="0"/>
        <v>2461214</v>
      </c>
      <c r="I31" s="7">
        <v>87</v>
      </c>
      <c r="J31" s="8">
        <f t="shared" si="1"/>
        <v>271</v>
      </c>
      <c r="K31" s="13">
        <f t="shared" si="2"/>
        <v>23577</v>
      </c>
      <c r="L31" s="12">
        <f t="shared" si="3"/>
        <v>2484791</v>
      </c>
    </row>
    <row r="32" spans="1:12" x14ac:dyDescent="0.25">
      <c r="A32" s="4" t="s">
        <v>55</v>
      </c>
      <c r="B32" s="4" t="s">
        <v>56</v>
      </c>
      <c r="C32" s="4" t="s">
        <v>61</v>
      </c>
      <c r="D32" s="5">
        <v>10</v>
      </c>
      <c r="E32" s="5">
        <v>2015</v>
      </c>
      <c r="F32" s="7">
        <v>3000</v>
      </c>
      <c r="G32" s="8">
        <v>225</v>
      </c>
      <c r="H32" s="13">
        <f t="shared" si="0"/>
        <v>675000</v>
      </c>
      <c r="I32" s="7">
        <v>418</v>
      </c>
      <c r="J32" s="8">
        <f t="shared" si="1"/>
        <v>281</v>
      </c>
      <c r="K32" s="13">
        <f t="shared" si="2"/>
        <v>117458</v>
      </c>
      <c r="L32" s="12">
        <f t="shared" si="3"/>
        <v>792458</v>
      </c>
    </row>
    <row r="33" spans="1:12" x14ac:dyDescent="0.25">
      <c r="A33" s="4" t="s">
        <v>55</v>
      </c>
      <c r="B33" s="4" t="s">
        <v>61</v>
      </c>
      <c r="C33" s="4" t="s">
        <v>62</v>
      </c>
      <c r="D33" s="5">
        <v>7</v>
      </c>
      <c r="E33" s="5">
        <v>2017</v>
      </c>
      <c r="F33" s="7">
        <v>12000</v>
      </c>
      <c r="G33" s="8">
        <v>265</v>
      </c>
      <c r="H33" s="13">
        <f t="shared" si="0"/>
        <v>3180000</v>
      </c>
      <c r="I33" s="7">
        <v>155</v>
      </c>
      <c r="J33" s="8">
        <f t="shared" si="1"/>
        <v>331</v>
      </c>
      <c r="K33" s="13">
        <f t="shared" si="2"/>
        <v>51305</v>
      </c>
      <c r="L33" s="12">
        <f t="shared" si="3"/>
        <v>3231305</v>
      </c>
    </row>
    <row r="34" spans="1:12" x14ac:dyDescent="0.25">
      <c r="A34" s="4" t="s">
        <v>44</v>
      </c>
      <c r="B34" s="4" t="s">
        <v>63</v>
      </c>
      <c r="C34" s="4" t="s">
        <v>64</v>
      </c>
      <c r="D34" s="5">
        <v>2</v>
      </c>
      <c r="E34" s="5">
        <v>2013</v>
      </c>
      <c r="F34" s="7">
        <v>11254</v>
      </c>
      <c r="G34" s="8">
        <v>118</v>
      </c>
      <c r="H34" s="13">
        <f t="shared" si="0"/>
        <v>1327972</v>
      </c>
      <c r="I34" s="7">
        <v>750</v>
      </c>
      <c r="J34" s="8">
        <f t="shared" si="1"/>
        <v>148</v>
      </c>
      <c r="K34" s="13">
        <f t="shared" si="2"/>
        <v>111000</v>
      </c>
      <c r="L34" s="12">
        <f t="shared" si="3"/>
        <v>1438972</v>
      </c>
    </row>
    <row r="35" spans="1:12" x14ac:dyDescent="0.25">
      <c r="A35" s="4" t="s">
        <v>19</v>
      </c>
      <c r="B35" s="4" t="s">
        <v>38</v>
      </c>
      <c r="C35" s="4" t="s">
        <v>65</v>
      </c>
      <c r="D35" s="5">
        <v>1</v>
      </c>
      <c r="E35" s="5">
        <v>2014</v>
      </c>
      <c r="F35" s="7">
        <v>9876</v>
      </c>
      <c r="G35" s="8">
        <v>155</v>
      </c>
      <c r="H35" s="13">
        <f t="shared" si="0"/>
        <v>1530780</v>
      </c>
      <c r="I35" s="7">
        <v>22</v>
      </c>
      <c r="J35" s="8">
        <f t="shared" si="1"/>
        <v>194</v>
      </c>
      <c r="K35" s="13">
        <f t="shared" si="2"/>
        <v>4268</v>
      </c>
      <c r="L35" s="12">
        <f t="shared" si="3"/>
        <v>1535048</v>
      </c>
    </row>
    <row r="36" spans="1:12" x14ac:dyDescent="0.25">
      <c r="A36" s="4" t="s">
        <v>44</v>
      </c>
      <c r="B36" s="4" t="s">
        <v>45</v>
      </c>
      <c r="C36" s="4" t="s">
        <v>66</v>
      </c>
      <c r="D36" s="5">
        <v>5</v>
      </c>
      <c r="E36" s="5">
        <v>2014</v>
      </c>
      <c r="F36" s="7">
        <v>23575</v>
      </c>
      <c r="G36" s="8">
        <v>125</v>
      </c>
      <c r="H36" s="13">
        <f t="shared" si="0"/>
        <v>2946875</v>
      </c>
      <c r="I36" s="7">
        <v>1245</v>
      </c>
      <c r="J36" s="8">
        <f t="shared" si="1"/>
        <v>156</v>
      </c>
      <c r="K36" s="13">
        <f t="shared" si="2"/>
        <v>194220</v>
      </c>
      <c r="L36" s="12">
        <f t="shared" si="3"/>
        <v>3141095</v>
      </c>
    </row>
    <row r="37" spans="1:12" x14ac:dyDescent="0.25">
      <c r="A37" s="4" t="s">
        <v>25</v>
      </c>
      <c r="B37" s="4" t="s">
        <v>26</v>
      </c>
      <c r="C37" s="4" t="s">
        <v>26</v>
      </c>
      <c r="D37" s="5">
        <v>5</v>
      </c>
      <c r="E37" s="5">
        <v>2015</v>
      </c>
      <c r="F37" s="7">
        <v>22345</v>
      </c>
      <c r="G37" s="8">
        <v>221</v>
      </c>
      <c r="H37" s="13">
        <f t="shared" si="0"/>
        <v>4938245</v>
      </c>
      <c r="I37" s="7">
        <v>732</v>
      </c>
      <c r="J37" s="8">
        <f t="shared" si="1"/>
        <v>276</v>
      </c>
      <c r="K37" s="13">
        <f t="shared" si="2"/>
        <v>202032</v>
      </c>
      <c r="L37" s="12">
        <f t="shared" si="3"/>
        <v>5140277</v>
      </c>
    </row>
    <row r="38" spans="1:12" x14ac:dyDescent="0.25">
      <c r="A38" s="4" t="s">
        <v>40</v>
      </c>
      <c r="B38" s="4" t="s">
        <v>52</v>
      </c>
      <c r="C38" s="4" t="s">
        <v>67</v>
      </c>
      <c r="D38" s="5">
        <v>3</v>
      </c>
      <c r="E38" s="5">
        <v>2015</v>
      </c>
      <c r="F38" s="7">
        <v>2750</v>
      </c>
      <c r="G38" s="8">
        <v>165</v>
      </c>
      <c r="H38" s="13">
        <f t="shared" si="0"/>
        <v>453750</v>
      </c>
      <c r="I38" s="7">
        <v>83</v>
      </c>
      <c r="J38" s="8">
        <f t="shared" si="1"/>
        <v>206</v>
      </c>
      <c r="K38" s="13">
        <f t="shared" si="2"/>
        <v>17098</v>
      </c>
      <c r="L38" s="12">
        <f t="shared" si="3"/>
        <v>470848</v>
      </c>
    </row>
    <row r="39" spans="1:12" x14ac:dyDescent="0.25">
      <c r="A39" s="4" t="s">
        <v>14</v>
      </c>
      <c r="B39" s="4" t="s">
        <v>23</v>
      </c>
      <c r="C39" s="4" t="s">
        <v>68</v>
      </c>
      <c r="D39" s="5">
        <v>3</v>
      </c>
      <c r="E39" s="5">
        <v>2015</v>
      </c>
      <c r="F39" s="7">
        <v>4500</v>
      </c>
      <c r="G39" s="8">
        <v>125</v>
      </c>
      <c r="H39" s="13">
        <f t="shared" si="0"/>
        <v>562500</v>
      </c>
      <c r="I39" s="7">
        <v>12</v>
      </c>
      <c r="J39" s="8">
        <f t="shared" si="1"/>
        <v>156</v>
      </c>
      <c r="K39" s="13">
        <f t="shared" si="2"/>
        <v>1872</v>
      </c>
      <c r="L39" s="12">
        <f t="shared" si="3"/>
        <v>564372</v>
      </c>
    </row>
    <row r="40" spans="1:12" x14ac:dyDescent="0.25">
      <c r="A40" s="4" t="s">
        <v>28</v>
      </c>
      <c r="B40" s="4" t="s">
        <v>69</v>
      </c>
      <c r="C40" s="4" t="s">
        <v>70</v>
      </c>
      <c r="D40" s="5">
        <v>12</v>
      </c>
      <c r="E40" s="5">
        <v>2016</v>
      </c>
      <c r="F40" s="7">
        <v>8590</v>
      </c>
      <c r="G40" s="8">
        <v>236</v>
      </c>
      <c r="H40" s="13">
        <f t="shared" si="0"/>
        <v>2027240</v>
      </c>
      <c r="I40" s="7">
        <v>48</v>
      </c>
      <c r="J40" s="8">
        <f t="shared" si="1"/>
        <v>295</v>
      </c>
      <c r="K40" s="13">
        <f t="shared" si="2"/>
        <v>14160</v>
      </c>
      <c r="L40" s="12">
        <f t="shared" si="3"/>
        <v>2041400</v>
      </c>
    </row>
    <row r="41" spans="1:12" x14ac:dyDescent="0.25">
      <c r="A41" s="4" t="s">
        <v>28</v>
      </c>
      <c r="B41" s="4" t="s">
        <v>69</v>
      </c>
      <c r="C41" s="4" t="s">
        <v>71</v>
      </c>
      <c r="D41" s="5">
        <v>9</v>
      </c>
      <c r="E41" s="5">
        <v>2016</v>
      </c>
      <c r="F41" s="7">
        <v>5837</v>
      </c>
      <c r="G41" s="8">
        <v>186</v>
      </c>
      <c r="H41" s="13">
        <f t="shared" si="0"/>
        <v>1085682</v>
      </c>
      <c r="I41" s="7">
        <v>632</v>
      </c>
      <c r="J41" s="8">
        <f t="shared" si="1"/>
        <v>233</v>
      </c>
      <c r="K41" s="13">
        <f t="shared" si="2"/>
        <v>147256</v>
      </c>
      <c r="L41" s="12">
        <f t="shared" si="3"/>
        <v>1232938</v>
      </c>
    </row>
    <row r="42" spans="1:12" x14ac:dyDescent="0.25">
      <c r="A42" s="4" t="s">
        <v>44</v>
      </c>
      <c r="B42" s="4" t="s">
        <v>63</v>
      </c>
      <c r="C42" s="4" t="s">
        <v>72</v>
      </c>
      <c r="D42" s="5">
        <v>10</v>
      </c>
      <c r="E42" s="5">
        <v>2014</v>
      </c>
      <c r="F42" s="7">
        <v>7500</v>
      </c>
      <c r="G42" s="8">
        <v>195</v>
      </c>
      <c r="H42" s="13">
        <f t="shared" si="0"/>
        <v>1462500</v>
      </c>
      <c r="I42" s="7">
        <v>53</v>
      </c>
      <c r="J42" s="8">
        <f t="shared" si="1"/>
        <v>244</v>
      </c>
      <c r="K42" s="13">
        <f t="shared" si="2"/>
        <v>12932</v>
      </c>
      <c r="L42" s="12">
        <f t="shared" si="3"/>
        <v>1475432</v>
      </c>
    </row>
    <row r="43" spans="1:12" x14ac:dyDescent="0.25">
      <c r="A43" s="4" t="s">
        <v>25</v>
      </c>
      <c r="B43" s="4" t="s">
        <v>49</v>
      </c>
      <c r="C43" s="4" t="s">
        <v>49</v>
      </c>
      <c r="D43" s="5">
        <v>9</v>
      </c>
      <c r="E43" s="5">
        <v>2017</v>
      </c>
      <c r="F43" s="7">
        <v>3500</v>
      </c>
      <c r="G43" s="8">
        <v>310</v>
      </c>
      <c r="H43" s="13">
        <f t="shared" si="0"/>
        <v>1085000</v>
      </c>
      <c r="I43" s="7">
        <v>43</v>
      </c>
      <c r="J43" s="8">
        <f t="shared" si="1"/>
        <v>388</v>
      </c>
      <c r="K43" s="13">
        <f t="shared" si="2"/>
        <v>16684</v>
      </c>
      <c r="L43" s="12">
        <f t="shared" si="3"/>
        <v>1101684</v>
      </c>
    </row>
    <row r="44" spans="1:12" x14ac:dyDescent="0.25">
      <c r="A44" s="4" t="s">
        <v>14</v>
      </c>
      <c r="B44" s="4" t="s">
        <v>15</v>
      </c>
      <c r="C44" s="4" t="s">
        <v>73</v>
      </c>
      <c r="D44" s="5">
        <v>2</v>
      </c>
      <c r="E44" s="5">
        <v>2014</v>
      </c>
      <c r="F44" s="7">
        <v>15374</v>
      </c>
      <c r="G44" s="8">
        <v>120</v>
      </c>
      <c r="H44" s="13">
        <f t="shared" si="0"/>
        <v>1844880</v>
      </c>
      <c r="I44" s="7">
        <v>110</v>
      </c>
      <c r="J44" s="8">
        <f t="shared" si="1"/>
        <v>150</v>
      </c>
      <c r="K44" s="13">
        <f t="shared" si="2"/>
        <v>16500</v>
      </c>
      <c r="L44" s="12">
        <f t="shared" si="3"/>
        <v>1861380</v>
      </c>
    </row>
    <row r="45" spans="1:12" x14ac:dyDescent="0.25">
      <c r="A45" s="4" t="s">
        <v>19</v>
      </c>
      <c r="B45" s="4" t="s">
        <v>35</v>
      </c>
      <c r="C45" s="4" t="s">
        <v>74</v>
      </c>
      <c r="D45" s="5">
        <v>3</v>
      </c>
      <c r="E45" s="5">
        <v>2017</v>
      </c>
      <c r="F45" s="7">
        <v>20300</v>
      </c>
      <c r="G45" s="8">
        <v>298</v>
      </c>
      <c r="H45" s="13">
        <f t="shared" si="0"/>
        <v>6049400</v>
      </c>
      <c r="I45" s="7">
        <v>118</v>
      </c>
      <c r="J45" s="8">
        <f t="shared" si="1"/>
        <v>373</v>
      </c>
      <c r="K45" s="13">
        <f t="shared" si="2"/>
        <v>44014</v>
      </c>
      <c r="L45" s="12">
        <f t="shared" si="3"/>
        <v>6093414</v>
      </c>
    </row>
    <row r="46" spans="1:12" x14ac:dyDescent="0.25">
      <c r="A46" s="4" t="s">
        <v>55</v>
      </c>
      <c r="B46" s="4" t="s">
        <v>61</v>
      </c>
      <c r="C46" s="4" t="s">
        <v>75</v>
      </c>
      <c r="D46" s="5">
        <v>6</v>
      </c>
      <c r="E46" s="5">
        <v>2016</v>
      </c>
      <c r="F46" s="7">
        <v>7532</v>
      </c>
      <c r="G46" s="8">
        <v>210</v>
      </c>
      <c r="H46" s="13">
        <f t="shared" si="0"/>
        <v>1581720</v>
      </c>
      <c r="I46" s="7">
        <v>83</v>
      </c>
      <c r="J46" s="8">
        <f t="shared" si="1"/>
        <v>263</v>
      </c>
      <c r="K46" s="13">
        <f t="shared" si="2"/>
        <v>21829</v>
      </c>
      <c r="L46" s="12">
        <f t="shared" si="3"/>
        <v>1603549</v>
      </c>
    </row>
    <row r="47" spans="1:12" x14ac:dyDescent="0.25">
      <c r="A47" s="4" t="s">
        <v>28</v>
      </c>
      <c r="B47" s="4" t="s">
        <v>69</v>
      </c>
      <c r="C47" s="4" t="s">
        <v>76</v>
      </c>
      <c r="D47" s="5">
        <v>5</v>
      </c>
      <c r="E47" s="5">
        <v>2003</v>
      </c>
      <c r="F47" s="7">
        <v>18750</v>
      </c>
      <c r="G47" s="8">
        <v>194</v>
      </c>
      <c r="H47" s="13">
        <f t="shared" si="0"/>
        <v>3637500</v>
      </c>
      <c r="I47" s="7">
        <v>1023</v>
      </c>
      <c r="J47" s="8">
        <f t="shared" si="1"/>
        <v>243</v>
      </c>
      <c r="K47" s="13">
        <f t="shared" si="2"/>
        <v>248589</v>
      </c>
      <c r="L47" s="12">
        <f t="shared" si="3"/>
        <v>3886089</v>
      </c>
    </row>
    <row r="48" spans="1:12" x14ac:dyDescent="0.25">
      <c r="A48" s="4" t="s">
        <v>19</v>
      </c>
      <c r="B48" s="4" t="s">
        <v>35</v>
      </c>
      <c r="C48" s="4" t="s">
        <v>77</v>
      </c>
      <c r="D48" s="5">
        <v>1</v>
      </c>
      <c r="E48" s="5">
        <v>2015</v>
      </c>
      <c r="F48" s="7">
        <v>11983</v>
      </c>
      <c r="G48" s="8">
        <v>66</v>
      </c>
      <c r="H48" s="13">
        <f t="shared" si="0"/>
        <v>790878</v>
      </c>
      <c r="I48" s="7">
        <v>93</v>
      </c>
      <c r="J48" s="8">
        <f t="shared" si="1"/>
        <v>83</v>
      </c>
      <c r="K48" s="13">
        <f t="shared" si="2"/>
        <v>7719</v>
      </c>
      <c r="L48" s="12">
        <f t="shared" si="3"/>
        <v>798597</v>
      </c>
    </row>
    <row r="49" spans="1:12" x14ac:dyDescent="0.25">
      <c r="A49" s="4" t="s">
        <v>14</v>
      </c>
      <c r="B49" s="4" t="s">
        <v>23</v>
      </c>
      <c r="C49" s="4" t="s">
        <v>78</v>
      </c>
      <c r="D49" s="5">
        <v>9</v>
      </c>
      <c r="E49" s="5">
        <v>2016</v>
      </c>
      <c r="F49" s="7">
        <v>4500</v>
      </c>
      <c r="G49" s="8">
        <v>175</v>
      </c>
      <c r="H49" s="13">
        <f t="shared" si="0"/>
        <v>787500</v>
      </c>
      <c r="I49" s="7">
        <v>251</v>
      </c>
      <c r="J49" s="8">
        <f t="shared" si="1"/>
        <v>219</v>
      </c>
      <c r="K49" s="13">
        <f t="shared" si="2"/>
        <v>54969</v>
      </c>
      <c r="L49" s="12">
        <f t="shared" si="3"/>
        <v>842469</v>
      </c>
    </row>
    <row r="50" spans="1:12" x14ac:dyDescent="0.25">
      <c r="A50" s="4" t="s">
        <v>19</v>
      </c>
      <c r="B50" s="4" t="s">
        <v>38</v>
      </c>
      <c r="C50" s="4" t="s">
        <v>79</v>
      </c>
      <c r="D50" s="5">
        <v>1</v>
      </c>
      <c r="E50" s="5">
        <v>2012</v>
      </c>
      <c r="F50" s="7">
        <v>20100</v>
      </c>
      <c r="G50" s="8">
        <v>125</v>
      </c>
      <c r="H50" s="13">
        <f t="shared" si="0"/>
        <v>2512500</v>
      </c>
      <c r="I50" s="7">
        <v>1723</v>
      </c>
      <c r="J50" s="8">
        <f t="shared" si="1"/>
        <v>156</v>
      </c>
      <c r="K50" s="13">
        <f t="shared" si="2"/>
        <v>268788</v>
      </c>
      <c r="L50" s="12">
        <f t="shared" si="3"/>
        <v>2781288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0"/>
  <sheetViews>
    <sheetView zoomScale="96" zoomScaleNormal="96" zoomScalePageLayoutView="1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3" sqref="B3"/>
    </sheetView>
  </sheetViews>
  <sheetFormatPr defaultColWidth="8.85546875" defaultRowHeight="15" x14ac:dyDescent="0.25"/>
  <cols>
    <col min="1" max="1" width="37.5703125" style="4" bestFit="1" customWidth="1"/>
    <col min="2" max="2" width="32.7109375" style="4" customWidth="1"/>
    <col min="3" max="3" width="50.42578125" style="4" customWidth="1"/>
    <col min="4" max="4" width="7.28515625" style="4" bestFit="1" customWidth="1"/>
    <col min="5" max="5" width="9.140625" style="4" customWidth="1"/>
    <col min="6" max="6" width="11" style="4" customWidth="1"/>
    <col min="7" max="7" width="12" style="4" customWidth="1"/>
    <col min="8" max="8" width="13.7109375" style="4" customWidth="1"/>
    <col min="9" max="9" width="11" style="4" customWidth="1"/>
    <col min="10" max="10" width="12" style="4" customWidth="1"/>
    <col min="11" max="12" width="13.7109375" style="4" customWidth="1"/>
    <col min="13" max="16384" width="8.85546875" style="4"/>
  </cols>
  <sheetData>
    <row r="1" spans="1:12" x14ac:dyDescent="0.25">
      <c r="A1" s="95" t="s">
        <v>293</v>
      </c>
      <c r="D1" s="5"/>
      <c r="E1" s="5"/>
      <c r="G1" s="4" t="s">
        <v>0</v>
      </c>
      <c r="J1" s="6">
        <v>1.25</v>
      </c>
    </row>
    <row r="2" spans="1:12" x14ac:dyDescent="0.25">
      <c r="D2" s="5"/>
      <c r="E2" s="5"/>
      <c r="G2" s="4" t="s">
        <v>1</v>
      </c>
      <c r="J2" s="6">
        <v>0.1</v>
      </c>
    </row>
    <row r="3" spans="1:12" x14ac:dyDescent="0.25">
      <c r="D3" s="5"/>
      <c r="E3" s="5"/>
      <c r="J3" s="6"/>
    </row>
    <row r="4" spans="1:12" ht="30" x14ac:dyDescent="0.25">
      <c r="A4" s="9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</row>
    <row r="5" spans="1:12" x14ac:dyDescent="0.25">
      <c r="A5" s="4" t="s">
        <v>14</v>
      </c>
      <c r="B5" s="4" t="s">
        <v>15</v>
      </c>
      <c r="C5" s="4" t="s">
        <v>16</v>
      </c>
      <c r="D5" s="5">
        <v>6</v>
      </c>
      <c r="E5" s="5">
        <v>2015</v>
      </c>
      <c r="F5" s="7">
        <v>16750</v>
      </c>
      <c r="G5" s="8">
        <v>164</v>
      </c>
      <c r="H5" s="13">
        <f t="shared" ref="H5:H50" si="0">F5*G5</f>
        <v>2747000</v>
      </c>
      <c r="I5" s="7">
        <v>93</v>
      </c>
      <c r="J5" s="8">
        <f t="shared" ref="J5:J50" si="1">ROUND(G5*RetailRate,0)</f>
        <v>205</v>
      </c>
      <c r="K5" s="13">
        <f t="shared" ref="K5:K50" si="2">I5*J5</f>
        <v>19065</v>
      </c>
      <c r="L5" s="12">
        <f t="shared" ref="L5:L50" si="3">H5+K5</f>
        <v>2766065</v>
      </c>
    </row>
    <row r="6" spans="1:12" x14ac:dyDescent="0.25">
      <c r="A6" s="4" t="s">
        <v>14</v>
      </c>
      <c r="B6" s="4" t="s">
        <v>17</v>
      </c>
      <c r="C6" s="4" t="s">
        <v>18</v>
      </c>
      <c r="D6" s="5">
        <v>8</v>
      </c>
      <c r="E6" s="5">
        <v>2015</v>
      </c>
      <c r="F6" s="7">
        <v>12345</v>
      </c>
      <c r="G6" s="8">
        <v>88</v>
      </c>
      <c r="H6" s="13">
        <f t="shared" si="0"/>
        <v>1086360</v>
      </c>
      <c r="I6" s="7">
        <v>240</v>
      </c>
      <c r="J6" s="8">
        <f t="shared" si="1"/>
        <v>110</v>
      </c>
      <c r="K6" s="13">
        <f t="shared" si="2"/>
        <v>26400</v>
      </c>
      <c r="L6" s="12">
        <f t="shared" si="3"/>
        <v>1112760</v>
      </c>
    </row>
    <row r="7" spans="1:12" hidden="1" x14ac:dyDescent="0.25">
      <c r="A7" s="4" t="s">
        <v>19</v>
      </c>
      <c r="B7" s="4" t="s">
        <v>20</v>
      </c>
      <c r="C7" s="4" t="s">
        <v>21</v>
      </c>
      <c r="D7" s="5">
        <v>4</v>
      </c>
      <c r="E7" s="5">
        <v>2017</v>
      </c>
      <c r="F7" s="7">
        <v>7500</v>
      </c>
      <c r="G7" s="8">
        <v>212</v>
      </c>
      <c r="H7" s="13">
        <f t="shared" si="0"/>
        <v>1590000</v>
      </c>
      <c r="I7" s="7">
        <v>100</v>
      </c>
      <c r="J7" s="8">
        <f t="shared" si="1"/>
        <v>265</v>
      </c>
      <c r="K7" s="13">
        <f t="shared" si="2"/>
        <v>26500</v>
      </c>
      <c r="L7" s="12">
        <f t="shared" si="3"/>
        <v>1616500</v>
      </c>
    </row>
    <row r="8" spans="1:12" hidden="1" x14ac:dyDescent="0.25">
      <c r="A8" s="4" t="s">
        <v>19</v>
      </c>
      <c r="B8" s="4" t="s">
        <v>20</v>
      </c>
      <c r="C8" s="4" t="s">
        <v>22</v>
      </c>
      <c r="D8" s="5">
        <v>1</v>
      </c>
      <c r="E8" s="5">
        <v>2016</v>
      </c>
      <c r="F8" s="7">
        <v>14300</v>
      </c>
      <c r="G8" s="8">
        <v>185</v>
      </c>
      <c r="H8" s="13">
        <f t="shared" si="0"/>
        <v>2645500</v>
      </c>
      <c r="I8" s="7">
        <v>1000</v>
      </c>
      <c r="J8" s="8">
        <f t="shared" si="1"/>
        <v>231</v>
      </c>
      <c r="K8" s="13">
        <f t="shared" si="2"/>
        <v>231000</v>
      </c>
      <c r="L8" s="12">
        <f t="shared" si="3"/>
        <v>2876500</v>
      </c>
    </row>
    <row r="9" spans="1:12" x14ac:dyDescent="0.25">
      <c r="A9" s="4" t="s">
        <v>14</v>
      </c>
      <c r="B9" s="4" t="s">
        <v>23</v>
      </c>
      <c r="C9" s="4" t="s">
        <v>24</v>
      </c>
      <c r="D9" s="5">
        <v>13</v>
      </c>
      <c r="E9" s="5">
        <v>2017</v>
      </c>
      <c r="F9" s="7">
        <v>12400</v>
      </c>
      <c r="G9" s="8">
        <v>194</v>
      </c>
      <c r="H9" s="13">
        <f t="shared" si="0"/>
        <v>2405600</v>
      </c>
      <c r="I9" s="7">
        <v>100</v>
      </c>
      <c r="J9" s="8">
        <f t="shared" si="1"/>
        <v>243</v>
      </c>
      <c r="K9" s="13">
        <f t="shared" si="2"/>
        <v>24300</v>
      </c>
      <c r="L9" s="12">
        <f t="shared" si="3"/>
        <v>2429900</v>
      </c>
    </row>
    <row r="10" spans="1:12" x14ac:dyDescent="0.25">
      <c r="A10" s="4" t="s">
        <v>25</v>
      </c>
      <c r="B10" s="4" t="s">
        <v>26</v>
      </c>
      <c r="C10" s="4" t="s">
        <v>27</v>
      </c>
      <c r="D10" s="5">
        <v>4</v>
      </c>
      <c r="E10" s="5">
        <v>2017</v>
      </c>
      <c r="F10" s="7">
        <v>25750</v>
      </c>
      <c r="G10" s="8">
        <v>208</v>
      </c>
      <c r="H10" s="13">
        <f t="shared" si="0"/>
        <v>5356000</v>
      </c>
      <c r="I10" s="7">
        <v>1234</v>
      </c>
      <c r="J10" s="8">
        <f t="shared" si="1"/>
        <v>260</v>
      </c>
      <c r="K10" s="13">
        <f t="shared" si="2"/>
        <v>320840</v>
      </c>
      <c r="L10" s="12">
        <f t="shared" si="3"/>
        <v>5676840</v>
      </c>
    </row>
    <row r="11" spans="1:12" x14ac:dyDescent="0.25">
      <c r="A11" s="4" t="s">
        <v>28</v>
      </c>
      <c r="B11" s="4" t="s">
        <v>29</v>
      </c>
      <c r="C11" s="4" t="s">
        <v>30</v>
      </c>
      <c r="D11" s="5">
        <v>10</v>
      </c>
      <c r="E11" s="5">
        <v>2014</v>
      </c>
      <c r="F11" s="7">
        <v>5575</v>
      </c>
      <c r="G11" s="8">
        <v>266</v>
      </c>
      <c r="H11" s="13">
        <f t="shared" si="0"/>
        <v>1482950</v>
      </c>
      <c r="I11" s="7">
        <v>32</v>
      </c>
      <c r="J11" s="8">
        <f t="shared" si="1"/>
        <v>333</v>
      </c>
      <c r="K11" s="13">
        <f t="shared" si="2"/>
        <v>10656</v>
      </c>
      <c r="L11" s="12">
        <f t="shared" si="3"/>
        <v>1493606</v>
      </c>
    </row>
    <row r="12" spans="1:12" x14ac:dyDescent="0.25">
      <c r="A12" s="4" t="s">
        <v>28</v>
      </c>
      <c r="B12" s="4" t="s">
        <v>31</v>
      </c>
      <c r="C12" s="4" t="s">
        <v>32</v>
      </c>
      <c r="D12" s="5">
        <v>6</v>
      </c>
      <c r="E12" s="5">
        <v>2017</v>
      </c>
      <c r="F12" s="7">
        <v>18500</v>
      </c>
      <c r="G12" s="8">
        <v>219</v>
      </c>
      <c r="H12" s="13">
        <f t="shared" si="0"/>
        <v>4051500</v>
      </c>
      <c r="I12" s="7">
        <v>245</v>
      </c>
      <c r="J12" s="8">
        <f t="shared" si="1"/>
        <v>274</v>
      </c>
      <c r="K12" s="13">
        <f t="shared" si="2"/>
        <v>67130</v>
      </c>
      <c r="L12" s="12">
        <f t="shared" si="3"/>
        <v>4118630</v>
      </c>
    </row>
    <row r="13" spans="1:12" x14ac:dyDescent="0.25">
      <c r="A13" s="4" t="s">
        <v>28</v>
      </c>
      <c r="B13" s="4" t="s">
        <v>29</v>
      </c>
      <c r="C13" s="4" t="s">
        <v>33</v>
      </c>
      <c r="D13" s="5">
        <v>11</v>
      </c>
      <c r="E13" s="5">
        <v>2017</v>
      </c>
      <c r="F13" s="7">
        <v>5893</v>
      </c>
      <c r="G13" s="8">
        <v>230</v>
      </c>
      <c r="H13" s="13">
        <f t="shared" si="0"/>
        <v>1355390</v>
      </c>
      <c r="I13" s="7">
        <v>93</v>
      </c>
      <c r="J13" s="8">
        <f t="shared" si="1"/>
        <v>288</v>
      </c>
      <c r="K13" s="13">
        <f t="shared" si="2"/>
        <v>26784</v>
      </c>
      <c r="L13" s="12">
        <f t="shared" si="3"/>
        <v>1382174</v>
      </c>
    </row>
    <row r="14" spans="1:12" x14ac:dyDescent="0.25">
      <c r="A14" s="4" t="s">
        <v>28</v>
      </c>
      <c r="B14" s="4" t="s">
        <v>29</v>
      </c>
      <c r="C14" s="4" t="s">
        <v>34</v>
      </c>
      <c r="D14" s="5">
        <v>5</v>
      </c>
      <c r="E14" s="5">
        <v>2014</v>
      </c>
      <c r="F14" s="7">
        <v>7503</v>
      </c>
      <c r="G14" s="8">
        <v>185</v>
      </c>
      <c r="H14" s="13">
        <f t="shared" si="0"/>
        <v>1388055</v>
      </c>
      <c r="I14" s="7">
        <v>29</v>
      </c>
      <c r="J14" s="8">
        <f t="shared" si="1"/>
        <v>231</v>
      </c>
      <c r="K14" s="13">
        <f t="shared" si="2"/>
        <v>6699</v>
      </c>
      <c r="L14" s="12">
        <f t="shared" si="3"/>
        <v>1394754</v>
      </c>
    </row>
    <row r="15" spans="1:12" hidden="1" x14ac:dyDescent="0.25">
      <c r="A15" s="4" t="s">
        <v>19</v>
      </c>
      <c r="B15" s="4" t="s">
        <v>35</v>
      </c>
      <c r="C15" s="4" t="s">
        <v>36</v>
      </c>
      <c r="D15" s="5">
        <v>5</v>
      </c>
      <c r="E15" s="5">
        <v>2017</v>
      </c>
      <c r="F15" s="7">
        <v>4500</v>
      </c>
      <c r="G15" s="8">
        <v>275</v>
      </c>
      <c r="H15" s="13">
        <f t="shared" si="0"/>
        <v>1237500</v>
      </c>
      <c r="I15" s="7">
        <v>312</v>
      </c>
      <c r="J15" s="8">
        <f t="shared" si="1"/>
        <v>344</v>
      </c>
      <c r="K15" s="13">
        <f t="shared" si="2"/>
        <v>107328</v>
      </c>
      <c r="L15" s="12">
        <f t="shared" si="3"/>
        <v>1344828</v>
      </c>
    </row>
    <row r="16" spans="1:12" hidden="1" x14ac:dyDescent="0.25">
      <c r="A16" s="4" t="s">
        <v>19</v>
      </c>
      <c r="B16" s="4" t="s">
        <v>20</v>
      </c>
      <c r="C16" s="4" t="s">
        <v>37</v>
      </c>
      <c r="D16" s="5">
        <v>8</v>
      </c>
      <c r="E16" s="5">
        <v>2017</v>
      </c>
      <c r="F16" s="7">
        <v>25000</v>
      </c>
      <c r="G16" s="8">
        <v>192</v>
      </c>
      <c r="H16" s="13">
        <f t="shared" si="0"/>
        <v>4800000</v>
      </c>
      <c r="I16" s="7">
        <v>123</v>
      </c>
      <c r="J16" s="8">
        <f t="shared" si="1"/>
        <v>240</v>
      </c>
      <c r="K16" s="13">
        <f t="shared" si="2"/>
        <v>29520</v>
      </c>
      <c r="L16" s="12">
        <f t="shared" si="3"/>
        <v>4829520</v>
      </c>
    </row>
    <row r="17" spans="1:12" hidden="1" x14ac:dyDescent="0.25">
      <c r="A17" s="4" t="s">
        <v>19</v>
      </c>
      <c r="B17" s="4" t="s">
        <v>38</v>
      </c>
      <c r="C17" s="4" t="s">
        <v>39</v>
      </c>
      <c r="D17" s="5">
        <v>2</v>
      </c>
      <c r="E17" s="5">
        <v>2016</v>
      </c>
      <c r="F17" s="7">
        <v>14398</v>
      </c>
      <c r="G17" s="8">
        <v>182</v>
      </c>
      <c r="H17" s="13">
        <f t="shared" si="0"/>
        <v>2620436</v>
      </c>
      <c r="I17" s="7">
        <v>212</v>
      </c>
      <c r="J17" s="8">
        <f t="shared" si="1"/>
        <v>228</v>
      </c>
      <c r="K17" s="13">
        <f t="shared" si="2"/>
        <v>48336</v>
      </c>
      <c r="L17" s="12">
        <f t="shared" si="3"/>
        <v>2668772</v>
      </c>
    </row>
    <row r="18" spans="1:12" hidden="1" x14ac:dyDescent="0.25">
      <c r="A18" s="4" t="s">
        <v>40</v>
      </c>
      <c r="B18" s="4" t="s">
        <v>41</v>
      </c>
      <c r="C18" s="4" t="s">
        <v>42</v>
      </c>
      <c r="D18" s="5">
        <v>12</v>
      </c>
      <c r="E18" s="5">
        <v>2017</v>
      </c>
      <c r="F18" s="7">
        <v>9245</v>
      </c>
      <c r="G18" s="8">
        <v>215</v>
      </c>
      <c r="H18" s="13">
        <f t="shared" si="0"/>
        <v>1987675</v>
      </c>
      <c r="I18" s="7">
        <v>218</v>
      </c>
      <c r="J18" s="8">
        <f t="shared" si="1"/>
        <v>269</v>
      </c>
      <c r="K18" s="13">
        <f t="shared" si="2"/>
        <v>58642</v>
      </c>
      <c r="L18" s="12">
        <f t="shared" si="3"/>
        <v>2046317</v>
      </c>
    </row>
    <row r="19" spans="1:12" x14ac:dyDescent="0.25">
      <c r="A19" s="4" t="s">
        <v>14</v>
      </c>
      <c r="B19" s="4" t="s">
        <v>17</v>
      </c>
      <c r="C19" s="4" t="s">
        <v>43</v>
      </c>
      <c r="D19" s="5">
        <v>5</v>
      </c>
      <c r="E19" s="5">
        <v>2016</v>
      </c>
      <c r="F19" s="7">
        <v>22875</v>
      </c>
      <c r="G19" s="8">
        <v>130</v>
      </c>
      <c r="H19" s="13">
        <f t="shared" si="0"/>
        <v>2973750</v>
      </c>
      <c r="I19" s="7">
        <v>1000</v>
      </c>
      <c r="J19" s="8">
        <f t="shared" si="1"/>
        <v>163</v>
      </c>
      <c r="K19" s="13">
        <f t="shared" si="2"/>
        <v>163000</v>
      </c>
      <c r="L19" s="12">
        <f t="shared" si="3"/>
        <v>3136750</v>
      </c>
    </row>
    <row r="20" spans="1:12" hidden="1" x14ac:dyDescent="0.25">
      <c r="A20" s="4" t="s">
        <v>44</v>
      </c>
      <c r="B20" s="4" t="s">
        <v>45</v>
      </c>
      <c r="C20" s="4" t="s">
        <v>46</v>
      </c>
      <c r="D20" s="5">
        <v>2</v>
      </c>
      <c r="E20" s="5">
        <v>2016</v>
      </c>
      <c r="F20" s="7">
        <v>32400</v>
      </c>
      <c r="G20" s="8">
        <v>110</v>
      </c>
      <c r="H20" s="13">
        <f t="shared" si="0"/>
        <v>3564000</v>
      </c>
      <c r="I20" s="7">
        <v>1309</v>
      </c>
      <c r="J20" s="8">
        <f t="shared" si="1"/>
        <v>138</v>
      </c>
      <c r="K20" s="13">
        <f t="shared" si="2"/>
        <v>180642</v>
      </c>
      <c r="L20" s="12">
        <f t="shared" si="3"/>
        <v>3744642</v>
      </c>
    </row>
    <row r="21" spans="1:12" hidden="1" x14ac:dyDescent="0.25">
      <c r="A21" s="4" t="s">
        <v>44</v>
      </c>
      <c r="B21" s="4" t="s">
        <v>45</v>
      </c>
      <c r="C21" s="4" t="s">
        <v>44</v>
      </c>
      <c r="D21" s="5">
        <v>13</v>
      </c>
      <c r="E21" s="5">
        <v>2017</v>
      </c>
      <c r="F21" s="7">
        <v>22418</v>
      </c>
      <c r="G21" s="8">
        <v>218</v>
      </c>
      <c r="H21" s="13">
        <f t="shared" si="0"/>
        <v>4887124</v>
      </c>
      <c r="I21" s="7">
        <v>45</v>
      </c>
      <c r="J21" s="8">
        <f t="shared" si="1"/>
        <v>273</v>
      </c>
      <c r="K21" s="13">
        <f t="shared" si="2"/>
        <v>12285</v>
      </c>
      <c r="L21" s="12">
        <f t="shared" si="3"/>
        <v>4899409</v>
      </c>
    </row>
    <row r="22" spans="1:12" x14ac:dyDescent="0.25">
      <c r="A22" s="4" t="s">
        <v>28</v>
      </c>
      <c r="B22" s="4" t="s">
        <v>29</v>
      </c>
      <c r="C22" s="4" t="s">
        <v>47</v>
      </c>
      <c r="D22" s="5">
        <v>6</v>
      </c>
      <c r="E22" s="5">
        <v>2016</v>
      </c>
      <c r="F22" s="7">
        <v>3400</v>
      </c>
      <c r="G22" s="8">
        <v>204</v>
      </c>
      <c r="H22" s="13">
        <f t="shared" si="0"/>
        <v>693600</v>
      </c>
      <c r="I22" s="7">
        <v>24</v>
      </c>
      <c r="J22" s="8">
        <f t="shared" si="1"/>
        <v>255</v>
      </c>
      <c r="K22" s="13">
        <f t="shared" si="2"/>
        <v>6120</v>
      </c>
      <c r="L22" s="12">
        <f t="shared" si="3"/>
        <v>699720</v>
      </c>
    </row>
    <row r="23" spans="1:12" hidden="1" x14ac:dyDescent="0.25">
      <c r="A23" s="4" t="s">
        <v>44</v>
      </c>
      <c r="B23" s="4" t="s">
        <v>45</v>
      </c>
      <c r="C23" s="4" t="s">
        <v>48</v>
      </c>
      <c r="D23" s="5">
        <v>5</v>
      </c>
      <c r="E23" s="5">
        <v>2015</v>
      </c>
      <c r="F23" s="7">
        <v>11875</v>
      </c>
      <c r="G23" s="8">
        <v>145</v>
      </c>
      <c r="H23" s="13">
        <f t="shared" si="0"/>
        <v>1721875</v>
      </c>
      <c r="I23" s="7">
        <v>1200</v>
      </c>
      <c r="J23" s="8">
        <f t="shared" si="1"/>
        <v>181</v>
      </c>
      <c r="K23" s="13">
        <f t="shared" si="2"/>
        <v>217200</v>
      </c>
      <c r="L23" s="12">
        <f t="shared" si="3"/>
        <v>1939075</v>
      </c>
    </row>
    <row r="24" spans="1:12" x14ac:dyDescent="0.25">
      <c r="A24" s="4" t="s">
        <v>25</v>
      </c>
      <c r="B24" s="4" t="s">
        <v>49</v>
      </c>
      <c r="C24" s="4" t="s">
        <v>50</v>
      </c>
      <c r="D24" s="5">
        <v>3</v>
      </c>
      <c r="E24" s="5">
        <v>2016</v>
      </c>
      <c r="F24" s="7">
        <v>5500</v>
      </c>
      <c r="G24" s="8">
        <v>244</v>
      </c>
      <c r="H24" s="13">
        <f t="shared" si="0"/>
        <v>1342000</v>
      </c>
      <c r="I24" s="7">
        <v>114</v>
      </c>
      <c r="J24" s="8">
        <f t="shared" si="1"/>
        <v>305</v>
      </c>
      <c r="K24" s="13">
        <f t="shared" si="2"/>
        <v>34770</v>
      </c>
      <c r="L24" s="12">
        <f t="shared" si="3"/>
        <v>1376770</v>
      </c>
    </row>
    <row r="25" spans="1:12" hidden="1" x14ac:dyDescent="0.25">
      <c r="A25" s="4" t="s">
        <v>40</v>
      </c>
      <c r="B25" s="4" t="s">
        <v>41</v>
      </c>
      <c r="C25" s="4" t="s">
        <v>51</v>
      </c>
      <c r="D25" s="5">
        <v>2</v>
      </c>
      <c r="E25" s="5">
        <v>2016</v>
      </c>
      <c r="F25" s="7">
        <v>5387</v>
      </c>
      <c r="G25" s="8">
        <v>182</v>
      </c>
      <c r="H25" s="13">
        <f t="shared" si="0"/>
        <v>980434</v>
      </c>
      <c r="I25" s="7">
        <v>34</v>
      </c>
      <c r="J25" s="8">
        <f t="shared" si="1"/>
        <v>228</v>
      </c>
      <c r="K25" s="13">
        <f t="shared" si="2"/>
        <v>7752</v>
      </c>
      <c r="L25" s="12">
        <f t="shared" si="3"/>
        <v>988186</v>
      </c>
    </row>
    <row r="26" spans="1:12" hidden="1" x14ac:dyDescent="0.25">
      <c r="A26" s="4" t="s">
        <v>40</v>
      </c>
      <c r="B26" s="4" t="s">
        <v>52</v>
      </c>
      <c r="C26" s="4" t="s">
        <v>53</v>
      </c>
      <c r="D26" s="5">
        <v>12</v>
      </c>
      <c r="E26" s="5">
        <v>2017</v>
      </c>
      <c r="F26" s="7">
        <v>37400</v>
      </c>
      <c r="G26" s="8">
        <v>206</v>
      </c>
      <c r="H26" s="13">
        <f t="shared" si="0"/>
        <v>7704400</v>
      </c>
      <c r="I26" s="7">
        <v>1000</v>
      </c>
      <c r="J26" s="8">
        <f t="shared" si="1"/>
        <v>258</v>
      </c>
      <c r="K26" s="13">
        <f t="shared" si="2"/>
        <v>258000</v>
      </c>
      <c r="L26" s="12">
        <f t="shared" si="3"/>
        <v>7962400</v>
      </c>
    </row>
    <row r="27" spans="1:12" x14ac:dyDescent="0.25">
      <c r="A27" s="4" t="s">
        <v>14</v>
      </c>
      <c r="B27" s="4" t="s">
        <v>15</v>
      </c>
      <c r="C27" s="4" t="s">
        <v>54</v>
      </c>
      <c r="D27" s="5">
        <v>8</v>
      </c>
      <c r="E27" s="5">
        <v>2017</v>
      </c>
      <c r="F27" s="7">
        <v>21230</v>
      </c>
      <c r="G27" s="8">
        <v>183</v>
      </c>
      <c r="H27" s="13">
        <f t="shared" si="0"/>
        <v>3885090</v>
      </c>
      <c r="I27" s="7">
        <v>1200</v>
      </c>
      <c r="J27" s="8">
        <f t="shared" si="1"/>
        <v>229</v>
      </c>
      <c r="K27" s="13">
        <f t="shared" si="2"/>
        <v>274800</v>
      </c>
      <c r="L27" s="12">
        <f t="shared" si="3"/>
        <v>4159890</v>
      </c>
    </row>
    <row r="28" spans="1:12" hidden="1" x14ac:dyDescent="0.25">
      <c r="A28" s="4" t="s">
        <v>55</v>
      </c>
      <c r="B28" s="4" t="s">
        <v>56</v>
      </c>
      <c r="C28" s="4" t="s">
        <v>57</v>
      </c>
      <c r="D28" s="5">
        <v>4</v>
      </c>
      <c r="E28" s="5">
        <v>2016</v>
      </c>
      <c r="F28" s="7">
        <v>9575</v>
      </c>
      <c r="G28" s="8">
        <v>188</v>
      </c>
      <c r="H28" s="13">
        <f t="shared" si="0"/>
        <v>1800100</v>
      </c>
      <c r="I28" s="7">
        <v>43</v>
      </c>
      <c r="J28" s="8">
        <f t="shared" si="1"/>
        <v>235</v>
      </c>
      <c r="K28" s="13">
        <f t="shared" si="2"/>
        <v>10105</v>
      </c>
      <c r="L28" s="12">
        <f t="shared" si="3"/>
        <v>1810205</v>
      </c>
    </row>
    <row r="29" spans="1:12" x14ac:dyDescent="0.25">
      <c r="A29" s="4" t="s">
        <v>14</v>
      </c>
      <c r="B29" s="4" t="s">
        <v>17</v>
      </c>
      <c r="C29" s="4" t="s">
        <v>58</v>
      </c>
      <c r="D29" s="5">
        <v>9</v>
      </c>
      <c r="E29" s="5">
        <v>2015</v>
      </c>
      <c r="F29" s="7">
        <v>4575</v>
      </c>
      <c r="G29" s="8">
        <v>156</v>
      </c>
      <c r="H29" s="13">
        <f t="shared" si="0"/>
        <v>713700</v>
      </c>
      <c r="I29" s="7">
        <v>63</v>
      </c>
      <c r="J29" s="8">
        <f t="shared" si="1"/>
        <v>195</v>
      </c>
      <c r="K29" s="13">
        <f t="shared" si="2"/>
        <v>12285</v>
      </c>
      <c r="L29" s="12">
        <f t="shared" si="3"/>
        <v>725985</v>
      </c>
    </row>
    <row r="30" spans="1:12" hidden="1" x14ac:dyDescent="0.25">
      <c r="A30" s="4" t="s">
        <v>55</v>
      </c>
      <c r="B30" s="4" t="s">
        <v>56</v>
      </c>
      <c r="C30" s="4" t="s">
        <v>59</v>
      </c>
      <c r="D30" s="5">
        <v>6</v>
      </c>
      <c r="E30" s="5">
        <v>2017</v>
      </c>
      <c r="F30" s="7">
        <v>12435</v>
      </c>
      <c r="G30" s="8">
        <v>218</v>
      </c>
      <c r="H30" s="13">
        <f t="shared" si="0"/>
        <v>2710830</v>
      </c>
      <c r="I30" s="7">
        <v>142</v>
      </c>
      <c r="J30" s="8">
        <f t="shared" si="1"/>
        <v>273</v>
      </c>
      <c r="K30" s="13">
        <f t="shared" si="2"/>
        <v>38766</v>
      </c>
      <c r="L30" s="12">
        <f t="shared" si="3"/>
        <v>2749596</v>
      </c>
    </row>
    <row r="31" spans="1:12" x14ac:dyDescent="0.25">
      <c r="A31" s="4" t="s">
        <v>28</v>
      </c>
      <c r="B31" s="4" t="s">
        <v>31</v>
      </c>
      <c r="C31" s="4" t="s">
        <v>60</v>
      </c>
      <c r="D31" s="5">
        <v>8</v>
      </c>
      <c r="E31" s="5">
        <v>2017</v>
      </c>
      <c r="F31" s="7">
        <v>11342</v>
      </c>
      <c r="G31" s="8">
        <v>217</v>
      </c>
      <c r="H31" s="13">
        <f t="shared" si="0"/>
        <v>2461214</v>
      </c>
      <c r="I31" s="7">
        <v>87</v>
      </c>
      <c r="J31" s="8">
        <f t="shared" si="1"/>
        <v>271</v>
      </c>
      <c r="K31" s="13">
        <f t="shared" si="2"/>
        <v>23577</v>
      </c>
      <c r="L31" s="12">
        <f t="shared" si="3"/>
        <v>2484791</v>
      </c>
    </row>
    <row r="32" spans="1:12" hidden="1" x14ac:dyDescent="0.25">
      <c r="A32" s="4" t="s">
        <v>55</v>
      </c>
      <c r="B32" s="4" t="s">
        <v>56</v>
      </c>
      <c r="C32" s="4" t="s">
        <v>61</v>
      </c>
      <c r="D32" s="5">
        <v>10</v>
      </c>
      <c r="E32" s="5">
        <v>2015</v>
      </c>
      <c r="F32" s="7">
        <v>3000</v>
      </c>
      <c r="G32" s="8">
        <v>225</v>
      </c>
      <c r="H32" s="13">
        <f t="shared" si="0"/>
        <v>675000</v>
      </c>
      <c r="I32" s="7">
        <v>418</v>
      </c>
      <c r="J32" s="8">
        <f t="shared" si="1"/>
        <v>281</v>
      </c>
      <c r="K32" s="13">
        <f t="shared" si="2"/>
        <v>117458</v>
      </c>
      <c r="L32" s="12">
        <f t="shared" si="3"/>
        <v>792458</v>
      </c>
    </row>
    <row r="33" spans="1:12" hidden="1" x14ac:dyDescent="0.25">
      <c r="A33" s="4" t="s">
        <v>55</v>
      </c>
      <c r="B33" s="4" t="s">
        <v>61</v>
      </c>
      <c r="C33" s="4" t="s">
        <v>62</v>
      </c>
      <c r="D33" s="5">
        <v>7</v>
      </c>
      <c r="E33" s="5">
        <v>2017</v>
      </c>
      <c r="F33" s="7">
        <v>12000</v>
      </c>
      <c r="G33" s="8">
        <v>265</v>
      </c>
      <c r="H33" s="13">
        <f t="shared" si="0"/>
        <v>3180000</v>
      </c>
      <c r="I33" s="7">
        <v>155</v>
      </c>
      <c r="J33" s="8">
        <f t="shared" si="1"/>
        <v>331</v>
      </c>
      <c r="K33" s="13">
        <f t="shared" si="2"/>
        <v>51305</v>
      </c>
      <c r="L33" s="12">
        <f t="shared" si="3"/>
        <v>3231305</v>
      </c>
    </row>
    <row r="34" spans="1:12" hidden="1" x14ac:dyDescent="0.25">
      <c r="A34" s="4" t="s">
        <v>44</v>
      </c>
      <c r="B34" s="4" t="s">
        <v>63</v>
      </c>
      <c r="C34" s="4" t="s">
        <v>64</v>
      </c>
      <c r="D34" s="5">
        <v>2</v>
      </c>
      <c r="E34" s="5">
        <v>2013</v>
      </c>
      <c r="F34" s="7">
        <v>11254</v>
      </c>
      <c r="G34" s="8">
        <v>118</v>
      </c>
      <c r="H34" s="13">
        <f t="shared" si="0"/>
        <v>1327972</v>
      </c>
      <c r="I34" s="7">
        <v>750</v>
      </c>
      <c r="J34" s="8">
        <f t="shared" si="1"/>
        <v>148</v>
      </c>
      <c r="K34" s="13">
        <f t="shared" si="2"/>
        <v>111000</v>
      </c>
      <c r="L34" s="12">
        <f t="shared" si="3"/>
        <v>1438972</v>
      </c>
    </row>
    <row r="35" spans="1:12" hidden="1" x14ac:dyDescent="0.25">
      <c r="A35" s="4" t="s">
        <v>19</v>
      </c>
      <c r="B35" s="4" t="s">
        <v>38</v>
      </c>
      <c r="C35" s="4" t="s">
        <v>65</v>
      </c>
      <c r="D35" s="5">
        <v>1</v>
      </c>
      <c r="E35" s="5">
        <v>2014</v>
      </c>
      <c r="F35" s="7">
        <v>9876</v>
      </c>
      <c r="G35" s="8">
        <v>155</v>
      </c>
      <c r="H35" s="13">
        <f t="shared" si="0"/>
        <v>1530780</v>
      </c>
      <c r="I35" s="7">
        <v>22</v>
      </c>
      <c r="J35" s="8">
        <f t="shared" si="1"/>
        <v>194</v>
      </c>
      <c r="K35" s="13">
        <f t="shared" si="2"/>
        <v>4268</v>
      </c>
      <c r="L35" s="12">
        <f t="shared" si="3"/>
        <v>1535048</v>
      </c>
    </row>
    <row r="36" spans="1:12" hidden="1" x14ac:dyDescent="0.25">
      <c r="A36" s="4" t="s">
        <v>44</v>
      </c>
      <c r="B36" s="4" t="s">
        <v>45</v>
      </c>
      <c r="C36" s="4" t="s">
        <v>66</v>
      </c>
      <c r="D36" s="5">
        <v>5</v>
      </c>
      <c r="E36" s="5">
        <v>2014</v>
      </c>
      <c r="F36" s="7">
        <v>23575</v>
      </c>
      <c r="G36" s="8">
        <v>125</v>
      </c>
      <c r="H36" s="13">
        <f t="shared" si="0"/>
        <v>2946875</v>
      </c>
      <c r="I36" s="7">
        <v>1245</v>
      </c>
      <c r="J36" s="8">
        <f t="shared" si="1"/>
        <v>156</v>
      </c>
      <c r="K36" s="13">
        <f t="shared" si="2"/>
        <v>194220</v>
      </c>
      <c r="L36" s="12">
        <f t="shared" si="3"/>
        <v>3141095</v>
      </c>
    </row>
    <row r="37" spans="1:12" x14ac:dyDescent="0.25">
      <c r="A37" s="4" t="s">
        <v>25</v>
      </c>
      <c r="B37" s="4" t="s">
        <v>26</v>
      </c>
      <c r="C37" s="4" t="s">
        <v>26</v>
      </c>
      <c r="D37" s="5">
        <v>5</v>
      </c>
      <c r="E37" s="5">
        <v>2015</v>
      </c>
      <c r="F37" s="7">
        <v>22345</v>
      </c>
      <c r="G37" s="8">
        <v>221</v>
      </c>
      <c r="H37" s="13">
        <f t="shared" si="0"/>
        <v>4938245</v>
      </c>
      <c r="I37" s="7">
        <v>732</v>
      </c>
      <c r="J37" s="8">
        <f t="shared" si="1"/>
        <v>276</v>
      </c>
      <c r="K37" s="13">
        <f t="shared" si="2"/>
        <v>202032</v>
      </c>
      <c r="L37" s="12">
        <f t="shared" si="3"/>
        <v>5140277</v>
      </c>
    </row>
    <row r="38" spans="1:12" hidden="1" x14ac:dyDescent="0.25">
      <c r="A38" s="4" t="s">
        <v>40</v>
      </c>
      <c r="B38" s="4" t="s">
        <v>52</v>
      </c>
      <c r="C38" s="4" t="s">
        <v>67</v>
      </c>
      <c r="D38" s="5">
        <v>3</v>
      </c>
      <c r="E38" s="5">
        <v>2015</v>
      </c>
      <c r="F38" s="7">
        <v>2750</v>
      </c>
      <c r="G38" s="8">
        <v>165</v>
      </c>
      <c r="H38" s="13">
        <f t="shared" si="0"/>
        <v>453750</v>
      </c>
      <c r="I38" s="7">
        <v>83</v>
      </c>
      <c r="J38" s="8">
        <f t="shared" si="1"/>
        <v>206</v>
      </c>
      <c r="K38" s="13">
        <f t="shared" si="2"/>
        <v>17098</v>
      </c>
      <c r="L38" s="12">
        <f t="shared" si="3"/>
        <v>470848</v>
      </c>
    </row>
    <row r="39" spans="1:12" x14ac:dyDescent="0.25">
      <c r="A39" s="4" t="s">
        <v>14</v>
      </c>
      <c r="B39" s="4" t="s">
        <v>23</v>
      </c>
      <c r="C39" s="4" t="s">
        <v>68</v>
      </c>
      <c r="D39" s="5">
        <v>3</v>
      </c>
      <c r="E39" s="5">
        <v>2015</v>
      </c>
      <c r="F39" s="7">
        <v>4500</v>
      </c>
      <c r="G39" s="8">
        <v>125</v>
      </c>
      <c r="H39" s="13">
        <f t="shared" si="0"/>
        <v>562500</v>
      </c>
      <c r="I39" s="7">
        <v>12</v>
      </c>
      <c r="J39" s="8">
        <f t="shared" si="1"/>
        <v>156</v>
      </c>
      <c r="K39" s="13">
        <f t="shared" si="2"/>
        <v>1872</v>
      </c>
      <c r="L39" s="12">
        <f t="shared" si="3"/>
        <v>564372</v>
      </c>
    </row>
    <row r="40" spans="1:12" x14ac:dyDescent="0.25">
      <c r="A40" s="4" t="s">
        <v>28</v>
      </c>
      <c r="B40" s="4" t="s">
        <v>69</v>
      </c>
      <c r="C40" s="4" t="s">
        <v>70</v>
      </c>
      <c r="D40" s="5">
        <v>12</v>
      </c>
      <c r="E40" s="5">
        <v>2016</v>
      </c>
      <c r="F40" s="7">
        <v>8590</v>
      </c>
      <c r="G40" s="8">
        <v>236</v>
      </c>
      <c r="H40" s="13">
        <f t="shared" si="0"/>
        <v>2027240</v>
      </c>
      <c r="I40" s="7">
        <v>48</v>
      </c>
      <c r="J40" s="8">
        <f t="shared" si="1"/>
        <v>295</v>
      </c>
      <c r="K40" s="13">
        <f t="shared" si="2"/>
        <v>14160</v>
      </c>
      <c r="L40" s="12">
        <f t="shared" si="3"/>
        <v>2041400</v>
      </c>
    </row>
    <row r="41" spans="1:12" x14ac:dyDescent="0.25">
      <c r="A41" s="4" t="s">
        <v>28</v>
      </c>
      <c r="B41" s="4" t="s">
        <v>69</v>
      </c>
      <c r="C41" s="4" t="s">
        <v>71</v>
      </c>
      <c r="D41" s="5">
        <v>9</v>
      </c>
      <c r="E41" s="5">
        <v>2016</v>
      </c>
      <c r="F41" s="7">
        <v>5837</v>
      </c>
      <c r="G41" s="8">
        <v>186</v>
      </c>
      <c r="H41" s="13">
        <f t="shared" si="0"/>
        <v>1085682</v>
      </c>
      <c r="I41" s="7">
        <v>632</v>
      </c>
      <c r="J41" s="8">
        <f t="shared" si="1"/>
        <v>233</v>
      </c>
      <c r="K41" s="13">
        <f t="shared" si="2"/>
        <v>147256</v>
      </c>
      <c r="L41" s="12">
        <f t="shared" si="3"/>
        <v>1232938</v>
      </c>
    </row>
    <row r="42" spans="1:12" hidden="1" x14ac:dyDescent="0.25">
      <c r="A42" s="4" t="s">
        <v>44</v>
      </c>
      <c r="B42" s="4" t="s">
        <v>63</v>
      </c>
      <c r="C42" s="4" t="s">
        <v>72</v>
      </c>
      <c r="D42" s="5">
        <v>10</v>
      </c>
      <c r="E42" s="5">
        <v>2014</v>
      </c>
      <c r="F42" s="7">
        <v>7500</v>
      </c>
      <c r="G42" s="8">
        <v>195</v>
      </c>
      <c r="H42" s="13">
        <f t="shared" si="0"/>
        <v>1462500</v>
      </c>
      <c r="I42" s="7">
        <v>53</v>
      </c>
      <c r="J42" s="8">
        <f t="shared" si="1"/>
        <v>244</v>
      </c>
      <c r="K42" s="13">
        <f t="shared" si="2"/>
        <v>12932</v>
      </c>
      <c r="L42" s="12">
        <f t="shared" si="3"/>
        <v>1475432</v>
      </c>
    </row>
    <row r="43" spans="1:12" x14ac:dyDescent="0.25">
      <c r="A43" s="4" t="s">
        <v>25</v>
      </c>
      <c r="B43" s="4" t="s">
        <v>49</v>
      </c>
      <c r="C43" s="4" t="s">
        <v>49</v>
      </c>
      <c r="D43" s="5">
        <v>9</v>
      </c>
      <c r="E43" s="5">
        <v>2017</v>
      </c>
      <c r="F43" s="7">
        <v>3500</v>
      </c>
      <c r="G43" s="8">
        <v>310</v>
      </c>
      <c r="H43" s="13">
        <f t="shared" si="0"/>
        <v>1085000</v>
      </c>
      <c r="I43" s="7">
        <v>43</v>
      </c>
      <c r="J43" s="8">
        <f t="shared" si="1"/>
        <v>388</v>
      </c>
      <c r="K43" s="13">
        <f t="shared" si="2"/>
        <v>16684</v>
      </c>
      <c r="L43" s="12">
        <f t="shared" si="3"/>
        <v>1101684</v>
      </c>
    </row>
    <row r="44" spans="1:12" x14ac:dyDescent="0.25">
      <c r="A44" s="4" t="s">
        <v>14</v>
      </c>
      <c r="B44" s="4" t="s">
        <v>15</v>
      </c>
      <c r="C44" s="4" t="s">
        <v>73</v>
      </c>
      <c r="D44" s="5">
        <v>2</v>
      </c>
      <c r="E44" s="5">
        <v>2014</v>
      </c>
      <c r="F44" s="7">
        <v>15374</v>
      </c>
      <c r="G44" s="8">
        <v>120</v>
      </c>
      <c r="H44" s="13">
        <f t="shared" si="0"/>
        <v>1844880</v>
      </c>
      <c r="I44" s="7">
        <v>110</v>
      </c>
      <c r="J44" s="8">
        <f t="shared" si="1"/>
        <v>150</v>
      </c>
      <c r="K44" s="13">
        <f t="shared" si="2"/>
        <v>16500</v>
      </c>
      <c r="L44" s="12">
        <f t="shared" si="3"/>
        <v>1861380</v>
      </c>
    </row>
    <row r="45" spans="1:12" hidden="1" x14ac:dyDescent="0.25">
      <c r="A45" s="4" t="s">
        <v>19</v>
      </c>
      <c r="B45" s="4" t="s">
        <v>35</v>
      </c>
      <c r="C45" s="4" t="s">
        <v>74</v>
      </c>
      <c r="D45" s="5">
        <v>3</v>
      </c>
      <c r="E45" s="5">
        <v>2017</v>
      </c>
      <c r="F45" s="7">
        <v>20300</v>
      </c>
      <c r="G45" s="8">
        <v>298</v>
      </c>
      <c r="H45" s="13">
        <f t="shared" si="0"/>
        <v>6049400</v>
      </c>
      <c r="I45" s="7">
        <v>118</v>
      </c>
      <c r="J45" s="8">
        <f t="shared" si="1"/>
        <v>373</v>
      </c>
      <c r="K45" s="13">
        <f t="shared" si="2"/>
        <v>44014</v>
      </c>
      <c r="L45" s="12">
        <f t="shared" si="3"/>
        <v>6093414</v>
      </c>
    </row>
    <row r="46" spans="1:12" hidden="1" x14ac:dyDescent="0.25">
      <c r="A46" s="4" t="s">
        <v>55</v>
      </c>
      <c r="B46" s="4" t="s">
        <v>61</v>
      </c>
      <c r="C46" s="4" t="s">
        <v>75</v>
      </c>
      <c r="D46" s="5">
        <v>6</v>
      </c>
      <c r="E46" s="5">
        <v>2016</v>
      </c>
      <c r="F46" s="7">
        <v>7532</v>
      </c>
      <c r="G46" s="8">
        <v>210</v>
      </c>
      <c r="H46" s="13">
        <f t="shared" si="0"/>
        <v>1581720</v>
      </c>
      <c r="I46" s="7">
        <v>83</v>
      </c>
      <c r="J46" s="8">
        <f t="shared" si="1"/>
        <v>263</v>
      </c>
      <c r="K46" s="13">
        <f t="shared" si="2"/>
        <v>21829</v>
      </c>
      <c r="L46" s="12">
        <f t="shared" si="3"/>
        <v>1603549</v>
      </c>
    </row>
    <row r="47" spans="1:12" x14ac:dyDescent="0.25">
      <c r="A47" s="4" t="s">
        <v>28</v>
      </c>
      <c r="B47" s="4" t="s">
        <v>69</v>
      </c>
      <c r="C47" s="4" t="s">
        <v>76</v>
      </c>
      <c r="D47" s="5">
        <v>5</v>
      </c>
      <c r="E47" s="5">
        <v>2003</v>
      </c>
      <c r="F47" s="7">
        <v>18750</v>
      </c>
      <c r="G47" s="8">
        <v>194</v>
      </c>
      <c r="H47" s="13">
        <f t="shared" si="0"/>
        <v>3637500</v>
      </c>
      <c r="I47" s="7">
        <v>1023</v>
      </c>
      <c r="J47" s="8">
        <f t="shared" si="1"/>
        <v>243</v>
      </c>
      <c r="K47" s="13">
        <f t="shared" si="2"/>
        <v>248589</v>
      </c>
      <c r="L47" s="12">
        <f t="shared" si="3"/>
        <v>3886089</v>
      </c>
    </row>
    <row r="48" spans="1:12" hidden="1" x14ac:dyDescent="0.25">
      <c r="A48" s="4" t="s">
        <v>19</v>
      </c>
      <c r="B48" s="4" t="s">
        <v>35</v>
      </c>
      <c r="C48" s="4" t="s">
        <v>77</v>
      </c>
      <c r="D48" s="5">
        <v>1</v>
      </c>
      <c r="E48" s="5">
        <v>2015</v>
      </c>
      <c r="F48" s="7">
        <v>11983</v>
      </c>
      <c r="G48" s="8">
        <v>66</v>
      </c>
      <c r="H48" s="13">
        <f t="shared" si="0"/>
        <v>790878</v>
      </c>
      <c r="I48" s="7">
        <v>93</v>
      </c>
      <c r="J48" s="8">
        <f t="shared" si="1"/>
        <v>83</v>
      </c>
      <c r="K48" s="13">
        <f t="shared" si="2"/>
        <v>7719</v>
      </c>
      <c r="L48" s="12">
        <f t="shared" si="3"/>
        <v>798597</v>
      </c>
    </row>
    <row r="49" spans="1:12" x14ac:dyDescent="0.25">
      <c r="A49" s="4" t="s">
        <v>14</v>
      </c>
      <c r="B49" s="4" t="s">
        <v>23</v>
      </c>
      <c r="C49" s="4" t="s">
        <v>78</v>
      </c>
      <c r="D49" s="5">
        <v>9</v>
      </c>
      <c r="E49" s="5">
        <v>2016</v>
      </c>
      <c r="F49" s="7">
        <v>4500</v>
      </c>
      <c r="G49" s="8">
        <v>175</v>
      </c>
      <c r="H49" s="13">
        <f t="shared" si="0"/>
        <v>787500</v>
      </c>
      <c r="I49" s="7">
        <v>251</v>
      </c>
      <c r="J49" s="8">
        <f t="shared" si="1"/>
        <v>219</v>
      </c>
      <c r="K49" s="13">
        <f t="shared" si="2"/>
        <v>54969</v>
      </c>
      <c r="L49" s="12">
        <f t="shared" si="3"/>
        <v>842469</v>
      </c>
    </row>
    <row r="50" spans="1:12" hidden="1" x14ac:dyDescent="0.25">
      <c r="A50" s="4" t="s">
        <v>19</v>
      </c>
      <c r="B50" s="4" t="s">
        <v>38</v>
      </c>
      <c r="C50" s="4" t="s">
        <v>79</v>
      </c>
      <c r="D50" s="5">
        <v>1</v>
      </c>
      <c r="E50" s="5">
        <v>2012</v>
      </c>
      <c r="F50" s="7">
        <v>20100</v>
      </c>
      <c r="G50" s="8">
        <v>125</v>
      </c>
      <c r="H50" s="13">
        <f t="shared" si="0"/>
        <v>2512500</v>
      </c>
      <c r="I50" s="7">
        <v>1723</v>
      </c>
      <c r="J50" s="8">
        <f t="shared" si="1"/>
        <v>156</v>
      </c>
      <c r="K50" s="13">
        <f t="shared" si="2"/>
        <v>268788</v>
      </c>
      <c r="L50" s="12">
        <f t="shared" si="3"/>
        <v>2781288</v>
      </c>
    </row>
  </sheetData>
  <autoFilter ref="A4:L50">
    <filterColumn colId="0">
      <filters>
        <filter val="Biology/Microbiology"/>
        <filter val="Chemistry"/>
        <filter val="Geography/Atmospheric Sciences"/>
      </filters>
    </filterColumn>
  </autoFilter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zoomScale="96" zoomScaleNormal="96" zoomScalePageLayoutView="180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A31" sqref="A31"/>
    </sheetView>
  </sheetViews>
  <sheetFormatPr defaultColWidth="8.85546875" defaultRowHeight="15" outlineLevelRow="2" x14ac:dyDescent="0.25"/>
  <cols>
    <col min="1" max="1" width="52.42578125" style="4" bestFit="1" customWidth="1"/>
    <col min="2" max="2" width="32.7109375" style="4" customWidth="1"/>
    <col min="3" max="3" width="50.42578125" style="4" customWidth="1"/>
    <col min="4" max="4" width="7.28515625" style="4" bestFit="1" customWidth="1"/>
    <col min="5" max="5" width="9.140625" style="4" customWidth="1"/>
    <col min="6" max="6" width="11" style="4" customWidth="1"/>
    <col min="7" max="7" width="12" style="4" customWidth="1"/>
    <col min="8" max="8" width="13.7109375" style="4" customWidth="1"/>
    <col min="9" max="9" width="11" style="4" customWidth="1"/>
    <col min="10" max="10" width="12" style="4" customWidth="1"/>
    <col min="11" max="12" width="13.7109375" style="4" customWidth="1"/>
    <col min="13" max="16384" width="8.85546875" style="4"/>
  </cols>
  <sheetData>
    <row r="1" spans="1:12" x14ac:dyDescent="0.25">
      <c r="A1" s="95" t="s">
        <v>294</v>
      </c>
      <c r="D1" s="5"/>
      <c r="E1" s="5"/>
      <c r="G1" s="4" t="s">
        <v>0</v>
      </c>
      <c r="J1" s="6">
        <v>1.25</v>
      </c>
    </row>
    <row r="2" spans="1:12" x14ac:dyDescent="0.25">
      <c r="A2" s="95" t="s">
        <v>295</v>
      </c>
      <c r="D2" s="5"/>
      <c r="E2" s="5"/>
      <c r="G2" s="4" t="s">
        <v>1</v>
      </c>
      <c r="J2" s="6">
        <v>0.1</v>
      </c>
    </row>
    <row r="3" spans="1:12" x14ac:dyDescent="0.25">
      <c r="A3" s="95" t="s">
        <v>296</v>
      </c>
      <c r="D3" s="5"/>
      <c r="E3" s="5"/>
      <c r="J3" s="6"/>
    </row>
    <row r="4" spans="1:12" x14ac:dyDescent="0.25">
      <c r="D4" s="5"/>
      <c r="E4" s="5"/>
      <c r="J4" s="6"/>
    </row>
    <row r="5" spans="1:12" ht="30" x14ac:dyDescent="0.25">
      <c r="A5" s="9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</row>
    <row r="6" spans="1:12" outlineLevel="2" x14ac:dyDescent="0.25">
      <c r="A6" s="4" t="s">
        <v>55</v>
      </c>
      <c r="B6" s="4" t="s">
        <v>56</v>
      </c>
      <c r="C6" s="4" t="s">
        <v>57</v>
      </c>
      <c r="D6" s="5">
        <v>4</v>
      </c>
      <c r="E6" s="5">
        <v>2016</v>
      </c>
      <c r="F6" s="7">
        <v>9575</v>
      </c>
      <c r="G6" s="8">
        <v>188</v>
      </c>
      <c r="H6" s="13">
        <f>F6*G6</f>
        <v>1800100</v>
      </c>
      <c r="I6" s="7">
        <v>43</v>
      </c>
      <c r="J6" s="8">
        <f>ROUND(G6*RetailRate,0)</f>
        <v>235</v>
      </c>
      <c r="K6" s="13">
        <f>I6*J6</f>
        <v>10105</v>
      </c>
      <c r="L6" s="12">
        <f>H6+K6</f>
        <v>1810205</v>
      </c>
    </row>
    <row r="7" spans="1:12" outlineLevel="2" x14ac:dyDescent="0.25">
      <c r="A7" s="4" t="s">
        <v>55</v>
      </c>
      <c r="B7" s="4" t="s">
        <v>56</v>
      </c>
      <c r="C7" s="4" t="s">
        <v>59</v>
      </c>
      <c r="D7" s="5">
        <v>6</v>
      </c>
      <c r="E7" s="5">
        <v>2017</v>
      </c>
      <c r="F7" s="7">
        <v>12435</v>
      </c>
      <c r="G7" s="8">
        <v>218</v>
      </c>
      <c r="H7" s="13">
        <f>F7*G7</f>
        <v>2710830</v>
      </c>
      <c r="I7" s="7">
        <v>142</v>
      </c>
      <c r="J7" s="8">
        <f>ROUND(G7*RetailRate,0)</f>
        <v>273</v>
      </c>
      <c r="K7" s="13">
        <f>I7*J7</f>
        <v>38766</v>
      </c>
      <c r="L7" s="12">
        <f>H7+K7</f>
        <v>2749596</v>
      </c>
    </row>
    <row r="8" spans="1:12" outlineLevel="2" x14ac:dyDescent="0.25">
      <c r="A8" s="4" t="s">
        <v>55</v>
      </c>
      <c r="B8" s="4" t="s">
        <v>56</v>
      </c>
      <c r="C8" s="4" t="s">
        <v>61</v>
      </c>
      <c r="D8" s="5">
        <v>10</v>
      </c>
      <c r="E8" s="5">
        <v>2015</v>
      </c>
      <c r="F8" s="7">
        <v>3000</v>
      </c>
      <c r="G8" s="8">
        <v>225</v>
      </c>
      <c r="H8" s="13">
        <f>F8*G8</f>
        <v>675000</v>
      </c>
      <c r="I8" s="7">
        <v>418</v>
      </c>
      <c r="J8" s="8">
        <f>ROUND(G8*RetailRate,0)</f>
        <v>281</v>
      </c>
      <c r="K8" s="13">
        <f>I8*J8</f>
        <v>117458</v>
      </c>
      <c r="L8" s="12">
        <f>H8+K8</f>
        <v>792458</v>
      </c>
    </row>
    <row r="9" spans="1:12" outlineLevel="2" x14ac:dyDescent="0.25">
      <c r="A9" s="4" t="s">
        <v>55</v>
      </c>
      <c r="B9" s="4" t="s">
        <v>61</v>
      </c>
      <c r="C9" s="4" t="s">
        <v>62</v>
      </c>
      <c r="D9" s="5">
        <v>7</v>
      </c>
      <c r="E9" s="5">
        <v>2017</v>
      </c>
      <c r="F9" s="7">
        <v>12000</v>
      </c>
      <c r="G9" s="8">
        <v>265</v>
      </c>
      <c r="H9" s="13">
        <f>F9*G9</f>
        <v>3180000</v>
      </c>
      <c r="I9" s="7">
        <v>155</v>
      </c>
      <c r="J9" s="8">
        <f>ROUND(G9*RetailRate,0)</f>
        <v>331</v>
      </c>
      <c r="K9" s="13">
        <f>I9*J9</f>
        <v>51305</v>
      </c>
      <c r="L9" s="12">
        <f>H9+K9</f>
        <v>3231305</v>
      </c>
    </row>
    <row r="10" spans="1:12" outlineLevel="2" x14ac:dyDescent="0.25">
      <c r="A10" s="4" t="s">
        <v>55</v>
      </c>
      <c r="B10" s="4" t="s">
        <v>61</v>
      </c>
      <c r="C10" s="4" t="s">
        <v>75</v>
      </c>
      <c r="D10" s="5">
        <v>6</v>
      </c>
      <c r="E10" s="5">
        <v>2016</v>
      </c>
      <c r="F10" s="7">
        <v>7532</v>
      </c>
      <c r="G10" s="8">
        <v>210</v>
      </c>
      <c r="H10" s="13">
        <f>F10*G10</f>
        <v>1581720</v>
      </c>
      <c r="I10" s="7">
        <v>83</v>
      </c>
      <c r="J10" s="8">
        <f>ROUND(G10*RetailRate,0)</f>
        <v>263</v>
      </c>
      <c r="K10" s="13">
        <f>I10*J10</f>
        <v>21829</v>
      </c>
      <c r="L10" s="12">
        <f>H10+K10</f>
        <v>1603549</v>
      </c>
    </row>
    <row r="11" spans="1:12" outlineLevel="1" x14ac:dyDescent="0.25">
      <c r="A11" s="39" t="s">
        <v>297</v>
      </c>
      <c r="D11" s="5"/>
      <c r="E11" s="5"/>
      <c r="F11" s="7"/>
      <c r="G11" s="8"/>
      <c r="H11" s="13"/>
      <c r="I11" s="7"/>
      <c r="J11" s="8"/>
      <c r="K11" s="13"/>
      <c r="L11" s="12">
        <f>SUBTOTAL(9,L6:L10)</f>
        <v>10187113</v>
      </c>
    </row>
    <row r="12" spans="1:12" outlineLevel="2" x14ac:dyDescent="0.25">
      <c r="A12" s="4" t="s">
        <v>28</v>
      </c>
      <c r="B12" s="4" t="s">
        <v>31</v>
      </c>
      <c r="C12" s="4" t="s">
        <v>32</v>
      </c>
      <c r="D12" s="5">
        <v>6</v>
      </c>
      <c r="E12" s="5">
        <v>2017</v>
      </c>
      <c r="F12" s="7">
        <v>18500</v>
      </c>
      <c r="G12" s="8">
        <v>219</v>
      </c>
      <c r="H12" s="13">
        <f t="shared" ref="H12:H20" si="0">F12*G12</f>
        <v>4051500</v>
      </c>
      <c r="I12" s="7">
        <v>245</v>
      </c>
      <c r="J12" s="8">
        <f t="shared" ref="J12:J20" si="1">ROUND(G12*RetailRate,0)</f>
        <v>274</v>
      </c>
      <c r="K12" s="13">
        <f t="shared" ref="K12:K20" si="2">I12*J12</f>
        <v>67130</v>
      </c>
      <c r="L12" s="12">
        <f t="shared" ref="L12:L20" si="3">H12+K12</f>
        <v>4118630</v>
      </c>
    </row>
    <row r="13" spans="1:12" outlineLevel="2" x14ac:dyDescent="0.25">
      <c r="A13" s="4" t="s">
        <v>28</v>
      </c>
      <c r="B13" s="4" t="s">
        <v>31</v>
      </c>
      <c r="C13" s="4" t="s">
        <v>60</v>
      </c>
      <c r="D13" s="5">
        <v>8</v>
      </c>
      <c r="E13" s="5">
        <v>2017</v>
      </c>
      <c r="F13" s="7">
        <v>11342</v>
      </c>
      <c r="G13" s="8">
        <v>217</v>
      </c>
      <c r="H13" s="13">
        <f t="shared" si="0"/>
        <v>2461214</v>
      </c>
      <c r="I13" s="7">
        <v>87</v>
      </c>
      <c r="J13" s="8">
        <f t="shared" si="1"/>
        <v>271</v>
      </c>
      <c r="K13" s="13">
        <f t="shared" si="2"/>
        <v>23577</v>
      </c>
      <c r="L13" s="12">
        <f t="shared" si="3"/>
        <v>2484791</v>
      </c>
    </row>
    <row r="14" spans="1:12" outlineLevel="2" x14ac:dyDescent="0.25">
      <c r="A14" s="4" t="s">
        <v>28</v>
      </c>
      <c r="B14" s="4" t="s">
        <v>29</v>
      </c>
      <c r="C14" s="4" t="s">
        <v>30</v>
      </c>
      <c r="D14" s="5">
        <v>10</v>
      </c>
      <c r="E14" s="5">
        <v>2014</v>
      </c>
      <c r="F14" s="7">
        <v>5575</v>
      </c>
      <c r="G14" s="8">
        <v>266</v>
      </c>
      <c r="H14" s="13">
        <f t="shared" si="0"/>
        <v>1482950</v>
      </c>
      <c r="I14" s="7">
        <v>32</v>
      </c>
      <c r="J14" s="8">
        <f t="shared" si="1"/>
        <v>333</v>
      </c>
      <c r="K14" s="13">
        <f t="shared" si="2"/>
        <v>10656</v>
      </c>
      <c r="L14" s="12">
        <f t="shared" si="3"/>
        <v>1493606</v>
      </c>
    </row>
    <row r="15" spans="1:12" outlineLevel="2" x14ac:dyDescent="0.25">
      <c r="A15" s="4" t="s">
        <v>28</v>
      </c>
      <c r="B15" s="4" t="s">
        <v>29</v>
      </c>
      <c r="C15" s="4" t="s">
        <v>33</v>
      </c>
      <c r="D15" s="5">
        <v>11</v>
      </c>
      <c r="E15" s="5">
        <v>2017</v>
      </c>
      <c r="F15" s="7">
        <v>5893</v>
      </c>
      <c r="G15" s="8">
        <v>230</v>
      </c>
      <c r="H15" s="13">
        <f t="shared" si="0"/>
        <v>1355390</v>
      </c>
      <c r="I15" s="7">
        <v>93</v>
      </c>
      <c r="J15" s="8">
        <f t="shared" si="1"/>
        <v>288</v>
      </c>
      <c r="K15" s="13">
        <f t="shared" si="2"/>
        <v>26784</v>
      </c>
      <c r="L15" s="12">
        <f t="shared" si="3"/>
        <v>1382174</v>
      </c>
    </row>
    <row r="16" spans="1:12" outlineLevel="2" x14ac:dyDescent="0.25">
      <c r="A16" s="4" t="s">
        <v>28</v>
      </c>
      <c r="B16" s="4" t="s">
        <v>29</v>
      </c>
      <c r="C16" s="4" t="s">
        <v>34</v>
      </c>
      <c r="D16" s="5">
        <v>5</v>
      </c>
      <c r="E16" s="5">
        <v>2014</v>
      </c>
      <c r="F16" s="7">
        <v>7503</v>
      </c>
      <c r="G16" s="8">
        <v>185</v>
      </c>
      <c r="H16" s="13">
        <f t="shared" si="0"/>
        <v>1388055</v>
      </c>
      <c r="I16" s="7">
        <v>29</v>
      </c>
      <c r="J16" s="8">
        <f t="shared" si="1"/>
        <v>231</v>
      </c>
      <c r="K16" s="13">
        <f t="shared" si="2"/>
        <v>6699</v>
      </c>
      <c r="L16" s="12">
        <f t="shared" si="3"/>
        <v>1394754</v>
      </c>
    </row>
    <row r="17" spans="1:12" outlineLevel="2" x14ac:dyDescent="0.25">
      <c r="A17" s="4" t="s">
        <v>28</v>
      </c>
      <c r="B17" s="4" t="s">
        <v>29</v>
      </c>
      <c r="C17" s="4" t="s">
        <v>47</v>
      </c>
      <c r="D17" s="5">
        <v>6</v>
      </c>
      <c r="E17" s="5">
        <v>2016</v>
      </c>
      <c r="F17" s="7">
        <v>3400</v>
      </c>
      <c r="G17" s="8">
        <v>204</v>
      </c>
      <c r="H17" s="13">
        <f t="shared" si="0"/>
        <v>693600</v>
      </c>
      <c r="I17" s="7">
        <v>24</v>
      </c>
      <c r="J17" s="8">
        <f t="shared" si="1"/>
        <v>255</v>
      </c>
      <c r="K17" s="13">
        <f t="shared" si="2"/>
        <v>6120</v>
      </c>
      <c r="L17" s="12">
        <f t="shared" si="3"/>
        <v>699720</v>
      </c>
    </row>
    <row r="18" spans="1:12" outlineLevel="2" x14ac:dyDescent="0.25">
      <c r="A18" s="4" t="s">
        <v>28</v>
      </c>
      <c r="B18" s="4" t="s">
        <v>69</v>
      </c>
      <c r="C18" s="4" t="s">
        <v>70</v>
      </c>
      <c r="D18" s="5">
        <v>12</v>
      </c>
      <c r="E18" s="5">
        <v>2016</v>
      </c>
      <c r="F18" s="7">
        <v>8590</v>
      </c>
      <c r="G18" s="8">
        <v>236</v>
      </c>
      <c r="H18" s="13">
        <f t="shared" si="0"/>
        <v>2027240</v>
      </c>
      <c r="I18" s="7">
        <v>48</v>
      </c>
      <c r="J18" s="8">
        <f t="shared" si="1"/>
        <v>295</v>
      </c>
      <c r="K18" s="13">
        <f t="shared" si="2"/>
        <v>14160</v>
      </c>
      <c r="L18" s="12">
        <f t="shared" si="3"/>
        <v>2041400</v>
      </c>
    </row>
    <row r="19" spans="1:12" outlineLevel="2" x14ac:dyDescent="0.25">
      <c r="A19" s="4" t="s">
        <v>28</v>
      </c>
      <c r="B19" s="4" t="s">
        <v>69</v>
      </c>
      <c r="C19" s="4" t="s">
        <v>71</v>
      </c>
      <c r="D19" s="5">
        <v>9</v>
      </c>
      <c r="E19" s="5">
        <v>2016</v>
      </c>
      <c r="F19" s="7">
        <v>5837</v>
      </c>
      <c r="G19" s="8">
        <v>186</v>
      </c>
      <c r="H19" s="13">
        <f t="shared" si="0"/>
        <v>1085682</v>
      </c>
      <c r="I19" s="7">
        <v>632</v>
      </c>
      <c r="J19" s="8">
        <f t="shared" si="1"/>
        <v>233</v>
      </c>
      <c r="K19" s="13">
        <f t="shared" si="2"/>
        <v>147256</v>
      </c>
      <c r="L19" s="12">
        <f t="shared" si="3"/>
        <v>1232938</v>
      </c>
    </row>
    <row r="20" spans="1:12" outlineLevel="2" x14ac:dyDescent="0.25">
      <c r="A20" s="4" t="s">
        <v>28</v>
      </c>
      <c r="B20" s="4" t="s">
        <v>69</v>
      </c>
      <c r="C20" s="4" t="s">
        <v>76</v>
      </c>
      <c r="D20" s="5">
        <v>5</v>
      </c>
      <c r="E20" s="5">
        <v>2003</v>
      </c>
      <c r="F20" s="7">
        <v>18750</v>
      </c>
      <c r="G20" s="8">
        <v>194</v>
      </c>
      <c r="H20" s="13">
        <f t="shared" si="0"/>
        <v>3637500</v>
      </c>
      <c r="I20" s="7">
        <v>1023</v>
      </c>
      <c r="J20" s="8">
        <f t="shared" si="1"/>
        <v>243</v>
      </c>
      <c r="K20" s="13">
        <f t="shared" si="2"/>
        <v>248589</v>
      </c>
      <c r="L20" s="12">
        <f t="shared" si="3"/>
        <v>3886089</v>
      </c>
    </row>
    <row r="21" spans="1:12" outlineLevel="1" x14ac:dyDescent="0.25">
      <c r="A21" s="39" t="s">
        <v>298</v>
      </c>
      <c r="D21" s="5"/>
      <c r="E21" s="5"/>
      <c r="F21" s="7"/>
      <c r="G21" s="8"/>
      <c r="H21" s="13"/>
      <c r="I21" s="7"/>
      <c r="J21" s="8"/>
      <c r="K21" s="13"/>
      <c r="L21" s="12">
        <f>SUBTOTAL(9,L12:L20)</f>
        <v>18734102</v>
      </c>
    </row>
    <row r="22" spans="1:12" outlineLevel="2" x14ac:dyDescent="0.25">
      <c r="A22" s="4" t="s">
        <v>25</v>
      </c>
      <c r="B22" s="4" t="s">
        <v>26</v>
      </c>
      <c r="C22" s="4" t="s">
        <v>27</v>
      </c>
      <c r="D22" s="5">
        <v>4</v>
      </c>
      <c r="E22" s="5">
        <v>2017</v>
      </c>
      <c r="F22" s="7">
        <v>25750</v>
      </c>
      <c r="G22" s="8">
        <v>208</v>
      </c>
      <c r="H22" s="13">
        <f>F22*G22</f>
        <v>5356000</v>
      </c>
      <c r="I22" s="7">
        <v>1234</v>
      </c>
      <c r="J22" s="8">
        <f>ROUND(G22*RetailRate,0)</f>
        <v>260</v>
      </c>
      <c r="K22" s="13">
        <f>I22*J22</f>
        <v>320840</v>
      </c>
      <c r="L22" s="12">
        <f>H22+K22</f>
        <v>5676840</v>
      </c>
    </row>
    <row r="23" spans="1:12" outlineLevel="2" x14ac:dyDescent="0.25">
      <c r="A23" s="4" t="s">
        <v>25</v>
      </c>
      <c r="B23" s="4" t="s">
        <v>26</v>
      </c>
      <c r="C23" s="4" t="s">
        <v>26</v>
      </c>
      <c r="D23" s="5">
        <v>5</v>
      </c>
      <c r="E23" s="5">
        <v>2015</v>
      </c>
      <c r="F23" s="7">
        <v>22345</v>
      </c>
      <c r="G23" s="8">
        <v>221</v>
      </c>
      <c r="H23" s="13">
        <f>F23*G23</f>
        <v>4938245</v>
      </c>
      <c r="I23" s="7">
        <v>732</v>
      </c>
      <c r="J23" s="8">
        <f>ROUND(G23*RetailRate,0)</f>
        <v>276</v>
      </c>
      <c r="K23" s="13">
        <f>I23*J23</f>
        <v>202032</v>
      </c>
      <c r="L23" s="12">
        <f>H23+K23</f>
        <v>5140277</v>
      </c>
    </row>
    <row r="24" spans="1:12" outlineLevel="2" x14ac:dyDescent="0.25">
      <c r="A24" s="4" t="s">
        <v>25</v>
      </c>
      <c r="B24" s="4" t="s">
        <v>49</v>
      </c>
      <c r="C24" s="4" t="s">
        <v>50</v>
      </c>
      <c r="D24" s="5">
        <v>3</v>
      </c>
      <c r="E24" s="5">
        <v>2016</v>
      </c>
      <c r="F24" s="7">
        <v>5500</v>
      </c>
      <c r="G24" s="8">
        <v>244</v>
      </c>
      <c r="H24" s="13">
        <f>F24*G24</f>
        <v>1342000</v>
      </c>
      <c r="I24" s="7">
        <v>114</v>
      </c>
      <c r="J24" s="8">
        <f>ROUND(G24*RetailRate,0)</f>
        <v>305</v>
      </c>
      <c r="K24" s="13">
        <f>I24*J24</f>
        <v>34770</v>
      </c>
      <c r="L24" s="12">
        <f>H24+K24</f>
        <v>1376770</v>
      </c>
    </row>
    <row r="25" spans="1:12" outlineLevel="2" x14ac:dyDescent="0.25">
      <c r="A25" s="4" t="s">
        <v>25</v>
      </c>
      <c r="B25" s="4" t="s">
        <v>49</v>
      </c>
      <c r="C25" s="4" t="s">
        <v>49</v>
      </c>
      <c r="D25" s="5">
        <v>9</v>
      </c>
      <c r="E25" s="5">
        <v>2017</v>
      </c>
      <c r="F25" s="7">
        <v>3500</v>
      </c>
      <c r="G25" s="8">
        <v>310</v>
      </c>
      <c r="H25" s="13">
        <f>F25*G25</f>
        <v>1085000</v>
      </c>
      <c r="I25" s="7">
        <v>43</v>
      </c>
      <c r="J25" s="8">
        <f>ROUND(G25*RetailRate,0)</f>
        <v>388</v>
      </c>
      <c r="K25" s="13">
        <f>I25*J25</f>
        <v>16684</v>
      </c>
      <c r="L25" s="12">
        <f>H25+K25</f>
        <v>1101684</v>
      </c>
    </row>
    <row r="26" spans="1:12" outlineLevel="1" x14ac:dyDescent="0.25">
      <c r="A26" s="39" t="s">
        <v>299</v>
      </c>
      <c r="D26" s="5"/>
      <c r="E26" s="5"/>
      <c r="F26" s="7"/>
      <c r="G26" s="8"/>
      <c r="H26" s="13"/>
      <c r="I26" s="7"/>
      <c r="J26" s="8"/>
      <c r="K26" s="13"/>
      <c r="L26" s="12">
        <f>SUBTOTAL(9,L22:L25)</f>
        <v>13295571</v>
      </c>
    </row>
    <row r="27" spans="1:12" outlineLevel="2" x14ac:dyDescent="0.25">
      <c r="A27" s="4" t="s">
        <v>44</v>
      </c>
      <c r="B27" s="4" t="s">
        <v>45</v>
      </c>
      <c r="C27" s="4" t="s">
        <v>46</v>
      </c>
      <c r="D27" s="5">
        <v>2</v>
      </c>
      <c r="E27" s="5">
        <v>2016</v>
      </c>
      <c r="F27" s="7">
        <v>32400</v>
      </c>
      <c r="G27" s="8">
        <v>110</v>
      </c>
      <c r="H27" s="13">
        <f t="shared" ref="H27:H32" si="4">F27*G27</f>
        <v>3564000</v>
      </c>
      <c r="I27" s="7">
        <v>1309</v>
      </c>
      <c r="J27" s="8">
        <f t="shared" ref="J27:J32" si="5">ROUND(G27*RetailRate,0)</f>
        <v>138</v>
      </c>
      <c r="K27" s="13">
        <f t="shared" ref="K27:K32" si="6">I27*J27</f>
        <v>180642</v>
      </c>
      <c r="L27" s="12">
        <f t="shared" ref="L27:L32" si="7">H27+K27</f>
        <v>3744642</v>
      </c>
    </row>
    <row r="28" spans="1:12" outlineLevel="2" x14ac:dyDescent="0.25">
      <c r="A28" s="4" t="s">
        <v>44</v>
      </c>
      <c r="B28" s="4" t="s">
        <v>45</v>
      </c>
      <c r="C28" s="4" t="s">
        <v>44</v>
      </c>
      <c r="D28" s="5">
        <v>13</v>
      </c>
      <c r="E28" s="5">
        <v>2017</v>
      </c>
      <c r="F28" s="7">
        <v>22418</v>
      </c>
      <c r="G28" s="8">
        <v>218</v>
      </c>
      <c r="H28" s="13">
        <f t="shared" si="4"/>
        <v>4887124</v>
      </c>
      <c r="I28" s="7">
        <v>45</v>
      </c>
      <c r="J28" s="8">
        <f t="shared" si="5"/>
        <v>273</v>
      </c>
      <c r="K28" s="13">
        <f t="shared" si="6"/>
        <v>12285</v>
      </c>
      <c r="L28" s="12">
        <f t="shared" si="7"/>
        <v>4899409</v>
      </c>
    </row>
    <row r="29" spans="1:12" outlineLevel="2" x14ac:dyDescent="0.25">
      <c r="A29" s="4" t="s">
        <v>44</v>
      </c>
      <c r="B29" s="4" t="s">
        <v>45</v>
      </c>
      <c r="C29" s="4" t="s">
        <v>48</v>
      </c>
      <c r="D29" s="5">
        <v>5</v>
      </c>
      <c r="E29" s="5">
        <v>2015</v>
      </c>
      <c r="F29" s="7">
        <v>11875</v>
      </c>
      <c r="G29" s="8">
        <v>145</v>
      </c>
      <c r="H29" s="13">
        <f t="shared" si="4"/>
        <v>1721875</v>
      </c>
      <c r="I29" s="7">
        <v>1200</v>
      </c>
      <c r="J29" s="8">
        <f t="shared" si="5"/>
        <v>181</v>
      </c>
      <c r="K29" s="13">
        <f t="shared" si="6"/>
        <v>217200</v>
      </c>
      <c r="L29" s="12">
        <f t="shared" si="7"/>
        <v>1939075</v>
      </c>
    </row>
    <row r="30" spans="1:12" outlineLevel="2" x14ac:dyDescent="0.25">
      <c r="A30" s="4" t="s">
        <v>44</v>
      </c>
      <c r="B30" s="4" t="s">
        <v>45</v>
      </c>
      <c r="C30" s="4" t="s">
        <v>66</v>
      </c>
      <c r="D30" s="5">
        <v>5</v>
      </c>
      <c r="E30" s="5">
        <v>2014</v>
      </c>
      <c r="F30" s="7">
        <v>23575</v>
      </c>
      <c r="G30" s="8">
        <v>125</v>
      </c>
      <c r="H30" s="13">
        <f t="shared" si="4"/>
        <v>2946875</v>
      </c>
      <c r="I30" s="7">
        <v>1245</v>
      </c>
      <c r="J30" s="8">
        <f t="shared" si="5"/>
        <v>156</v>
      </c>
      <c r="K30" s="13">
        <f t="shared" si="6"/>
        <v>194220</v>
      </c>
      <c r="L30" s="12">
        <f t="shared" si="7"/>
        <v>3141095</v>
      </c>
    </row>
    <row r="31" spans="1:12" outlineLevel="2" x14ac:dyDescent="0.25">
      <c r="A31" s="4" t="s">
        <v>44</v>
      </c>
      <c r="B31" s="4" t="s">
        <v>63</v>
      </c>
      <c r="C31" s="4" t="s">
        <v>64</v>
      </c>
      <c r="D31" s="5">
        <v>2</v>
      </c>
      <c r="E31" s="5">
        <v>2013</v>
      </c>
      <c r="F31" s="7">
        <v>11254</v>
      </c>
      <c r="G31" s="8">
        <v>118</v>
      </c>
      <c r="H31" s="13">
        <f t="shared" si="4"/>
        <v>1327972</v>
      </c>
      <c r="I31" s="7">
        <v>750</v>
      </c>
      <c r="J31" s="8">
        <f t="shared" si="5"/>
        <v>148</v>
      </c>
      <c r="K31" s="13">
        <f t="shared" si="6"/>
        <v>111000</v>
      </c>
      <c r="L31" s="12">
        <f t="shared" si="7"/>
        <v>1438972</v>
      </c>
    </row>
    <row r="32" spans="1:12" outlineLevel="2" x14ac:dyDescent="0.25">
      <c r="A32" s="4" t="s">
        <v>44</v>
      </c>
      <c r="B32" s="4" t="s">
        <v>63</v>
      </c>
      <c r="C32" s="4" t="s">
        <v>72</v>
      </c>
      <c r="D32" s="5">
        <v>10</v>
      </c>
      <c r="E32" s="5">
        <v>2014</v>
      </c>
      <c r="F32" s="7">
        <v>7500</v>
      </c>
      <c r="G32" s="8">
        <v>195</v>
      </c>
      <c r="H32" s="13">
        <f t="shared" si="4"/>
        <v>1462500</v>
      </c>
      <c r="I32" s="7">
        <v>53</v>
      </c>
      <c r="J32" s="8">
        <f t="shared" si="5"/>
        <v>244</v>
      </c>
      <c r="K32" s="13">
        <f t="shared" si="6"/>
        <v>12932</v>
      </c>
      <c r="L32" s="12">
        <f t="shared" si="7"/>
        <v>1475432</v>
      </c>
    </row>
    <row r="33" spans="1:12" outlineLevel="1" x14ac:dyDescent="0.25">
      <c r="A33" s="39" t="s">
        <v>300</v>
      </c>
      <c r="D33" s="5"/>
      <c r="E33" s="5"/>
      <c r="F33" s="7"/>
      <c r="G33" s="8"/>
      <c r="H33" s="13"/>
      <c r="I33" s="7"/>
      <c r="J33" s="8"/>
      <c r="K33" s="13"/>
      <c r="L33" s="12">
        <f>SUBTOTAL(9,L27:L32)</f>
        <v>16638625</v>
      </c>
    </row>
    <row r="34" spans="1:12" outlineLevel="2" x14ac:dyDescent="0.25">
      <c r="A34" s="4" t="s">
        <v>14</v>
      </c>
      <c r="B34" s="4" t="s">
        <v>15</v>
      </c>
      <c r="C34" s="4" t="s">
        <v>16</v>
      </c>
      <c r="D34" s="5">
        <v>6</v>
      </c>
      <c r="E34" s="5">
        <v>2015</v>
      </c>
      <c r="F34" s="7">
        <v>16750</v>
      </c>
      <c r="G34" s="8">
        <v>164</v>
      </c>
      <c r="H34" s="13">
        <f t="shared" ref="H34:H42" si="8">F34*G34</f>
        <v>2747000</v>
      </c>
      <c r="I34" s="7">
        <v>93</v>
      </c>
      <c r="J34" s="8">
        <f t="shared" ref="J34:J42" si="9">ROUND(G34*RetailRate,0)</f>
        <v>205</v>
      </c>
      <c r="K34" s="13">
        <f t="shared" ref="K34:K42" si="10">I34*J34</f>
        <v>19065</v>
      </c>
      <c r="L34" s="12">
        <f t="shared" ref="L34:L42" si="11">H34+K34</f>
        <v>2766065</v>
      </c>
    </row>
    <row r="35" spans="1:12" outlineLevel="2" x14ac:dyDescent="0.25">
      <c r="A35" s="4" t="s">
        <v>14</v>
      </c>
      <c r="B35" s="4" t="s">
        <v>15</v>
      </c>
      <c r="C35" s="4" t="s">
        <v>54</v>
      </c>
      <c r="D35" s="5">
        <v>8</v>
      </c>
      <c r="E35" s="5">
        <v>2017</v>
      </c>
      <c r="F35" s="7">
        <v>21230</v>
      </c>
      <c r="G35" s="8">
        <v>183</v>
      </c>
      <c r="H35" s="13">
        <f t="shared" si="8"/>
        <v>3885090</v>
      </c>
      <c r="I35" s="7">
        <v>1200</v>
      </c>
      <c r="J35" s="8">
        <f t="shared" si="9"/>
        <v>229</v>
      </c>
      <c r="K35" s="13">
        <f t="shared" si="10"/>
        <v>274800</v>
      </c>
      <c r="L35" s="12">
        <f t="shared" si="11"/>
        <v>4159890</v>
      </c>
    </row>
    <row r="36" spans="1:12" outlineLevel="2" x14ac:dyDescent="0.25">
      <c r="A36" s="4" t="s">
        <v>14</v>
      </c>
      <c r="B36" s="4" t="s">
        <v>15</v>
      </c>
      <c r="C36" s="4" t="s">
        <v>73</v>
      </c>
      <c r="D36" s="5">
        <v>2</v>
      </c>
      <c r="E36" s="5">
        <v>2014</v>
      </c>
      <c r="F36" s="7">
        <v>15374</v>
      </c>
      <c r="G36" s="8">
        <v>120</v>
      </c>
      <c r="H36" s="13">
        <f t="shared" si="8"/>
        <v>1844880</v>
      </c>
      <c r="I36" s="7">
        <v>110</v>
      </c>
      <c r="J36" s="8">
        <f t="shared" si="9"/>
        <v>150</v>
      </c>
      <c r="K36" s="13">
        <f t="shared" si="10"/>
        <v>16500</v>
      </c>
      <c r="L36" s="12">
        <f t="shared" si="11"/>
        <v>1861380</v>
      </c>
    </row>
    <row r="37" spans="1:12" outlineLevel="2" x14ac:dyDescent="0.25">
      <c r="A37" s="4" t="s">
        <v>14</v>
      </c>
      <c r="B37" s="4" t="s">
        <v>23</v>
      </c>
      <c r="C37" s="4" t="s">
        <v>24</v>
      </c>
      <c r="D37" s="5">
        <v>13</v>
      </c>
      <c r="E37" s="5">
        <v>2017</v>
      </c>
      <c r="F37" s="7">
        <v>12400</v>
      </c>
      <c r="G37" s="8">
        <v>194</v>
      </c>
      <c r="H37" s="13">
        <f t="shared" si="8"/>
        <v>2405600</v>
      </c>
      <c r="I37" s="7">
        <v>100</v>
      </c>
      <c r="J37" s="8">
        <f t="shared" si="9"/>
        <v>243</v>
      </c>
      <c r="K37" s="13">
        <f t="shared" si="10"/>
        <v>24300</v>
      </c>
      <c r="L37" s="12">
        <f t="shared" si="11"/>
        <v>2429900</v>
      </c>
    </row>
    <row r="38" spans="1:12" outlineLevel="2" x14ac:dyDescent="0.25">
      <c r="A38" s="4" t="s">
        <v>14</v>
      </c>
      <c r="B38" s="4" t="s">
        <v>23</v>
      </c>
      <c r="C38" s="4" t="s">
        <v>68</v>
      </c>
      <c r="D38" s="5">
        <v>3</v>
      </c>
      <c r="E38" s="5">
        <v>2015</v>
      </c>
      <c r="F38" s="7">
        <v>4500</v>
      </c>
      <c r="G38" s="8">
        <v>125</v>
      </c>
      <c r="H38" s="13">
        <f t="shared" si="8"/>
        <v>562500</v>
      </c>
      <c r="I38" s="7">
        <v>12</v>
      </c>
      <c r="J38" s="8">
        <f t="shared" si="9"/>
        <v>156</v>
      </c>
      <c r="K38" s="13">
        <f t="shared" si="10"/>
        <v>1872</v>
      </c>
      <c r="L38" s="12">
        <f t="shared" si="11"/>
        <v>564372</v>
      </c>
    </row>
    <row r="39" spans="1:12" outlineLevel="2" x14ac:dyDescent="0.25">
      <c r="A39" s="4" t="s">
        <v>14</v>
      </c>
      <c r="B39" s="4" t="s">
        <v>23</v>
      </c>
      <c r="C39" s="4" t="s">
        <v>78</v>
      </c>
      <c r="D39" s="5">
        <v>9</v>
      </c>
      <c r="E39" s="5">
        <v>2016</v>
      </c>
      <c r="F39" s="7">
        <v>4500</v>
      </c>
      <c r="G39" s="8">
        <v>175</v>
      </c>
      <c r="H39" s="13">
        <f t="shared" si="8"/>
        <v>787500</v>
      </c>
      <c r="I39" s="7">
        <v>251</v>
      </c>
      <c r="J39" s="8">
        <f t="shared" si="9"/>
        <v>219</v>
      </c>
      <c r="K39" s="13">
        <f t="shared" si="10"/>
        <v>54969</v>
      </c>
      <c r="L39" s="12">
        <f t="shared" si="11"/>
        <v>842469</v>
      </c>
    </row>
    <row r="40" spans="1:12" outlineLevel="2" x14ac:dyDescent="0.25">
      <c r="A40" s="4" t="s">
        <v>14</v>
      </c>
      <c r="B40" s="4" t="s">
        <v>17</v>
      </c>
      <c r="C40" s="4" t="s">
        <v>18</v>
      </c>
      <c r="D40" s="5">
        <v>8</v>
      </c>
      <c r="E40" s="5">
        <v>2015</v>
      </c>
      <c r="F40" s="7">
        <v>12345</v>
      </c>
      <c r="G40" s="8">
        <v>88</v>
      </c>
      <c r="H40" s="13">
        <f t="shared" si="8"/>
        <v>1086360</v>
      </c>
      <c r="I40" s="7">
        <v>240</v>
      </c>
      <c r="J40" s="8">
        <f t="shared" si="9"/>
        <v>110</v>
      </c>
      <c r="K40" s="13">
        <f t="shared" si="10"/>
        <v>26400</v>
      </c>
      <c r="L40" s="12">
        <f t="shared" si="11"/>
        <v>1112760</v>
      </c>
    </row>
    <row r="41" spans="1:12" outlineLevel="2" x14ac:dyDescent="0.25">
      <c r="A41" s="4" t="s">
        <v>14</v>
      </c>
      <c r="B41" s="4" t="s">
        <v>17</v>
      </c>
      <c r="C41" s="4" t="s">
        <v>43</v>
      </c>
      <c r="D41" s="5">
        <v>5</v>
      </c>
      <c r="E41" s="5">
        <v>2016</v>
      </c>
      <c r="F41" s="7">
        <v>22875</v>
      </c>
      <c r="G41" s="8">
        <v>130</v>
      </c>
      <c r="H41" s="13">
        <f t="shared" si="8"/>
        <v>2973750</v>
      </c>
      <c r="I41" s="7">
        <v>1000</v>
      </c>
      <c r="J41" s="8">
        <f t="shared" si="9"/>
        <v>163</v>
      </c>
      <c r="K41" s="13">
        <f t="shared" si="10"/>
        <v>163000</v>
      </c>
      <c r="L41" s="12">
        <f t="shared" si="11"/>
        <v>3136750</v>
      </c>
    </row>
    <row r="42" spans="1:12" outlineLevel="2" x14ac:dyDescent="0.25">
      <c r="A42" s="4" t="s">
        <v>14</v>
      </c>
      <c r="B42" s="4" t="s">
        <v>17</v>
      </c>
      <c r="C42" s="4" t="s">
        <v>58</v>
      </c>
      <c r="D42" s="5">
        <v>9</v>
      </c>
      <c r="E42" s="5">
        <v>2015</v>
      </c>
      <c r="F42" s="7">
        <v>4575</v>
      </c>
      <c r="G42" s="8">
        <v>156</v>
      </c>
      <c r="H42" s="13">
        <f t="shared" si="8"/>
        <v>713700</v>
      </c>
      <c r="I42" s="7">
        <v>63</v>
      </c>
      <c r="J42" s="8">
        <f t="shared" si="9"/>
        <v>195</v>
      </c>
      <c r="K42" s="13">
        <f t="shared" si="10"/>
        <v>12285</v>
      </c>
      <c r="L42" s="12">
        <f t="shared" si="11"/>
        <v>725985</v>
      </c>
    </row>
    <row r="43" spans="1:12" outlineLevel="1" x14ac:dyDescent="0.25">
      <c r="A43" s="39" t="s">
        <v>301</v>
      </c>
      <c r="D43" s="5"/>
      <c r="E43" s="5"/>
      <c r="F43" s="7"/>
      <c r="G43" s="8"/>
      <c r="H43" s="13"/>
      <c r="I43" s="7"/>
      <c r="J43" s="8"/>
      <c r="K43" s="13"/>
      <c r="L43" s="12">
        <f>SUBTOTAL(9,L34:L42)</f>
        <v>17599571</v>
      </c>
    </row>
    <row r="44" spans="1:12" outlineLevel="2" x14ac:dyDescent="0.25">
      <c r="A44" s="4" t="s">
        <v>40</v>
      </c>
      <c r="B44" s="4" t="s">
        <v>41</v>
      </c>
      <c r="C44" s="4" t="s">
        <v>42</v>
      </c>
      <c r="D44" s="5">
        <v>12</v>
      </c>
      <c r="E44" s="5">
        <v>2017</v>
      </c>
      <c r="F44" s="7">
        <v>9245</v>
      </c>
      <c r="G44" s="8">
        <v>215</v>
      </c>
      <c r="H44" s="13">
        <f>F44*G44</f>
        <v>1987675</v>
      </c>
      <c r="I44" s="7">
        <v>218</v>
      </c>
      <c r="J44" s="8">
        <f>ROUND(G44*RetailRate,0)</f>
        <v>269</v>
      </c>
      <c r="K44" s="13">
        <f>I44*J44</f>
        <v>58642</v>
      </c>
      <c r="L44" s="12">
        <f>H44+K44</f>
        <v>2046317</v>
      </c>
    </row>
    <row r="45" spans="1:12" outlineLevel="2" x14ac:dyDescent="0.25">
      <c r="A45" s="4" t="s">
        <v>40</v>
      </c>
      <c r="B45" s="4" t="s">
        <v>41</v>
      </c>
      <c r="C45" s="4" t="s">
        <v>51</v>
      </c>
      <c r="D45" s="5">
        <v>2</v>
      </c>
      <c r="E45" s="5">
        <v>2016</v>
      </c>
      <c r="F45" s="7">
        <v>5387</v>
      </c>
      <c r="G45" s="8">
        <v>182</v>
      </c>
      <c r="H45" s="13">
        <f>F45*G45</f>
        <v>980434</v>
      </c>
      <c r="I45" s="7">
        <v>34</v>
      </c>
      <c r="J45" s="8">
        <f>ROUND(G45*RetailRate,0)</f>
        <v>228</v>
      </c>
      <c r="K45" s="13">
        <f>I45*J45</f>
        <v>7752</v>
      </c>
      <c r="L45" s="12">
        <f>H45+K45</f>
        <v>988186</v>
      </c>
    </row>
    <row r="46" spans="1:12" outlineLevel="2" x14ac:dyDescent="0.25">
      <c r="A46" s="4" t="s">
        <v>40</v>
      </c>
      <c r="B46" s="4" t="s">
        <v>52</v>
      </c>
      <c r="C46" s="4" t="s">
        <v>53</v>
      </c>
      <c r="D46" s="5">
        <v>12</v>
      </c>
      <c r="E46" s="5">
        <v>2017</v>
      </c>
      <c r="F46" s="7">
        <v>37400</v>
      </c>
      <c r="G46" s="8">
        <v>206</v>
      </c>
      <c r="H46" s="13">
        <f>F46*G46</f>
        <v>7704400</v>
      </c>
      <c r="I46" s="7">
        <v>1000</v>
      </c>
      <c r="J46" s="8">
        <f>ROUND(G46*RetailRate,0)</f>
        <v>258</v>
      </c>
      <c r="K46" s="13">
        <f>I46*J46</f>
        <v>258000</v>
      </c>
      <c r="L46" s="12">
        <f>H46+K46</f>
        <v>7962400</v>
      </c>
    </row>
    <row r="47" spans="1:12" outlineLevel="2" x14ac:dyDescent="0.25">
      <c r="A47" s="4" t="s">
        <v>40</v>
      </c>
      <c r="B47" s="4" t="s">
        <v>52</v>
      </c>
      <c r="C47" s="4" t="s">
        <v>67</v>
      </c>
      <c r="D47" s="5">
        <v>3</v>
      </c>
      <c r="E47" s="5">
        <v>2015</v>
      </c>
      <c r="F47" s="7">
        <v>2750</v>
      </c>
      <c r="G47" s="8">
        <v>165</v>
      </c>
      <c r="H47" s="13">
        <f>F47*G47</f>
        <v>453750</v>
      </c>
      <c r="I47" s="7">
        <v>83</v>
      </c>
      <c r="J47" s="8">
        <f>ROUND(G47*RetailRate,0)</f>
        <v>206</v>
      </c>
      <c r="K47" s="13">
        <f>I47*J47</f>
        <v>17098</v>
      </c>
      <c r="L47" s="12">
        <f>H47+K47</f>
        <v>470848</v>
      </c>
    </row>
    <row r="48" spans="1:12" outlineLevel="1" x14ac:dyDescent="0.25">
      <c r="A48" s="39" t="s">
        <v>302</v>
      </c>
      <c r="D48" s="5"/>
      <c r="E48" s="5"/>
      <c r="F48" s="7"/>
      <c r="G48" s="8"/>
      <c r="H48" s="13"/>
      <c r="I48" s="7"/>
      <c r="J48" s="8"/>
      <c r="K48" s="13"/>
      <c r="L48" s="12">
        <f>SUBTOTAL(9,L44:L47)</f>
        <v>11467751</v>
      </c>
    </row>
    <row r="49" spans="1:12" outlineLevel="2" x14ac:dyDescent="0.25">
      <c r="A49" s="4" t="s">
        <v>19</v>
      </c>
      <c r="B49" s="4" t="s">
        <v>38</v>
      </c>
      <c r="C49" s="4" t="s">
        <v>39</v>
      </c>
      <c r="D49" s="5">
        <v>2</v>
      </c>
      <c r="E49" s="5">
        <v>2016</v>
      </c>
      <c r="F49" s="7">
        <v>14398</v>
      </c>
      <c r="G49" s="8">
        <v>182</v>
      </c>
      <c r="H49" s="13">
        <f t="shared" ref="H49:H57" si="12">F49*G49</f>
        <v>2620436</v>
      </c>
      <c r="I49" s="7">
        <v>212</v>
      </c>
      <c r="J49" s="8">
        <f t="shared" ref="J49:J57" si="13">ROUND(G49*RetailRate,0)</f>
        <v>228</v>
      </c>
      <c r="K49" s="13">
        <f t="shared" ref="K49:K57" si="14">I49*J49</f>
        <v>48336</v>
      </c>
      <c r="L49" s="12">
        <f t="shared" ref="L49:L57" si="15">H49+K49</f>
        <v>2668772</v>
      </c>
    </row>
    <row r="50" spans="1:12" outlineLevel="2" x14ac:dyDescent="0.25">
      <c r="A50" s="4" t="s">
        <v>19</v>
      </c>
      <c r="B50" s="4" t="s">
        <v>38</v>
      </c>
      <c r="C50" s="4" t="s">
        <v>65</v>
      </c>
      <c r="D50" s="5">
        <v>1</v>
      </c>
      <c r="E50" s="5">
        <v>2014</v>
      </c>
      <c r="F50" s="7">
        <v>9876</v>
      </c>
      <c r="G50" s="8">
        <v>155</v>
      </c>
      <c r="H50" s="13">
        <f t="shared" si="12"/>
        <v>1530780</v>
      </c>
      <c r="I50" s="7">
        <v>22</v>
      </c>
      <c r="J50" s="8">
        <f t="shared" si="13"/>
        <v>194</v>
      </c>
      <c r="K50" s="13">
        <f t="shared" si="14"/>
        <v>4268</v>
      </c>
      <c r="L50" s="12">
        <f t="shared" si="15"/>
        <v>1535048</v>
      </c>
    </row>
    <row r="51" spans="1:12" outlineLevel="2" x14ac:dyDescent="0.25">
      <c r="A51" s="4" t="s">
        <v>19</v>
      </c>
      <c r="B51" s="4" t="s">
        <v>38</v>
      </c>
      <c r="C51" s="4" t="s">
        <v>79</v>
      </c>
      <c r="D51" s="5">
        <v>1</v>
      </c>
      <c r="E51" s="5">
        <v>2012</v>
      </c>
      <c r="F51" s="7">
        <v>20100</v>
      </c>
      <c r="G51" s="8">
        <v>125</v>
      </c>
      <c r="H51" s="13">
        <f t="shared" si="12"/>
        <v>2512500</v>
      </c>
      <c r="I51" s="7">
        <v>1723</v>
      </c>
      <c r="J51" s="8">
        <f t="shared" si="13"/>
        <v>156</v>
      </c>
      <c r="K51" s="13">
        <f t="shared" si="14"/>
        <v>268788</v>
      </c>
      <c r="L51" s="12">
        <f t="shared" si="15"/>
        <v>2781288</v>
      </c>
    </row>
    <row r="52" spans="1:12" outlineLevel="2" x14ac:dyDescent="0.25">
      <c r="A52" s="4" t="s">
        <v>19</v>
      </c>
      <c r="B52" s="4" t="s">
        <v>20</v>
      </c>
      <c r="C52" s="4" t="s">
        <v>21</v>
      </c>
      <c r="D52" s="5">
        <v>4</v>
      </c>
      <c r="E52" s="5">
        <v>2017</v>
      </c>
      <c r="F52" s="7">
        <v>7500</v>
      </c>
      <c r="G52" s="8">
        <v>212</v>
      </c>
      <c r="H52" s="13">
        <f t="shared" si="12"/>
        <v>1590000</v>
      </c>
      <c r="I52" s="7">
        <v>100</v>
      </c>
      <c r="J52" s="8">
        <f t="shared" si="13"/>
        <v>265</v>
      </c>
      <c r="K52" s="13">
        <f t="shared" si="14"/>
        <v>26500</v>
      </c>
      <c r="L52" s="12">
        <f t="shared" si="15"/>
        <v>1616500</v>
      </c>
    </row>
    <row r="53" spans="1:12" outlineLevel="2" x14ac:dyDescent="0.25">
      <c r="A53" s="4" t="s">
        <v>19</v>
      </c>
      <c r="B53" s="4" t="s">
        <v>20</v>
      </c>
      <c r="C53" s="4" t="s">
        <v>22</v>
      </c>
      <c r="D53" s="5">
        <v>1</v>
      </c>
      <c r="E53" s="5">
        <v>2016</v>
      </c>
      <c r="F53" s="7">
        <v>14300</v>
      </c>
      <c r="G53" s="8">
        <v>185</v>
      </c>
      <c r="H53" s="13">
        <f t="shared" si="12"/>
        <v>2645500</v>
      </c>
      <c r="I53" s="7">
        <v>1000</v>
      </c>
      <c r="J53" s="8">
        <f t="shared" si="13"/>
        <v>231</v>
      </c>
      <c r="K53" s="13">
        <f t="shared" si="14"/>
        <v>231000</v>
      </c>
      <c r="L53" s="12">
        <f t="shared" si="15"/>
        <v>2876500</v>
      </c>
    </row>
    <row r="54" spans="1:12" outlineLevel="2" x14ac:dyDescent="0.25">
      <c r="A54" s="4" t="s">
        <v>19</v>
      </c>
      <c r="B54" s="4" t="s">
        <v>20</v>
      </c>
      <c r="C54" s="4" t="s">
        <v>37</v>
      </c>
      <c r="D54" s="5">
        <v>8</v>
      </c>
      <c r="E54" s="5">
        <v>2017</v>
      </c>
      <c r="F54" s="7">
        <v>25000</v>
      </c>
      <c r="G54" s="8">
        <v>192</v>
      </c>
      <c r="H54" s="13">
        <f t="shared" si="12"/>
        <v>4800000</v>
      </c>
      <c r="I54" s="7">
        <v>123</v>
      </c>
      <c r="J54" s="8">
        <f t="shared" si="13"/>
        <v>240</v>
      </c>
      <c r="K54" s="13">
        <f t="shared" si="14"/>
        <v>29520</v>
      </c>
      <c r="L54" s="12">
        <f t="shared" si="15"/>
        <v>4829520</v>
      </c>
    </row>
    <row r="55" spans="1:12" outlineLevel="2" x14ac:dyDescent="0.25">
      <c r="A55" s="4" t="s">
        <v>19</v>
      </c>
      <c r="B55" s="4" t="s">
        <v>35</v>
      </c>
      <c r="C55" s="4" t="s">
        <v>36</v>
      </c>
      <c r="D55" s="5">
        <v>5</v>
      </c>
      <c r="E55" s="5">
        <v>2017</v>
      </c>
      <c r="F55" s="7">
        <v>4500</v>
      </c>
      <c r="G55" s="8">
        <v>275</v>
      </c>
      <c r="H55" s="13">
        <f t="shared" si="12"/>
        <v>1237500</v>
      </c>
      <c r="I55" s="7">
        <v>312</v>
      </c>
      <c r="J55" s="8">
        <f t="shared" si="13"/>
        <v>344</v>
      </c>
      <c r="K55" s="13">
        <f t="shared" si="14"/>
        <v>107328</v>
      </c>
      <c r="L55" s="12">
        <f t="shared" si="15"/>
        <v>1344828</v>
      </c>
    </row>
    <row r="56" spans="1:12" outlineLevel="2" x14ac:dyDescent="0.25">
      <c r="A56" s="4" t="s">
        <v>19</v>
      </c>
      <c r="B56" s="4" t="s">
        <v>35</v>
      </c>
      <c r="C56" s="4" t="s">
        <v>74</v>
      </c>
      <c r="D56" s="5">
        <v>3</v>
      </c>
      <c r="E56" s="5">
        <v>2017</v>
      </c>
      <c r="F56" s="7">
        <v>20300</v>
      </c>
      <c r="G56" s="8">
        <v>298</v>
      </c>
      <c r="H56" s="13">
        <f t="shared" si="12"/>
        <v>6049400</v>
      </c>
      <c r="I56" s="7">
        <v>118</v>
      </c>
      <c r="J56" s="8">
        <f t="shared" si="13"/>
        <v>373</v>
      </c>
      <c r="K56" s="13">
        <f t="shared" si="14"/>
        <v>44014</v>
      </c>
      <c r="L56" s="12">
        <f t="shared" si="15"/>
        <v>6093414</v>
      </c>
    </row>
    <row r="57" spans="1:12" outlineLevel="2" x14ac:dyDescent="0.25">
      <c r="A57" s="4" t="s">
        <v>19</v>
      </c>
      <c r="B57" s="4" t="s">
        <v>35</v>
      </c>
      <c r="C57" s="4" t="s">
        <v>77</v>
      </c>
      <c r="D57" s="5">
        <v>1</v>
      </c>
      <c r="E57" s="5">
        <v>2015</v>
      </c>
      <c r="F57" s="7">
        <v>11983</v>
      </c>
      <c r="G57" s="8">
        <v>66</v>
      </c>
      <c r="H57" s="13">
        <f t="shared" si="12"/>
        <v>790878</v>
      </c>
      <c r="I57" s="7">
        <v>93</v>
      </c>
      <c r="J57" s="8">
        <f t="shared" si="13"/>
        <v>83</v>
      </c>
      <c r="K57" s="13">
        <f t="shared" si="14"/>
        <v>7719</v>
      </c>
      <c r="L57" s="12">
        <f t="shared" si="15"/>
        <v>798597</v>
      </c>
    </row>
    <row r="58" spans="1:12" outlineLevel="1" x14ac:dyDescent="0.25">
      <c r="A58" s="39" t="s">
        <v>303</v>
      </c>
      <c r="D58" s="5"/>
      <c r="E58" s="5"/>
      <c r="F58" s="7"/>
      <c r="G58" s="8"/>
      <c r="H58" s="13"/>
      <c r="I58" s="7"/>
      <c r="J58" s="8"/>
      <c r="K58" s="13"/>
      <c r="L58" s="12">
        <f>SUBTOTAL(9,L49:L57)</f>
        <v>24544467</v>
      </c>
    </row>
    <row r="59" spans="1:12" x14ac:dyDescent="0.25">
      <c r="A59" s="39" t="s">
        <v>304</v>
      </c>
      <c r="D59" s="5"/>
      <c r="E59" s="5"/>
      <c r="F59" s="7"/>
      <c r="G59" s="8"/>
      <c r="H59" s="13"/>
      <c r="I59" s="7"/>
      <c r="J59" s="8"/>
      <c r="K59" s="13"/>
      <c r="L59" s="12">
        <f>SUBTOTAL(9,L6:L57)</f>
        <v>112467200</v>
      </c>
    </row>
  </sheetData>
  <sortState ref="A6:L51">
    <sortCondition ref="A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zoomScale="96" zoomScaleNormal="96" zoomScalePageLayoutView="180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A10" sqref="A10"/>
    </sheetView>
  </sheetViews>
  <sheetFormatPr defaultColWidth="8.85546875" defaultRowHeight="15" outlineLevelRow="3" x14ac:dyDescent="0.25"/>
  <cols>
    <col min="1" max="1" width="52.42578125" style="4" bestFit="1" customWidth="1"/>
    <col min="2" max="2" width="32.7109375" style="4" customWidth="1"/>
    <col min="3" max="3" width="50.42578125" style="4" customWidth="1"/>
    <col min="4" max="4" width="7.28515625" style="4" bestFit="1" customWidth="1"/>
    <col min="5" max="5" width="9.140625" style="4" customWidth="1"/>
    <col min="6" max="6" width="11" style="4" customWidth="1"/>
    <col min="7" max="7" width="12" style="4" customWidth="1"/>
    <col min="8" max="8" width="13.7109375" style="4" customWidth="1"/>
    <col min="9" max="9" width="11" style="4" customWidth="1"/>
    <col min="10" max="10" width="12" style="4" customWidth="1"/>
    <col min="11" max="12" width="13.7109375" style="4" customWidth="1"/>
    <col min="13" max="16384" width="8.85546875" style="4"/>
  </cols>
  <sheetData>
    <row r="1" spans="1:12" x14ac:dyDescent="0.25">
      <c r="A1" s="95" t="s">
        <v>294</v>
      </c>
      <c r="D1" s="5"/>
      <c r="E1" s="5"/>
      <c r="G1" s="4" t="s">
        <v>0</v>
      </c>
      <c r="J1" s="6">
        <v>1.25</v>
      </c>
    </row>
    <row r="2" spans="1:12" x14ac:dyDescent="0.25">
      <c r="A2" s="95" t="s">
        <v>295</v>
      </c>
      <c r="B2" s="96" t="s">
        <v>322</v>
      </c>
      <c r="C2" s="96"/>
      <c r="D2" s="5"/>
      <c r="E2" s="5"/>
      <c r="G2" s="4" t="s">
        <v>1</v>
      </c>
      <c r="J2" s="6">
        <v>0.1</v>
      </c>
    </row>
    <row r="3" spans="1:12" x14ac:dyDescent="0.25">
      <c r="A3" s="95" t="s">
        <v>296</v>
      </c>
      <c r="D3" s="5"/>
      <c r="E3" s="5"/>
      <c r="J3" s="6"/>
    </row>
    <row r="4" spans="1:12" x14ac:dyDescent="0.25">
      <c r="D4" s="5"/>
      <c r="E4" s="5"/>
      <c r="J4" s="6"/>
    </row>
    <row r="5" spans="1:12" ht="30" x14ac:dyDescent="0.25">
      <c r="A5" s="9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</row>
    <row r="6" spans="1:12" outlineLevel="3" x14ac:dyDescent="0.25">
      <c r="A6" s="4" t="s">
        <v>55</v>
      </c>
      <c r="B6" s="4" t="s">
        <v>56</v>
      </c>
      <c r="C6" s="4" t="s">
        <v>57</v>
      </c>
      <c r="D6" s="5">
        <v>4</v>
      </c>
      <c r="E6" s="5">
        <v>2016</v>
      </c>
      <c r="F6" s="7">
        <v>9575</v>
      </c>
      <c r="G6" s="8">
        <v>188</v>
      </c>
      <c r="H6" s="13">
        <f>F6*G6</f>
        <v>1800100</v>
      </c>
      <c r="I6" s="7">
        <v>43</v>
      </c>
      <c r="J6" s="8">
        <f>ROUND(G6*RetailRate,0)</f>
        <v>235</v>
      </c>
      <c r="K6" s="13">
        <f>I6*J6</f>
        <v>10105</v>
      </c>
      <c r="L6" s="12">
        <f>H6+K6</f>
        <v>1810205</v>
      </c>
    </row>
    <row r="7" spans="1:12" outlineLevel="3" x14ac:dyDescent="0.25">
      <c r="A7" s="4" t="s">
        <v>55</v>
      </c>
      <c r="B7" s="4" t="s">
        <v>56</v>
      </c>
      <c r="C7" s="4" t="s">
        <v>59</v>
      </c>
      <c r="D7" s="5">
        <v>6</v>
      </c>
      <c r="E7" s="5">
        <v>2017</v>
      </c>
      <c r="F7" s="7">
        <v>12435</v>
      </c>
      <c r="G7" s="8">
        <v>218</v>
      </c>
      <c r="H7" s="13">
        <f>F7*G7</f>
        <v>2710830</v>
      </c>
      <c r="I7" s="7">
        <v>142</v>
      </c>
      <c r="J7" s="8">
        <f>ROUND(G7*RetailRate,0)</f>
        <v>273</v>
      </c>
      <c r="K7" s="13">
        <f>I7*J7</f>
        <v>38766</v>
      </c>
      <c r="L7" s="12">
        <f>H7+K7</f>
        <v>2749596</v>
      </c>
    </row>
    <row r="8" spans="1:12" outlineLevel="3" x14ac:dyDescent="0.25">
      <c r="A8" s="4" t="s">
        <v>55</v>
      </c>
      <c r="B8" s="4" t="s">
        <v>56</v>
      </c>
      <c r="C8" s="4" t="s">
        <v>61</v>
      </c>
      <c r="D8" s="5">
        <v>10</v>
      </c>
      <c r="E8" s="5">
        <v>2015</v>
      </c>
      <c r="F8" s="7">
        <v>3000</v>
      </c>
      <c r="G8" s="8">
        <v>225</v>
      </c>
      <c r="H8" s="13">
        <f>F8*G8</f>
        <v>675000</v>
      </c>
      <c r="I8" s="7">
        <v>418</v>
      </c>
      <c r="J8" s="8">
        <f>ROUND(G8*RetailRate,0)</f>
        <v>281</v>
      </c>
      <c r="K8" s="13">
        <f>I8*J8</f>
        <v>117458</v>
      </c>
      <c r="L8" s="12">
        <f>H8+K8</f>
        <v>792458</v>
      </c>
    </row>
    <row r="9" spans="1:12" outlineLevel="2" x14ac:dyDescent="0.25">
      <c r="B9" s="39" t="s">
        <v>305</v>
      </c>
      <c r="D9" s="5"/>
      <c r="E9" s="5"/>
      <c r="F9" s="7"/>
      <c r="G9" s="8"/>
      <c r="H9" s="13"/>
      <c r="I9" s="7"/>
      <c r="J9" s="8"/>
      <c r="K9" s="13"/>
      <c r="L9" s="12">
        <f>SUBTOTAL(9,L6:L8)</f>
        <v>5352259</v>
      </c>
    </row>
    <row r="10" spans="1:12" outlineLevel="3" x14ac:dyDescent="0.25">
      <c r="A10" s="4" t="s">
        <v>55</v>
      </c>
      <c r="B10" s="4" t="s">
        <v>61</v>
      </c>
      <c r="C10" s="4" t="s">
        <v>62</v>
      </c>
      <c r="D10" s="5">
        <v>7</v>
      </c>
      <c r="E10" s="5">
        <v>2017</v>
      </c>
      <c r="F10" s="7">
        <v>12000</v>
      </c>
      <c r="G10" s="8">
        <v>265</v>
      </c>
      <c r="H10" s="13">
        <f>F10*G10</f>
        <v>3180000</v>
      </c>
      <c r="I10" s="7">
        <v>155</v>
      </c>
      <c r="J10" s="8">
        <f>ROUND(G10*RetailRate,0)</f>
        <v>331</v>
      </c>
      <c r="K10" s="13">
        <f>I10*J10</f>
        <v>51305</v>
      </c>
      <c r="L10" s="12">
        <f>H10+K10</f>
        <v>3231305</v>
      </c>
    </row>
    <row r="11" spans="1:12" outlineLevel="3" x14ac:dyDescent="0.25">
      <c r="A11" s="4" t="s">
        <v>55</v>
      </c>
      <c r="B11" s="4" t="s">
        <v>61</v>
      </c>
      <c r="C11" s="4" t="s">
        <v>75</v>
      </c>
      <c r="D11" s="5">
        <v>6</v>
      </c>
      <c r="E11" s="5">
        <v>2016</v>
      </c>
      <c r="F11" s="7">
        <v>7532</v>
      </c>
      <c r="G11" s="8">
        <v>210</v>
      </c>
      <c r="H11" s="13">
        <f>F11*G11</f>
        <v>1581720</v>
      </c>
      <c r="I11" s="7">
        <v>83</v>
      </c>
      <c r="J11" s="8">
        <f>ROUND(G11*RetailRate,0)</f>
        <v>263</v>
      </c>
      <c r="K11" s="13">
        <f>I11*J11</f>
        <v>21829</v>
      </c>
      <c r="L11" s="12">
        <f>H11+K11</f>
        <v>1603549</v>
      </c>
    </row>
    <row r="12" spans="1:12" outlineLevel="2" x14ac:dyDescent="0.25">
      <c r="B12" s="39" t="s">
        <v>306</v>
      </c>
      <c r="D12" s="5"/>
      <c r="E12" s="5"/>
      <c r="F12" s="7"/>
      <c r="G12" s="8"/>
      <c r="H12" s="13"/>
      <c r="I12" s="7"/>
      <c r="J12" s="8"/>
      <c r="K12" s="13"/>
      <c r="L12" s="12">
        <f>SUBTOTAL(9,L10:L11)</f>
        <v>4834854</v>
      </c>
    </row>
    <row r="13" spans="1:12" outlineLevel="1" x14ac:dyDescent="0.25">
      <c r="A13" s="39" t="s">
        <v>297</v>
      </c>
      <c r="D13" s="5"/>
      <c r="E13" s="5"/>
      <c r="F13" s="7"/>
      <c r="G13" s="8"/>
      <c r="H13" s="13"/>
      <c r="I13" s="7"/>
      <c r="J13" s="8"/>
      <c r="K13" s="13"/>
      <c r="L13" s="12">
        <f>SUBTOTAL(9,L6:L11)</f>
        <v>10187113</v>
      </c>
    </row>
    <row r="14" spans="1:12" outlineLevel="3" x14ac:dyDescent="0.25">
      <c r="A14" s="4" t="s">
        <v>28</v>
      </c>
      <c r="B14" s="4" t="s">
        <v>31</v>
      </c>
      <c r="C14" s="4" t="s">
        <v>32</v>
      </c>
      <c r="D14" s="5">
        <v>6</v>
      </c>
      <c r="E14" s="5">
        <v>2017</v>
      </c>
      <c r="F14" s="7">
        <v>18500</v>
      </c>
      <c r="G14" s="8">
        <v>219</v>
      </c>
      <c r="H14" s="13">
        <f>F14*G14</f>
        <v>4051500</v>
      </c>
      <c r="I14" s="7">
        <v>245</v>
      </c>
      <c r="J14" s="8">
        <f>ROUND(G14*RetailRate,0)</f>
        <v>274</v>
      </c>
      <c r="K14" s="13">
        <f>I14*J14</f>
        <v>67130</v>
      </c>
      <c r="L14" s="12">
        <f>H14+K14</f>
        <v>4118630</v>
      </c>
    </row>
    <row r="15" spans="1:12" outlineLevel="3" x14ac:dyDescent="0.25">
      <c r="A15" s="4" t="s">
        <v>28</v>
      </c>
      <c r="B15" s="4" t="s">
        <v>31</v>
      </c>
      <c r="C15" s="4" t="s">
        <v>60</v>
      </c>
      <c r="D15" s="5">
        <v>8</v>
      </c>
      <c r="E15" s="5">
        <v>2017</v>
      </c>
      <c r="F15" s="7">
        <v>11342</v>
      </c>
      <c r="G15" s="8">
        <v>217</v>
      </c>
      <c r="H15" s="13">
        <f>F15*G15</f>
        <v>2461214</v>
      </c>
      <c r="I15" s="7">
        <v>87</v>
      </c>
      <c r="J15" s="8">
        <f>ROUND(G15*RetailRate,0)</f>
        <v>271</v>
      </c>
      <c r="K15" s="13">
        <f>I15*J15</f>
        <v>23577</v>
      </c>
      <c r="L15" s="12">
        <f>H15+K15</f>
        <v>2484791</v>
      </c>
    </row>
    <row r="16" spans="1:12" outlineLevel="2" x14ac:dyDescent="0.25">
      <c r="B16" s="39" t="s">
        <v>307</v>
      </c>
      <c r="D16" s="5"/>
      <c r="E16" s="5"/>
      <c r="F16" s="7"/>
      <c r="G16" s="8"/>
      <c r="H16" s="13"/>
      <c r="I16" s="7"/>
      <c r="J16" s="8"/>
      <c r="K16" s="13"/>
      <c r="L16" s="12">
        <f>SUBTOTAL(9,L14:L15)</f>
        <v>6603421</v>
      </c>
    </row>
    <row r="17" spans="1:12" outlineLevel="3" x14ac:dyDescent="0.25">
      <c r="A17" s="4" t="s">
        <v>28</v>
      </c>
      <c r="B17" s="4" t="s">
        <v>29</v>
      </c>
      <c r="C17" s="4" t="s">
        <v>30</v>
      </c>
      <c r="D17" s="5">
        <v>10</v>
      </c>
      <c r="E17" s="5">
        <v>2014</v>
      </c>
      <c r="F17" s="7">
        <v>5575</v>
      </c>
      <c r="G17" s="8">
        <v>266</v>
      </c>
      <c r="H17" s="13">
        <f>F17*G17</f>
        <v>1482950</v>
      </c>
      <c r="I17" s="7">
        <v>32</v>
      </c>
      <c r="J17" s="8">
        <f>ROUND(G17*RetailRate,0)</f>
        <v>333</v>
      </c>
      <c r="K17" s="13">
        <f>I17*J17</f>
        <v>10656</v>
      </c>
      <c r="L17" s="12">
        <f>H17+K17</f>
        <v>1493606</v>
      </c>
    </row>
    <row r="18" spans="1:12" outlineLevel="3" x14ac:dyDescent="0.25">
      <c r="A18" s="4" t="s">
        <v>28</v>
      </c>
      <c r="B18" s="4" t="s">
        <v>29</v>
      </c>
      <c r="C18" s="4" t="s">
        <v>33</v>
      </c>
      <c r="D18" s="5">
        <v>11</v>
      </c>
      <c r="E18" s="5">
        <v>2017</v>
      </c>
      <c r="F18" s="7">
        <v>5893</v>
      </c>
      <c r="G18" s="8">
        <v>230</v>
      </c>
      <c r="H18" s="13">
        <f>F18*G18</f>
        <v>1355390</v>
      </c>
      <c r="I18" s="7">
        <v>93</v>
      </c>
      <c r="J18" s="8">
        <f>ROUND(G18*RetailRate,0)</f>
        <v>288</v>
      </c>
      <c r="K18" s="13">
        <f>I18*J18</f>
        <v>26784</v>
      </c>
      <c r="L18" s="12">
        <f>H18+K18</f>
        <v>1382174</v>
      </c>
    </row>
    <row r="19" spans="1:12" outlineLevel="3" x14ac:dyDescent="0.25">
      <c r="A19" s="4" t="s">
        <v>28</v>
      </c>
      <c r="B19" s="4" t="s">
        <v>29</v>
      </c>
      <c r="C19" s="4" t="s">
        <v>34</v>
      </c>
      <c r="D19" s="5">
        <v>5</v>
      </c>
      <c r="E19" s="5">
        <v>2014</v>
      </c>
      <c r="F19" s="7">
        <v>7503</v>
      </c>
      <c r="G19" s="8">
        <v>185</v>
      </c>
      <c r="H19" s="13">
        <f>F19*G19</f>
        <v>1388055</v>
      </c>
      <c r="I19" s="7">
        <v>29</v>
      </c>
      <c r="J19" s="8">
        <f>ROUND(G19*RetailRate,0)</f>
        <v>231</v>
      </c>
      <c r="K19" s="13">
        <f>I19*J19</f>
        <v>6699</v>
      </c>
      <c r="L19" s="12">
        <f>H19+K19</f>
        <v>1394754</v>
      </c>
    </row>
    <row r="20" spans="1:12" outlineLevel="3" x14ac:dyDescent="0.25">
      <c r="A20" s="4" t="s">
        <v>28</v>
      </c>
      <c r="B20" s="4" t="s">
        <v>29</v>
      </c>
      <c r="C20" s="4" t="s">
        <v>47</v>
      </c>
      <c r="D20" s="5">
        <v>6</v>
      </c>
      <c r="E20" s="5">
        <v>2016</v>
      </c>
      <c r="F20" s="7">
        <v>3400</v>
      </c>
      <c r="G20" s="8">
        <v>204</v>
      </c>
      <c r="H20" s="13">
        <f>F20*G20</f>
        <v>693600</v>
      </c>
      <c r="I20" s="7">
        <v>24</v>
      </c>
      <c r="J20" s="8">
        <f>ROUND(G20*RetailRate,0)</f>
        <v>255</v>
      </c>
      <c r="K20" s="13">
        <f>I20*J20</f>
        <v>6120</v>
      </c>
      <c r="L20" s="12">
        <f>H20+K20</f>
        <v>699720</v>
      </c>
    </row>
    <row r="21" spans="1:12" outlineLevel="2" x14ac:dyDescent="0.25">
      <c r="B21" s="39" t="s">
        <v>308</v>
      </c>
      <c r="D21" s="5"/>
      <c r="E21" s="5"/>
      <c r="F21" s="7"/>
      <c r="G21" s="8"/>
      <c r="H21" s="13"/>
      <c r="I21" s="7"/>
      <c r="J21" s="8"/>
      <c r="K21" s="13"/>
      <c r="L21" s="12">
        <f>SUBTOTAL(9,L17:L20)</f>
        <v>4970254</v>
      </c>
    </row>
    <row r="22" spans="1:12" outlineLevel="3" x14ac:dyDescent="0.25">
      <c r="A22" s="4" t="s">
        <v>28</v>
      </c>
      <c r="B22" s="4" t="s">
        <v>69</v>
      </c>
      <c r="C22" s="4" t="s">
        <v>70</v>
      </c>
      <c r="D22" s="5">
        <v>12</v>
      </c>
      <c r="E22" s="5">
        <v>2016</v>
      </c>
      <c r="F22" s="7">
        <v>8590</v>
      </c>
      <c r="G22" s="8">
        <v>236</v>
      </c>
      <c r="H22" s="13">
        <f>F22*G22</f>
        <v>2027240</v>
      </c>
      <c r="I22" s="7">
        <v>48</v>
      </c>
      <c r="J22" s="8">
        <f>ROUND(G22*RetailRate,0)</f>
        <v>295</v>
      </c>
      <c r="K22" s="13">
        <f>I22*J22</f>
        <v>14160</v>
      </c>
      <c r="L22" s="12">
        <f>H22+K22</f>
        <v>2041400</v>
      </c>
    </row>
    <row r="23" spans="1:12" outlineLevel="3" x14ac:dyDescent="0.25">
      <c r="A23" s="4" t="s">
        <v>28</v>
      </c>
      <c r="B23" s="4" t="s">
        <v>69</v>
      </c>
      <c r="C23" s="4" t="s">
        <v>71</v>
      </c>
      <c r="D23" s="5">
        <v>9</v>
      </c>
      <c r="E23" s="5">
        <v>2016</v>
      </c>
      <c r="F23" s="7">
        <v>5837</v>
      </c>
      <c r="G23" s="8">
        <v>186</v>
      </c>
      <c r="H23" s="13">
        <f>F23*G23</f>
        <v>1085682</v>
      </c>
      <c r="I23" s="7">
        <v>632</v>
      </c>
      <c r="J23" s="8">
        <f>ROUND(G23*RetailRate,0)</f>
        <v>233</v>
      </c>
      <c r="K23" s="13">
        <f>I23*J23</f>
        <v>147256</v>
      </c>
      <c r="L23" s="12">
        <f>H23+K23</f>
        <v>1232938</v>
      </c>
    </row>
    <row r="24" spans="1:12" outlineLevel="3" x14ac:dyDescent="0.25">
      <c r="A24" s="4" t="s">
        <v>28</v>
      </c>
      <c r="B24" s="4" t="s">
        <v>69</v>
      </c>
      <c r="C24" s="4" t="s">
        <v>76</v>
      </c>
      <c r="D24" s="5">
        <v>5</v>
      </c>
      <c r="E24" s="5">
        <v>2003</v>
      </c>
      <c r="F24" s="7">
        <v>18750</v>
      </c>
      <c r="G24" s="8">
        <v>194</v>
      </c>
      <c r="H24" s="13">
        <f>F24*G24</f>
        <v>3637500</v>
      </c>
      <c r="I24" s="7">
        <v>1023</v>
      </c>
      <c r="J24" s="8">
        <f>ROUND(G24*RetailRate,0)</f>
        <v>243</v>
      </c>
      <c r="K24" s="13">
        <f>I24*J24</f>
        <v>248589</v>
      </c>
      <c r="L24" s="12">
        <f>H24+K24</f>
        <v>3886089</v>
      </c>
    </row>
    <row r="25" spans="1:12" outlineLevel="2" x14ac:dyDescent="0.25">
      <c r="B25" s="39" t="s">
        <v>309</v>
      </c>
      <c r="D25" s="5"/>
      <c r="E25" s="5"/>
      <c r="F25" s="7"/>
      <c r="G25" s="8"/>
      <c r="H25" s="13"/>
      <c r="I25" s="7"/>
      <c r="J25" s="8"/>
      <c r="K25" s="13"/>
      <c r="L25" s="12">
        <f>SUBTOTAL(9,L22:L24)</f>
        <v>7160427</v>
      </c>
    </row>
    <row r="26" spans="1:12" outlineLevel="1" x14ac:dyDescent="0.25">
      <c r="A26" s="39" t="s">
        <v>298</v>
      </c>
      <c r="D26" s="5"/>
      <c r="E26" s="5"/>
      <c r="F26" s="7"/>
      <c r="G26" s="8"/>
      <c r="H26" s="13"/>
      <c r="I26" s="7"/>
      <c r="J26" s="8"/>
      <c r="K26" s="13"/>
      <c r="L26" s="12">
        <f>SUBTOTAL(9,L14:L24)</f>
        <v>18734102</v>
      </c>
    </row>
    <row r="27" spans="1:12" outlineLevel="3" x14ac:dyDescent="0.25">
      <c r="A27" s="4" t="s">
        <v>25</v>
      </c>
      <c r="B27" s="4" t="s">
        <v>26</v>
      </c>
      <c r="C27" s="4" t="s">
        <v>27</v>
      </c>
      <c r="D27" s="5">
        <v>4</v>
      </c>
      <c r="E27" s="5">
        <v>2017</v>
      </c>
      <c r="F27" s="7">
        <v>25750</v>
      </c>
      <c r="G27" s="8">
        <v>208</v>
      </c>
      <c r="H27" s="13">
        <f>F27*G27</f>
        <v>5356000</v>
      </c>
      <c r="I27" s="7">
        <v>1234</v>
      </c>
      <c r="J27" s="8">
        <f>ROUND(G27*RetailRate,0)</f>
        <v>260</v>
      </c>
      <c r="K27" s="13">
        <f>I27*J27</f>
        <v>320840</v>
      </c>
      <c r="L27" s="12">
        <f>H27+K27</f>
        <v>5676840</v>
      </c>
    </row>
    <row r="28" spans="1:12" outlineLevel="3" x14ac:dyDescent="0.25">
      <c r="A28" s="4" t="s">
        <v>25</v>
      </c>
      <c r="B28" s="4" t="s">
        <v>26</v>
      </c>
      <c r="C28" s="4" t="s">
        <v>26</v>
      </c>
      <c r="D28" s="5">
        <v>5</v>
      </c>
      <c r="E28" s="5">
        <v>2015</v>
      </c>
      <c r="F28" s="7">
        <v>22345</v>
      </c>
      <c r="G28" s="8">
        <v>221</v>
      </c>
      <c r="H28" s="13">
        <f>F28*G28</f>
        <v>4938245</v>
      </c>
      <c r="I28" s="7">
        <v>732</v>
      </c>
      <c r="J28" s="8">
        <f>ROUND(G28*RetailRate,0)</f>
        <v>276</v>
      </c>
      <c r="K28" s="13">
        <f>I28*J28</f>
        <v>202032</v>
      </c>
      <c r="L28" s="12">
        <f>H28+K28</f>
        <v>5140277</v>
      </c>
    </row>
    <row r="29" spans="1:12" outlineLevel="2" x14ac:dyDescent="0.25">
      <c r="B29" s="39" t="s">
        <v>310</v>
      </c>
      <c r="D29" s="5"/>
      <c r="E29" s="5"/>
      <c r="F29" s="7"/>
      <c r="G29" s="8"/>
      <c r="H29" s="13"/>
      <c r="I29" s="7"/>
      <c r="J29" s="8"/>
      <c r="K29" s="13"/>
      <c r="L29" s="12">
        <f>SUBTOTAL(9,L27:L28)</f>
        <v>10817117</v>
      </c>
    </row>
    <row r="30" spans="1:12" outlineLevel="3" x14ac:dyDescent="0.25">
      <c r="A30" s="4" t="s">
        <v>25</v>
      </c>
      <c r="B30" s="4" t="s">
        <v>49</v>
      </c>
      <c r="C30" s="4" t="s">
        <v>50</v>
      </c>
      <c r="D30" s="5">
        <v>3</v>
      </c>
      <c r="E30" s="5">
        <v>2016</v>
      </c>
      <c r="F30" s="7">
        <v>5500</v>
      </c>
      <c r="G30" s="8">
        <v>244</v>
      </c>
      <c r="H30" s="13">
        <f>F30*G30</f>
        <v>1342000</v>
      </c>
      <c r="I30" s="7">
        <v>114</v>
      </c>
      <c r="J30" s="8">
        <f>ROUND(G30*RetailRate,0)</f>
        <v>305</v>
      </c>
      <c r="K30" s="13">
        <f>I30*J30</f>
        <v>34770</v>
      </c>
      <c r="L30" s="12">
        <f>H30+K30</f>
        <v>1376770</v>
      </c>
    </row>
    <row r="31" spans="1:12" outlineLevel="3" x14ac:dyDescent="0.25">
      <c r="A31" s="4" t="s">
        <v>25</v>
      </c>
      <c r="B31" s="4" t="s">
        <v>49</v>
      </c>
      <c r="C31" s="4" t="s">
        <v>49</v>
      </c>
      <c r="D31" s="5">
        <v>9</v>
      </c>
      <c r="E31" s="5">
        <v>2017</v>
      </c>
      <c r="F31" s="7">
        <v>3500</v>
      </c>
      <c r="G31" s="8">
        <v>310</v>
      </c>
      <c r="H31" s="13">
        <f>F31*G31</f>
        <v>1085000</v>
      </c>
      <c r="I31" s="7">
        <v>43</v>
      </c>
      <c r="J31" s="8">
        <f>ROUND(G31*RetailRate,0)</f>
        <v>388</v>
      </c>
      <c r="K31" s="13">
        <f>I31*J31</f>
        <v>16684</v>
      </c>
      <c r="L31" s="12">
        <f>H31+K31</f>
        <v>1101684</v>
      </c>
    </row>
    <row r="32" spans="1:12" outlineLevel="2" x14ac:dyDescent="0.25">
      <c r="B32" s="39" t="s">
        <v>311</v>
      </c>
      <c r="D32" s="5"/>
      <c r="E32" s="5"/>
      <c r="F32" s="7"/>
      <c r="G32" s="8"/>
      <c r="H32" s="13"/>
      <c r="I32" s="7"/>
      <c r="J32" s="8"/>
      <c r="K32" s="13"/>
      <c r="L32" s="12">
        <f>SUBTOTAL(9,L30:L31)</f>
        <v>2478454</v>
      </c>
    </row>
    <row r="33" spans="1:12" outlineLevel="1" x14ac:dyDescent="0.25">
      <c r="A33" s="39" t="s">
        <v>299</v>
      </c>
      <c r="D33" s="5"/>
      <c r="E33" s="5"/>
      <c r="F33" s="7"/>
      <c r="G33" s="8"/>
      <c r="H33" s="13"/>
      <c r="I33" s="7"/>
      <c r="J33" s="8"/>
      <c r="K33" s="13"/>
      <c r="L33" s="12">
        <f>SUBTOTAL(9,L27:L31)</f>
        <v>13295571</v>
      </c>
    </row>
    <row r="34" spans="1:12" outlineLevel="3" x14ac:dyDescent="0.25">
      <c r="A34" s="4" t="s">
        <v>44</v>
      </c>
      <c r="B34" s="4" t="s">
        <v>45</v>
      </c>
      <c r="C34" s="4" t="s">
        <v>46</v>
      </c>
      <c r="D34" s="5">
        <v>2</v>
      </c>
      <c r="E34" s="5">
        <v>2016</v>
      </c>
      <c r="F34" s="7">
        <v>32400</v>
      </c>
      <c r="G34" s="8">
        <v>110</v>
      </c>
      <c r="H34" s="13">
        <f>F34*G34</f>
        <v>3564000</v>
      </c>
      <c r="I34" s="7">
        <v>1309</v>
      </c>
      <c r="J34" s="8">
        <f>ROUND(G34*RetailRate,0)</f>
        <v>138</v>
      </c>
      <c r="K34" s="13">
        <f>I34*J34</f>
        <v>180642</v>
      </c>
      <c r="L34" s="12">
        <f>H34+K34</f>
        <v>3744642</v>
      </c>
    </row>
    <row r="35" spans="1:12" outlineLevel="3" x14ac:dyDescent="0.25">
      <c r="A35" s="4" t="s">
        <v>44</v>
      </c>
      <c r="B35" s="4" t="s">
        <v>45</v>
      </c>
      <c r="C35" s="4" t="s">
        <v>44</v>
      </c>
      <c r="D35" s="5">
        <v>13</v>
      </c>
      <c r="E35" s="5">
        <v>2017</v>
      </c>
      <c r="F35" s="7">
        <v>22418</v>
      </c>
      <c r="G35" s="8">
        <v>218</v>
      </c>
      <c r="H35" s="13">
        <f>F35*G35</f>
        <v>4887124</v>
      </c>
      <c r="I35" s="7">
        <v>45</v>
      </c>
      <c r="J35" s="8">
        <f>ROUND(G35*RetailRate,0)</f>
        <v>273</v>
      </c>
      <c r="K35" s="13">
        <f>I35*J35</f>
        <v>12285</v>
      </c>
      <c r="L35" s="12">
        <f>H35+K35</f>
        <v>4899409</v>
      </c>
    </row>
    <row r="36" spans="1:12" outlineLevel="3" x14ac:dyDescent="0.25">
      <c r="A36" s="4" t="s">
        <v>44</v>
      </c>
      <c r="B36" s="4" t="s">
        <v>45</v>
      </c>
      <c r="C36" s="4" t="s">
        <v>48</v>
      </c>
      <c r="D36" s="5">
        <v>5</v>
      </c>
      <c r="E36" s="5">
        <v>2015</v>
      </c>
      <c r="F36" s="7">
        <v>11875</v>
      </c>
      <c r="G36" s="8">
        <v>145</v>
      </c>
      <c r="H36" s="13">
        <f>F36*G36</f>
        <v>1721875</v>
      </c>
      <c r="I36" s="7">
        <v>1200</v>
      </c>
      <c r="J36" s="8">
        <f>ROUND(G36*RetailRate,0)</f>
        <v>181</v>
      </c>
      <c r="K36" s="13">
        <f>I36*J36</f>
        <v>217200</v>
      </c>
      <c r="L36" s="12">
        <f>H36+K36</f>
        <v>1939075</v>
      </c>
    </row>
    <row r="37" spans="1:12" outlineLevel="3" x14ac:dyDescent="0.25">
      <c r="A37" s="4" t="s">
        <v>44</v>
      </c>
      <c r="B37" s="4" t="s">
        <v>45</v>
      </c>
      <c r="C37" s="4" t="s">
        <v>66</v>
      </c>
      <c r="D37" s="5">
        <v>5</v>
      </c>
      <c r="E37" s="5">
        <v>2014</v>
      </c>
      <c r="F37" s="7">
        <v>23575</v>
      </c>
      <c r="G37" s="8">
        <v>125</v>
      </c>
      <c r="H37" s="13">
        <f>F37*G37</f>
        <v>2946875</v>
      </c>
      <c r="I37" s="7">
        <v>1245</v>
      </c>
      <c r="J37" s="8">
        <f>ROUND(G37*RetailRate,0)</f>
        <v>156</v>
      </c>
      <c r="K37" s="13">
        <f>I37*J37</f>
        <v>194220</v>
      </c>
      <c r="L37" s="12">
        <f>H37+K37</f>
        <v>3141095</v>
      </c>
    </row>
    <row r="38" spans="1:12" outlineLevel="2" x14ac:dyDescent="0.25">
      <c r="B38" s="39" t="s">
        <v>312</v>
      </c>
      <c r="D38" s="5"/>
      <c r="E38" s="5"/>
      <c r="F38" s="7"/>
      <c r="G38" s="8"/>
      <c r="H38" s="13"/>
      <c r="I38" s="7"/>
      <c r="J38" s="8"/>
      <c r="K38" s="13"/>
      <c r="L38" s="12">
        <f>SUBTOTAL(9,L34:L37)</f>
        <v>13724221</v>
      </c>
    </row>
    <row r="39" spans="1:12" outlineLevel="3" x14ac:dyDescent="0.25">
      <c r="A39" s="4" t="s">
        <v>44</v>
      </c>
      <c r="B39" s="4" t="s">
        <v>63</v>
      </c>
      <c r="C39" s="4" t="s">
        <v>64</v>
      </c>
      <c r="D39" s="5">
        <v>2</v>
      </c>
      <c r="E39" s="5">
        <v>2013</v>
      </c>
      <c r="F39" s="7">
        <v>11254</v>
      </c>
      <c r="G39" s="8">
        <v>118</v>
      </c>
      <c r="H39" s="13">
        <f>F39*G39</f>
        <v>1327972</v>
      </c>
      <c r="I39" s="7">
        <v>750</v>
      </c>
      <c r="J39" s="8">
        <f>ROUND(G39*RetailRate,0)</f>
        <v>148</v>
      </c>
      <c r="K39" s="13">
        <f>I39*J39</f>
        <v>111000</v>
      </c>
      <c r="L39" s="12">
        <f>H39+K39</f>
        <v>1438972</v>
      </c>
    </row>
    <row r="40" spans="1:12" outlineLevel="3" x14ac:dyDescent="0.25">
      <c r="A40" s="4" t="s">
        <v>44</v>
      </c>
      <c r="B40" s="4" t="s">
        <v>63</v>
      </c>
      <c r="C40" s="4" t="s">
        <v>72</v>
      </c>
      <c r="D40" s="5">
        <v>10</v>
      </c>
      <c r="E40" s="5">
        <v>2014</v>
      </c>
      <c r="F40" s="7">
        <v>7500</v>
      </c>
      <c r="G40" s="8">
        <v>195</v>
      </c>
      <c r="H40" s="13">
        <f>F40*G40</f>
        <v>1462500</v>
      </c>
      <c r="I40" s="7">
        <v>53</v>
      </c>
      <c r="J40" s="8">
        <f>ROUND(G40*RetailRate,0)</f>
        <v>244</v>
      </c>
      <c r="K40" s="13">
        <f>I40*J40</f>
        <v>12932</v>
      </c>
      <c r="L40" s="12">
        <f>H40+K40</f>
        <v>1475432</v>
      </c>
    </row>
    <row r="41" spans="1:12" outlineLevel="2" x14ac:dyDescent="0.25">
      <c r="B41" s="39" t="s">
        <v>313</v>
      </c>
      <c r="D41" s="5"/>
      <c r="E41" s="5"/>
      <c r="F41" s="7"/>
      <c r="G41" s="8"/>
      <c r="H41" s="13"/>
      <c r="I41" s="7"/>
      <c r="J41" s="8"/>
      <c r="K41" s="13"/>
      <c r="L41" s="12">
        <f>SUBTOTAL(9,L39:L40)</f>
        <v>2914404</v>
      </c>
    </row>
    <row r="42" spans="1:12" outlineLevel="1" x14ac:dyDescent="0.25">
      <c r="A42" s="39" t="s">
        <v>300</v>
      </c>
      <c r="D42" s="5"/>
      <c r="E42" s="5"/>
      <c r="F42" s="7"/>
      <c r="G42" s="8"/>
      <c r="H42" s="13"/>
      <c r="I42" s="7"/>
      <c r="J42" s="8"/>
      <c r="K42" s="13"/>
      <c r="L42" s="12">
        <f>SUBTOTAL(9,L34:L40)</f>
        <v>16638625</v>
      </c>
    </row>
    <row r="43" spans="1:12" outlineLevel="3" x14ac:dyDescent="0.25">
      <c r="A43" s="4" t="s">
        <v>14</v>
      </c>
      <c r="B43" s="4" t="s">
        <v>15</v>
      </c>
      <c r="C43" s="4" t="s">
        <v>16</v>
      </c>
      <c r="D43" s="5">
        <v>6</v>
      </c>
      <c r="E43" s="5">
        <v>2015</v>
      </c>
      <c r="F43" s="7">
        <v>16750</v>
      </c>
      <c r="G43" s="8">
        <v>164</v>
      </c>
      <c r="H43" s="13">
        <f>F43*G43</f>
        <v>2747000</v>
      </c>
      <c r="I43" s="7">
        <v>93</v>
      </c>
      <c r="J43" s="8">
        <f>ROUND(G43*RetailRate,0)</f>
        <v>205</v>
      </c>
      <c r="K43" s="13">
        <f>I43*J43</f>
        <v>19065</v>
      </c>
      <c r="L43" s="12">
        <f>H43+K43</f>
        <v>2766065</v>
      </c>
    </row>
    <row r="44" spans="1:12" outlineLevel="3" x14ac:dyDescent="0.25">
      <c r="A44" s="4" t="s">
        <v>14</v>
      </c>
      <c r="B44" s="4" t="s">
        <v>15</v>
      </c>
      <c r="C44" s="4" t="s">
        <v>54</v>
      </c>
      <c r="D44" s="5">
        <v>8</v>
      </c>
      <c r="E44" s="5">
        <v>2017</v>
      </c>
      <c r="F44" s="7">
        <v>21230</v>
      </c>
      <c r="G44" s="8">
        <v>183</v>
      </c>
      <c r="H44" s="13">
        <f>F44*G44</f>
        <v>3885090</v>
      </c>
      <c r="I44" s="7">
        <v>1200</v>
      </c>
      <c r="J44" s="8">
        <f>ROUND(G44*RetailRate,0)</f>
        <v>229</v>
      </c>
      <c r="K44" s="13">
        <f>I44*J44</f>
        <v>274800</v>
      </c>
      <c r="L44" s="12">
        <f>H44+K44</f>
        <v>4159890</v>
      </c>
    </row>
    <row r="45" spans="1:12" outlineLevel="3" x14ac:dyDescent="0.25">
      <c r="A45" s="4" t="s">
        <v>14</v>
      </c>
      <c r="B45" s="4" t="s">
        <v>15</v>
      </c>
      <c r="C45" s="4" t="s">
        <v>73</v>
      </c>
      <c r="D45" s="5">
        <v>2</v>
      </c>
      <c r="E45" s="5">
        <v>2014</v>
      </c>
      <c r="F45" s="7">
        <v>15374</v>
      </c>
      <c r="G45" s="8">
        <v>120</v>
      </c>
      <c r="H45" s="13">
        <f>F45*G45</f>
        <v>1844880</v>
      </c>
      <c r="I45" s="7">
        <v>110</v>
      </c>
      <c r="J45" s="8">
        <f>ROUND(G45*RetailRate,0)</f>
        <v>150</v>
      </c>
      <c r="K45" s="13">
        <f>I45*J45</f>
        <v>16500</v>
      </c>
      <c r="L45" s="12">
        <f>H45+K45</f>
        <v>1861380</v>
      </c>
    </row>
    <row r="46" spans="1:12" outlineLevel="2" x14ac:dyDescent="0.25">
      <c r="B46" s="39" t="s">
        <v>314</v>
      </c>
      <c r="D46" s="5"/>
      <c r="E46" s="5"/>
      <c r="F46" s="7"/>
      <c r="G46" s="8"/>
      <c r="H46" s="13"/>
      <c r="I46" s="7"/>
      <c r="J46" s="8"/>
      <c r="K46" s="13"/>
      <c r="L46" s="12">
        <f>SUBTOTAL(9,L43:L45)</f>
        <v>8787335</v>
      </c>
    </row>
    <row r="47" spans="1:12" outlineLevel="3" x14ac:dyDescent="0.25">
      <c r="A47" s="4" t="s">
        <v>14</v>
      </c>
      <c r="B47" s="4" t="s">
        <v>23</v>
      </c>
      <c r="C47" s="4" t="s">
        <v>24</v>
      </c>
      <c r="D47" s="5">
        <v>13</v>
      </c>
      <c r="E47" s="5">
        <v>2017</v>
      </c>
      <c r="F47" s="7">
        <v>12400</v>
      </c>
      <c r="G47" s="8">
        <v>194</v>
      </c>
      <c r="H47" s="13">
        <f>F47*G47</f>
        <v>2405600</v>
      </c>
      <c r="I47" s="7">
        <v>100</v>
      </c>
      <c r="J47" s="8">
        <f>ROUND(G47*RetailRate,0)</f>
        <v>243</v>
      </c>
      <c r="K47" s="13">
        <f>I47*J47</f>
        <v>24300</v>
      </c>
      <c r="L47" s="12">
        <f>H47+K47</f>
        <v>2429900</v>
      </c>
    </row>
    <row r="48" spans="1:12" outlineLevel="3" x14ac:dyDescent="0.25">
      <c r="A48" s="4" t="s">
        <v>14</v>
      </c>
      <c r="B48" s="4" t="s">
        <v>23</v>
      </c>
      <c r="C48" s="4" t="s">
        <v>68</v>
      </c>
      <c r="D48" s="5">
        <v>3</v>
      </c>
      <c r="E48" s="5">
        <v>2015</v>
      </c>
      <c r="F48" s="7">
        <v>4500</v>
      </c>
      <c r="G48" s="8">
        <v>125</v>
      </c>
      <c r="H48" s="13">
        <f>F48*G48</f>
        <v>562500</v>
      </c>
      <c r="I48" s="7">
        <v>12</v>
      </c>
      <c r="J48" s="8">
        <f>ROUND(G48*RetailRate,0)</f>
        <v>156</v>
      </c>
      <c r="K48" s="13">
        <f>I48*J48</f>
        <v>1872</v>
      </c>
      <c r="L48" s="12">
        <f>H48+K48</f>
        <v>564372</v>
      </c>
    </row>
    <row r="49" spans="1:12" outlineLevel="3" x14ac:dyDescent="0.25">
      <c r="A49" s="4" t="s">
        <v>14</v>
      </c>
      <c r="B49" s="4" t="s">
        <v>23</v>
      </c>
      <c r="C49" s="4" t="s">
        <v>78</v>
      </c>
      <c r="D49" s="5">
        <v>9</v>
      </c>
      <c r="E49" s="5">
        <v>2016</v>
      </c>
      <c r="F49" s="7">
        <v>4500</v>
      </c>
      <c r="G49" s="8">
        <v>175</v>
      </c>
      <c r="H49" s="13">
        <f>F49*G49</f>
        <v>787500</v>
      </c>
      <c r="I49" s="7">
        <v>251</v>
      </c>
      <c r="J49" s="8">
        <f>ROUND(G49*RetailRate,0)</f>
        <v>219</v>
      </c>
      <c r="K49" s="13">
        <f>I49*J49</f>
        <v>54969</v>
      </c>
      <c r="L49" s="12">
        <f>H49+K49</f>
        <v>842469</v>
      </c>
    </row>
    <row r="50" spans="1:12" outlineLevel="2" x14ac:dyDescent="0.25">
      <c r="B50" s="39" t="s">
        <v>315</v>
      </c>
      <c r="D50" s="5"/>
      <c r="E50" s="5"/>
      <c r="F50" s="7"/>
      <c r="G50" s="8"/>
      <c r="H50" s="13"/>
      <c r="I50" s="7"/>
      <c r="J50" s="8"/>
      <c r="K50" s="13"/>
      <c r="L50" s="12">
        <f>SUBTOTAL(9,L47:L49)</f>
        <v>3836741</v>
      </c>
    </row>
    <row r="51" spans="1:12" outlineLevel="3" x14ac:dyDescent="0.25">
      <c r="A51" s="4" t="s">
        <v>14</v>
      </c>
      <c r="B51" s="4" t="s">
        <v>17</v>
      </c>
      <c r="C51" s="4" t="s">
        <v>18</v>
      </c>
      <c r="D51" s="5">
        <v>8</v>
      </c>
      <c r="E51" s="5">
        <v>2015</v>
      </c>
      <c r="F51" s="7">
        <v>12345</v>
      </c>
      <c r="G51" s="8">
        <v>88</v>
      </c>
      <c r="H51" s="13">
        <f>F51*G51</f>
        <v>1086360</v>
      </c>
      <c r="I51" s="7">
        <v>240</v>
      </c>
      <c r="J51" s="8">
        <f>ROUND(G51*RetailRate,0)</f>
        <v>110</v>
      </c>
      <c r="K51" s="13">
        <f>I51*J51</f>
        <v>26400</v>
      </c>
      <c r="L51" s="12">
        <f>H51+K51</f>
        <v>1112760</v>
      </c>
    </row>
    <row r="52" spans="1:12" outlineLevel="3" x14ac:dyDescent="0.25">
      <c r="A52" s="4" t="s">
        <v>14</v>
      </c>
      <c r="B52" s="4" t="s">
        <v>17</v>
      </c>
      <c r="C52" s="4" t="s">
        <v>43</v>
      </c>
      <c r="D52" s="5">
        <v>5</v>
      </c>
      <c r="E52" s="5">
        <v>2016</v>
      </c>
      <c r="F52" s="7">
        <v>22875</v>
      </c>
      <c r="G52" s="8">
        <v>130</v>
      </c>
      <c r="H52" s="13">
        <f>F52*G52</f>
        <v>2973750</v>
      </c>
      <c r="I52" s="7">
        <v>1000</v>
      </c>
      <c r="J52" s="8">
        <f>ROUND(G52*RetailRate,0)</f>
        <v>163</v>
      </c>
      <c r="K52" s="13">
        <f>I52*J52</f>
        <v>163000</v>
      </c>
      <c r="L52" s="12">
        <f>H52+K52</f>
        <v>3136750</v>
      </c>
    </row>
    <row r="53" spans="1:12" outlineLevel="3" x14ac:dyDescent="0.25">
      <c r="A53" s="4" t="s">
        <v>14</v>
      </c>
      <c r="B53" s="4" t="s">
        <v>17</v>
      </c>
      <c r="C53" s="4" t="s">
        <v>58</v>
      </c>
      <c r="D53" s="5">
        <v>9</v>
      </c>
      <c r="E53" s="5">
        <v>2015</v>
      </c>
      <c r="F53" s="7">
        <v>4575</v>
      </c>
      <c r="G53" s="8">
        <v>156</v>
      </c>
      <c r="H53" s="13">
        <f>F53*G53</f>
        <v>713700</v>
      </c>
      <c r="I53" s="7">
        <v>63</v>
      </c>
      <c r="J53" s="8">
        <f>ROUND(G53*RetailRate,0)</f>
        <v>195</v>
      </c>
      <c r="K53" s="13">
        <f>I53*J53</f>
        <v>12285</v>
      </c>
      <c r="L53" s="12">
        <f>H53+K53</f>
        <v>725985</v>
      </c>
    </row>
    <row r="54" spans="1:12" outlineLevel="2" x14ac:dyDescent="0.25">
      <c r="B54" s="39" t="s">
        <v>316</v>
      </c>
      <c r="D54" s="5"/>
      <c r="E54" s="5"/>
      <c r="F54" s="7"/>
      <c r="G54" s="8"/>
      <c r="H54" s="13"/>
      <c r="I54" s="7"/>
      <c r="J54" s="8"/>
      <c r="K54" s="13"/>
      <c r="L54" s="12">
        <f>SUBTOTAL(9,L51:L53)</f>
        <v>4975495</v>
      </c>
    </row>
    <row r="55" spans="1:12" outlineLevel="1" x14ac:dyDescent="0.25">
      <c r="A55" s="39" t="s">
        <v>301</v>
      </c>
      <c r="D55" s="5"/>
      <c r="E55" s="5"/>
      <c r="F55" s="7"/>
      <c r="G55" s="8"/>
      <c r="H55" s="13"/>
      <c r="I55" s="7"/>
      <c r="J55" s="8"/>
      <c r="K55" s="13"/>
      <c r="L55" s="12">
        <f>SUBTOTAL(9,L43:L53)</f>
        <v>17599571</v>
      </c>
    </row>
    <row r="56" spans="1:12" outlineLevel="3" x14ac:dyDescent="0.25">
      <c r="A56" s="4" t="s">
        <v>40</v>
      </c>
      <c r="B56" s="4" t="s">
        <v>41</v>
      </c>
      <c r="C56" s="4" t="s">
        <v>42</v>
      </c>
      <c r="D56" s="5">
        <v>12</v>
      </c>
      <c r="E56" s="5">
        <v>2017</v>
      </c>
      <c r="F56" s="7">
        <v>9245</v>
      </c>
      <c r="G56" s="8">
        <v>215</v>
      </c>
      <c r="H56" s="13">
        <f>F56*G56</f>
        <v>1987675</v>
      </c>
      <c r="I56" s="7">
        <v>218</v>
      </c>
      <c r="J56" s="8">
        <f>ROUND(G56*RetailRate,0)</f>
        <v>269</v>
      </c>
      <c r="K56" s="13">
        <f>I56*J56</f>
        <v>58642</v>
      </c>
      <c r="L56" s="12">
        <f>H56+K56</f>
        <v>2046317</v>
      </c>
    </row>
    <row r="57" spans="1:12" outlineLevel="3" x14ac:dyDescent="0.25">
      <c r="A57" s="4" t="s">
        <v>40</v>
      </c>
      <c r="B57" s="4" t="s">
        <v>41</v>
      </c>
      <c r="C57" s="4" t="s">
        <v>51</v>
      </c>
      <c r="D57" s="5">
        <v>2</v>
      </c>
      <c r="E57" s="5">
        <v>2016</v>
      </c>
      <c r="F57" s="7">
        <v>5387</v>
      </c>
      <c r="G57" s="8">
        <v>182</v>
      </c>
      <c r="H57" s="13">
        <f>F57*G57</f>
        <v>980434</v>
      </c>
      <c r="I57" s="7">
        <v>34</v>
      </c>
      <c r="J57" s="8">
        <f>ROUND(G57*RetailRate,0)</f>
        <v>228</v>
      </c>
      <c r="K57" s="13">
        <f>I57*J57</f>
        <v>7752</v>
      </c>
      <c r="L57" s="12">
        <f>H57+K57</f>
        <v>988186</v>
      </c>
    </row>
    <row r="58" spans="1:12" outlineLevel="2" x14ac:dyDescent="0.25">
      <c r="B58" s="39" t="s">
        <v>317</v>
      </c>
      <c r="D58" s="5"/>
      <c r="E58" s="5"/>
      <c r="F58" s="7"/>
      <c r="G58" s="8"/>
      <c r="H58" s="13"/>
      <c r="I58" s="7"/>
      <c r="J58" s="8"/>
      <c r="K58" s="13"/>
      <c r="L58" s="12">
        <f>SUBTOTAL(9,L56:L57)</f>
        <v>3034503</v>
      </c>
    </row>
    <row r="59" spans="1:12" outlineLevel="3" x14ac:dyDescent="0.25">
      <c r="A59" s="4" t="s">
        <v>40</v>
      </c>
      <c r="B59" s="4" t="s">
        <v>52</v>
      </c>
      <c r="C59" s="4" t="s">
        <v>53</v>
      </c>
      <c r="D59" s="5">
        <v>12</v>
      </c>
      <c r="E59" s="5">
        <v>2017</v>
      </c>
      <c r="F59" s="7">
        <v>37400</v>
      </c>
      <c r="G59" s="8">
        <v>206</v>
      </c>
      <c r="H59" s="13">
        <f>F59*G59</f>
        <v>7704400</v>
      </c>
      <c r="I59" s="7">
        <v>1000</v>
      </c>
      <c r="J59" s="8">
        <f>ROUND(G59*RetailRate,0)</f>
        <v>258</v>
      </c>
      <c r="K59" s="13">
        <f>I59*J59</f>
        <v>258000</v>
      </c>
      <c r="L59" s="12">
        <f>H59+K59</f>
        <v>7962400</v>
      </c>
    </row>
    <row r="60" spans="1:12" outlineLevel="3" x14ac:dyDescent="0.25">
      <c r="A60" s="4" t="s">
        <v>40</v>
      </c>
      <c r="B60" s="4" t="s">
        <v>52</v>
      </c>
      <c r="C60" s="4" t="s">
        <v>67</v>
      </c>
      <c r="D60" s="5">
        <v>3</v>
      </c>
      <c r="E60" s="5">
        <v>2015</v>
      </c>
      <c r="F60" s="7">
        <v>2750</v>
      </c>
      <c r="G60" s="8">
        <v>165</v>
      </c>
      <c r="H60" s="13">
        <f>F60*G60</f>
        <v>453750</v>
      </c>
      <c r="I60" s="7">
        <v>83</v>
      </c>
      <c r="J60" s="8">
        <f>ROUND(G60*RetailRate,0)</f>
        <v>206</v>
      </c>
      <c r="K60" s="13">
        <f>I60*J60</f>
        <v>17098</v>
      </c>
      <c r="L60" s="12">
        <f>H60+K60</f>
        <v>470848</v>
      </c>
    </row>
    <row r="61" spans="1:12" outlineLevel="2" x14ac:dyDescent="0.25">
      <c r="B61" s="39" t="s">
        <v>318</v>
      </c>
      <c r="D61" s="5"/>
      <c r="E61" s="5"/>
      <c r="F61" s="7"/>
      <c r="G61" s="8"/>
      <c r="H61" s="13"/>
      <c r="I61" s="7"/>
      <c r="J61" s="8"/>
      <c r="K61" s="13"/>
      <c r="L61" s="12">
        <f>SUBTOTAL(9,L59:L60)</f>
        <v>8433248</v>
      </c>
    </row>
    <row r="62" spans="1:12" outlineLevel="1" x14ac:dyDescent="0.25">
      <c r="A62" s="39" t="s">
        <v>302</v>
      </c>
      <c r="D62" s="5"/>
      <c r="E62" s="5"/>
      <c r="F62" s="7"/>
      <c r="G62" s="8"/>
      <c r="H62" s="13"/>
      <c r="I62" s="7"/>
      <c r="J62" s="8"/>
      <c r="K62" s="13"/>
      <c r="L62" s="12">
        <f>SUBTOTAL(9,L56:L60)</f>
        <v>11467751</v>
      </c>
    </row>
    <row r="63" spans="1:12" outlineLevel="3" x14ac:dyDescent="0.25">
      <c r="A63" s="4" t="s">
        <v>19</v>
      </c>
      <c r="B63" s="4" t="s">
        <v>38</v>
      </c>
      <c r="C63" s="4" t="s">
        <v>39</v>
      </c>
      <c r="D63" s="5">
        <v>2</v>
      </c>
      <c r="E63" s="5">
        <v>2016</v>
      </c>
      <c r="F63" s="7">
        <v>14398</v>
      </c>
      <c r="G63" s="8">
        <v>182</v>
      </c>
      <c r="H63" s="13">
        <f>F63*G63</f>
        <v>2620436</v>
      </c>
      <c r="I63" s="7">
        <v>212</v>
      </c>
      <c r="J63" s="8">
        <f>ROUND(G63*RetailRate,0)</f>
        <v>228</v>
      </c>
      <c r="K63" s="13">
        <f>I63*J63</f>
        <v>48336</v>
      </c>
      <c r="L63" s="12">
        <f>H63+K63</f>
        <v>2668772</v>
      </c>
    </row>
    <row r="64" spans="1:12" outlineLevel="3" x14ac:dyDescent="0.25">
      <c r="A64" s="4" t="s">
        <v>19</v>
      </c>
      <c r="B64" s="4" t="s">
        <v>38</v>
      </c>
      <c r="C64" s="4" t="s">
        <v>65</v>
      </c>
      <c r="D64" s="5">
        <v>1</v>
      </c>
      <c r="E64" s="5">
        <v>2014</v>
      </c>
      <c r="F64" s="7">
        <v>9876</v>
      </c>
      <c r="G64" s="8">
        <v>155</v>
      </c>
      <c r="H64" s="13">
        <f>F64*G64</f>
        <v>1530780</v>
      </c>
      <c r="I64" s="7">
        <v>22</v>
      </c>
      <c r="J64" s="8">
        <f>ROUND(G64*RetailRate,0)</f>
        <v>194</v>
      </c>
      <c r="K64" s="13">
        <f>I64*J64</f>
        <v>4268</v>
      </c>
      <c r="L64" s="12">
        <f>H64+K64</f>
        <v>1535048</v>
      </c>
    </row>
    <row r="65" spans="1:12" outlineLevel="3" x14ac:dyDescent="0.25">
      <c r="A65" s="4" t="s">
        <v>19</v>
      </c>
      <c r="B65" s="4" t="s">
        <v>38</v>
      </c>
      <c r="C65" s="4" t="s">
        <v>79</v>
      </c>
      <c r="D65" s="5">
        <v>1</v>
      </c>
      <c r="E65" s="5">
        <v>2012</v>
      </c>
      <c r="F65" s="7">
        <v>20100</v>
      </c>
      <c r="G65" s="8">
        <v>125</v>
      </c>
      <c r="H65" s="13">
        <f>F65*G65</f>
        <v>2512500</v>
      </c>
      <c r="I65" s="7">
        <v>1723</v>
      </c>
      <c r="J65" s="8">
        <f>ROUND(G65*RetailRate,0)</f>
        <v>156</v>
      </c>
      <c r="K65" s="13">
        <f>I65*J65</f>
        <v>268788</v>
      </c>
      <c r="L65" s="12">
        <f>H65+K65</f>
        <v>2781288</v>
      </c>
    </row>
    <row r="66" spans="1:12" outlineLevel="2" x14ac:dyDescent="0.25">
      <c r="B66" s="39" t="s">
        <v>319</v>
      </c>
      <c r="D66" s="5"/>
      <c r="E66" s="5"/>
      <c r="F66" s="7"/>
      <c r="G66" s="8"/>
      <c r="H66" s="13"/>
      <c r="I66" s="7"/>
      <c r="J66" s="8"/>
      <c r="K66" s="13"/>
      <c r="L66" s="12">
        <f>SUBTOTAL(9,L63:L65)</f>
        <v>6985108</v>
      </c>
    </row>
    <row r="67" spans="1:12" outlineLevel="3" x14ac:dyDescent="0.25">
      <c r="A67" s="4" t="s">
        <v>19</v>
      </c>
      <c r="B67" s="4" t="s">
        <v>20</v>
      </c>
      <c r="C67" s="4" t="s">
        <v>21</v>
      </c>
      <c r="D67" s="5">
        <v>4</v>
      </c>
      <c r="E67" s="5">
        <v>2017</v>
      </c>
      <c r="F67" s="7">
        <v>7500</v>
      </c>
      <c r="G67" s="8">
        <v>212</v>
      </c>
      <c r="H67" s="13">
        <f>F67*G67</f>
        <v>1590000</v>
      </c>
      <c r="I67" s="7">
        <v>100</v>
      </c>
      <c r="J67" s="8">
        <f>ROUND(G67*RetailRate,0)</f>
        <v>265</v>
      </c>
      <c r="K67" s="13">
        <f>I67*J67</f>
        <v>26500</v>
      </c>
      <c r="L67" s="12">
        <f>H67+K67</f>
        <v>1616500</v>
      </c>
    </row>
    <row r="68" spans="1:12" outlineLevel="3" x14ac:dyDescent="0.25">
      <c r="A68" s="4" t="s">
        <v>19</v>
      </c>
      <c r="B68" s="4" t="s">
        <v>20</v>
      </c>
      <c r="C68" s="4" t="s">
        <v>22</v>
      </c>
      <c r="D68" s="5">
        <v>1</v>
      </c>
      <c r="E68" s="5">
        <v>2016</v>
      </c>
      <c r="F68" s="7">
        <v>14300</v>
      </c>
      <c r="G68" s="8">
        <v>185</v>
      </c>
      <c r="H68" s="13">
        <f>F68*G68</f>
        <v>2645500</v>
      </c>
      <c r="I68" s="7">
        <v>1000</v>
      </c>
      <c r="J68" s="8">
        <f>ROUND(G68*RetailRate,0)</f>
        <v>231</v>
      </c>
      <c r="K68" s="13">
        <f>I68*J68</f>
        <v>231000</v>
      </c>
      <c r="L68" s="12">
        <f>H68+K68</f>
        <v>2876500</v>
      </c>
    </row>
    <row r="69" spans="1:12" outlineLevel="3" x14ac:dyDescent="0.25">
      <c r="A69" s="4" t="s">
        <v>19</v>
      </c>
      <c r="B69" s="4" t="s">
        <v>20</v>
      </c>
      <c r="C69" s="4" t="s">
        <v>37</v>
      </c>
      <c r="D69" s="5">
        <v>8</v>
      </c>
      <c r="E69" s="5">
        <v>2017</v>
      </c>
      <c r="F69" s="7">
        <v>25000</v>
      </c>
      <c r="G69" s="8">
        <v>192</v>
      </c>
      <c r="H69" s="13">
        <f>F69*G69</f>
        <v>4800000</v>
      </c>
      <c r="I69" s="7">
        <v>123</v>
      </c>
      <c r="J69" s="8">
        <f>ROUND(G69*RetailRate,0)</f>
        <v>240</v>
      </c>
      <c r="K69" s="13">
        <f>I69*J69</f>
        <v>29520</v>
      </c>
      <c r="L69" s="12">
        <f>H69+K69</f>
        <v>4829520</v>
      </c>
    </row>
    <row r="70" spans="1:12" outlineLevel="2" x14ac:dyDescent="0.25">
      <c r="B70" s="39" t="s">
        <v>320</v>
      </c>
      <c r="D70" s="5"/>
      <c r="E70" s="5"/>
      <c r="F70" s="7"/>
      <c r="G70" s="8"/>
      <c r="H70" s="13"/>
      <c r="I70" s="7"/>
      <c r="J70" s="8"/>
      <c r="K70" s="13"/>
      <c r="L70" s="12">
        <f>SUBTOTAL(9,L67:L69)</f>
        <v>9322520</v>
      </c>
    </row>
    <row r="71" spans="1:12" outlineLevel="3" x14ac:dyDescent="0.25">
      <c r="A71" s="4" t="s">
        <v>19</v>
      </c>
      <c r="B71" s="4" t="s">
        <v>35</v>
      </c>
      <c r="C71" s="4" t="s">
        <v>36</v>
      </c>
      <c r="D71" s="5">
        <v>5</v>
      </c>
      <c r="E71" s="5">
        <v>2017</v>
      </c>
      <c r="F71" s="7">
        <v>4500</v>
      </c>
      <c r="G71" s="8">
        <v>275</v>
      </c>
      <c r="H71" s="13">
        <f>F71*G71</f>
        <v>1237500</v>
      </c>
      <c r="I71" s="7">
        <v>312</v>
      </c>
      <c r="J71" s="8">
        <f>ROUND(G71*RetailRate,0)</f>
        <v>344</v>
      </c>
      <c r="K71" s="13">
        <f>I71*J71</f>
        <v>107328</v>
      </c>
      <c r="L71" s="12">
        <f>H71+K71</f>
        <v>1344828</v>
      </c>
    </row>
    <row r="72" spans="1:12" outlineLevel="3" x14ac:dyDescent="0.25">
      <c r="A72" s="4" t="s">
        <v>19</v>
      </c>
      <c r="B72" s="4" t="s">
        <v>35</v>
      </c>
      <c r="C72" s="4" t="s">
        <v>74</v>
      </c>
      <c r="D72" s="5">
        <v>3</v>
      </c>
      <c r="E72" s="5">
        <v>2017</v>
      </c>
      <c r="F72" s="7">
        <v>20300</v>
      </c>
      <c r="G72" s="8">
        <v>298</v>
      </c>
      <c r="H72" s="13">
        <f>F72*G72</f>
        <v>6049400</v>
      </c>
      <c r="I72" s="7">
        <v>118</v>
      </c>
      <c r="J72" s="8">
        <f>ROUND(G72*RetailRate,0)</f>
        <v>373</v>
      </c>
      <c r="K72" s="13">
        <f>I72*J72</f>
        <v>44014</v>
      </c>
      <c r="L72" s="12">
        <f>H72+K72</f>
        <v>6093414</v>
      </c>
    </row>
    <row r="73" spans="1:12" outlineLevel="3" x14ac:dyDescent="0.25">
      <c r="A73" s="4" t="s">
        <v>19</v>
      </c>
      <c r="B73" s="4" t="s">
        <v>35</v>
      </c>
      <c r="C73" s="4" t="s">
        <v>77</v>
      </c>
      <c r="D73" s="5">
        <v>1</v>
      </c>
      <c r="E73" s="5">
        <v>2015</v>
      </c>
      <c r="F73" s="7">
        <v>11983</v>
      </c>
      <c r="G73" s="8">
        <v>66</v>
      </c>
      <c r="H73" s="13">
        <f>F73*G73</f>
        <v>790878</v>
      </c>
      <c r="I73" s="7">
        <v>93</v>
      </c>
      <c r="J73" s="8">
        <f>ROUND(G73*RetailRate,0)</f>
        <v>83</v>
      </c>
      <c r="K73" s="13">
        <f>I73*J73</f>
        <v>7719</v>
      </c>
      <c r="L73" s="12">
        <f>H73+K73</f>
        <v>798597</v>
      </c>
    </row>
    <row r="74" spans="1:12" outlineLevel="2" x14ac:dyDescent="0.25">
      <c r="B74" s="39" t="s">
        <v>321</v>
      </c>
      <c r="D74" s="5"/>
      <c r="E74" s="5"/>
      <c r="F74" s="7"/>
      <c r="G74" s="8"/>
      <c r="H74" s="13"/>
      <c r="I74" s="7"/>
      <c r="J74" s="8"/>
      <c r="K74" s="13"/>
      <c r="L74" s="12">
        <f>SUBTOTAL(9,L71:L73)</f>
        <v>8236839</v>
      </c>
    </row>
    <row r="75" spans="1:12" outlineLevel="1" x14ac:dyDescent="0.25">
      <c r="A75" s="39" t="s">
        <v>303</v>
      </c>
      <c r="D75" s="5"/>
      <c r="E75" s="5"/>
      <c r="F75" s="7"/>
      <c r="G75" s="8"/>
      <c r="H75" s="13"/>
      <c r="I75" s="7"/>
      <c r="J75" s="8"/>
      <c r="K75" s="13"/>
      <c r="L75" s="12">
        <f>SUBTOTAL(9,L63:L73)</f>
        <v>24544467</v>
      </c>
    </row>
    <row r="76" spans="1:12" x14ac:dyDescent="0.25">
      <c r="A76" s="39" t="s">
        <v>304</v>
      </c>
      <c r="D76" s="5"/>
      <c r="E76" s="5"/>
      <c r="F76" s="7"/>
      <c r="G76" s="8"/>
      <c r="H76" s="13"/>
      <c r="I76" s="7"/>
      <c r="J76" s="8"/>
      <c r="K76" s="13"/>
      <c r="L76" s="12">
        <f>SUBTOTAL(9,L6:L73)</f>
        <v>112467200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zoomScale="96" zoomScaleNormal="96" zoomScalePageLayoutView="1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25" sqref="C25"/>
    </sheetView>
  </sheetViews>
  <sheetFormatPr defaultColWidth="8.85546875" defaultRowHeight="15" x14ac:dyDescent="0.25"/>
  <cols>
    <col min="1" max="1" width="31.7109375" style="4" customWidth="1"/>
    <col min="2" max="2" width="32.7109375" style="4" customWidth="1"/>
    <col min="3" max="3" width="50.42578125" style="4" customWidth="1"/>
    <col min="4" max="4" width="7.28515625" style="4" bestFit="1" customWidth="1"/>
    <col min="5" max="5" width="9.140625" style="4" customWidth="1"/>
    <col min="6" max="6" width="11" style="4" customWidth="1"/>
    <col min="7" max="7" width="12" style="4" customWidth="1"/>
    <col min="8" max="8" width="13.7109375" style="4" customWidth="1"/>
    <col min="9" max="9" width="11" style="4" customWidth="1"/>
    <col min="10" max="10" width="12" style="4" customWidth="1"/>
    <col min="11" max="12" width="13.7109375" style="4" customWidth="1"/>
    <col min="13" max="16384" width="8.85546875" style="4"/>
  </cols>
  <sheetData>
    <row r="1" spans="1:12" x14ac:dyDescent="0.25">
      <c r="D1" s="5"/>
      <c r="E1" s="5"/>
      <c r="G1" s="4" t="s">
        <v>0</v>
      </c>
      <c r="J1" s="6">
        <v>1.25</v>
      </c>
    </row>
    <row r="2" spans="1:12" x14ac:dyDescent="0.25">
      <c r="D2" s="5"/>
      <c r="E2" s="5"/>
      <c r="G2" s="4" t="s">
        <v>1</v>
      </c>
      <c r="J2" s="6">
        <v>0.1</v>
      </c>
    </row>
    <row r="3" spans="1:12" x14ac:dyDescent="0.25">
      <c r="D3" s="5"/>
      <c r="E3" s="5"/>
      <c r="J3" s="6"/>
    </row>
    <row r="4" spans="1:12" ht="30" x14ac:dyDescent="0.25">
      <c r="A4" s="9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</row>
    <row r="5" spans="1:12" x14ac:dyDescent="0.25">
      <c r="A5" s="4" t="s">
        <v>14</v>
      </c>
      <c r="B5" s="4" t="s">
        <v>15</v>
      </c>
      <c r="C5" s="4" t="s">
        <v>16</v>
      </c>
      <c r="D5" s="5">
        <v>6</v>
      </c>
      <c r="E5" s="5">
        <v>2015</v>
      </c>
      <c r="F5" s="7">
        <v>16750</v>
      </c>
      <c r="G5" s="8">
        <v>164</v>
      </c>
      <c r="H5" s="13">
        <f t="shared" ref="H5:H50" si="0">F5*G5</f>
        <v>2747000</v>
      </c>
      <c r="I5" s="7">
        <v>93</v>
      </c>
      <c r="J5" s="8">
        <f t="shared" ref="J5:J50" si="1">ROUND(G5*RetailRate,0)</f>
        <v>205</v>
      </c>
      <c r="K5" s="13">
        <f t="shared" ref="K5:K50" si="2">I5*J5</f>
        <v>19065</v>
      </c>
      <c r="L5" s="12">
        <f t="shared" ref="L5:L50" si="3">H5+K5</f>
        <v>2766065</v>
      </c>
    </row>
    <row r="6" spans="1:12" x14ac:dyDescent="0.25">
      <c r="A6" s="4" t="s">
        <v>14</v>
      </c>
      <c r="B6" s="4" t="s">
        <v>17</v>
      </c>
      <c r="C6" s="4" t="s">
        <v>18</v>
      </c>
      <c r="D6" s="5">
        <v>8</v>
      </c>
      <c r="E6" s="5">
        <v>2015</v>
      </c>
      <c r="F6" s="7">
        <v>12345</v>
      </c>
      <c r="G6" s="8">
        <v>88</v>
      </c>
      <c r="H6" s="13">
        <f t="shared" si="0"/>
        <v>1086360</v>
      </c>
      <c r="I6" s="7">
        <v>240</v>
      </c>
      <c r="J6" s="8">
        <f t="shared" si="1"/>
        <v>110</v>
      </c>
      <c r="K6" s="13">
        <f t="shared" si="2"/>
        <v>26400</v>
      </c>
      <c r="L6" s="12">
        <f t="shared" si="3"/>
        <v>1112760</v>
      </c>
    </row>
    <row r="7" spans="1:12" x14ac:dyDescent="0.25">
      <c r="A7" s="4" t="s">
        <v>19</v>
      </c>
      <c r="B7" s="4" t="s">
        <v>20</v>
      </c>
      <c r="C7" s="4" t="s">
        <v>21</v>
      </c>
      <c r="D7" s="5">
        <v>4</v>
      </c>
      <c r="E7" s="5">
        <v>2017</v>
      </c>
      <c r="F7" s="7">
        <v>7500</v>
      </c>
      <c r="G7" s="8">
        <v>212</v>
      </c>
      <c r="H7" s="13">
        <f t="shared" si="0"/>
        <v>1590000</v>
      </c>
      <c r="I7" s="7">
        <v>100</v>
      </c>
      <c r="J7" s="8">
        <f t="shared" si="1"/>
        <v>265</v>
      </c>
      <c r="K7" s="13">
        <f t="shared" si="2"/>
        <v>26500</v>
      </c>
      <c r="L7" s="12">
        <f t="shared" si="3"/>
        <v>1616500</v>
      </c>
    </row>
    <row r="8" spans="1:12" x14ac:dyDescent="0.25">
      <c r="A8" s="4" t="s">
        <v>19</v>
      </c>
      <c r="B8" s="4" t="s">
        <v>20</v>
      </c>
      <c r="C8" s="4" t="s">
        <v>22</v>
      </c>
      <c r="D8" s="5">
        <v>1</v>
      </c>
      <c r="E8" s="5">
        <v>2016</v>
      </c>
      <c r="F8" s="7">
        <v>14300</v>
      </c>
      <c r="G8" s="8">
        <v>185</v>
      </c>
      <c r="H8" s="13">
        <f t="shared" si="0"/>
        <v>2645500</v>
      </c>
      <c r="I8" s="7">
        <v>1000</v>
      </c>
      <c r="J8" s="8">
        <f t="shared" si="1"/>
        <v>231</v>
      </c>
      <c r="K8" s="13">
        <f t="shared" si="2"/>
        <v>231000</v>
      </c>
      <c r="L8" s="12">
        <f t="shared" si="3"/>
        <v>2876500</v>
      </c>
    </row>
    <row r="9" spans="1:12" x14ac:dyDescent="0.25">
      <c r="A9" s="4" t="s">
        <v>14</v>
      </c>
      <c r="B9" s="4" t="s">
        <v>23</v>
      </c>
      <c r="C9" s="4" t="s">
        <v>24</v>
      </c>
      <c r="D9" s="5">
        <v>13</v>
      </c>
      <c r="E9" s="5">
        <v>2017</v>
      </c>
      <c r="F9" s="7">
        <v>12400</v>
      </c>
      <c r="G9" s="8">
        <v>194</v>
      </c>
      <c r="H9" s="13">
        <f t="shared" si="0"/>
        <v>2405600</v>
      </c>
      <c r="I9" s="7">
        <v>100</v>
      </c>
      <c r="J9" s="8">
        <f t="shared" si="1"/>
        <v>243</v>
      </c>
      <c r="K9" s="13">
        <f t="shared" si="2"/>
        <v>24300</v>
      </c>
      <c r="L9" s="12">
        <f t="shared" si="3"/>
        <v>2429900</v>
      </c>
    </row>
    <row r="10" spans="1:12" x14ac:dyDescent="0.25">
      <c r="A10" s="4" t="s">
        <v>25</v>
      </c>
      <c r="B10" s="4" t="s">
        <v>26</v>
      </c>
      <c r="C10" s="4" t="s">
        <v>27</v>
      </c>
      <c r="D10" s="5">
        <v>4</v>
      </c>
      <c r="E10" s="5">
        <v>2017</v>
      </c>
      <c r="F10" s="7">
        <v>25750</v>
      </c>
      <c r="G10" s="8">
        <v>208</v>
      </c>
      <c r="H10" s="13">
        <f t="shared" si="0"/>
        <v>5356000</v>
      </c>
      <c r="I10" s="7">
        <v>1234</v>
      </c>
      <c r="J10" s="8">
        <f t="shared" si="1"/>
        <v>260</v>
      </c>
      <c r="K10" s="13">
        <f t="shared" si="2"/>
        <v>320840</v>
      </c>
      <c r="L10" s="12">
        <f t="shared" si="3"/>
        <v>5676840</v>
      </c>
    </row>
    <row r="11" spans="1:12" x14ac:dyDescent="0.25">
      <c r="A11" s="4" t="s">
        <v>28</v>
      </c>
      <c r="B11" s="4" t="s">
        <v>29</v>
      </c>
      <c r="C11" s="4" t="s">
        <v>30</v>
      </c>
      <c r="D11" s="5">
        <v>10</v>
      </c>
      <c r="E11" s="5">
        <v>2014</v>
      </c>
      <c r="F11" s="7">
        <v>5575</v>
      </c>
      <c r="G11" s="8">
        <v>266</v>
      </c>
      <c r="H11" s="13">
        <f t="shared" si="0"/>
        <v>1482950</v>
      </c>
      <c r="I11" s="7">
        <v>32</v>
      </c>
      <c r="J11" s="8">
        <f t="shared" si="1"/>
        <v>333</v>
      </c>
      <c r="K11" s="13">
        <f t="shared" si="2"/>
        <v>10656</v>
      </c>
      <c r="L11" s="12">
        <f t="shared" si="3"/>
        <v>1493606</v>
      </c>
    </row>
    <row r="12" spans="1:12" x14ac:dyDescent="0.25">
      <c r="A12" s="4" t="s">
        <v>28</v>
      </c>
      <c r="B12" s="4" t="s">
        <v>31</v>
      </c>
      <c r="C12" s="4" t="s">
        <v>32</v>
      </c>
      <c r="D12" s="5">
        <v>6</v>
      </c>
      <c r="E12" s="5">
        <v>2017</v>
      </c>
      <c r="F12" s="7">
        <v>18500</v>
      </c>
      <c r="G12" s="8">
        <v>219</v>
      </c>
      <c r="H12" s="13">
        <f t="shared" si="0"/>
        <v>4051500</v>
      </c>
      <c r="I12" s="7">
        <v>245</v>
      </c>
      <c r="J12" s="8">
        <f t="shared" si="1"/>
        <v>274</v>
      </c>
      <c r="K12" s="13">
        <f t="shared" si="2"/>
        <v>67130</v>
      </c>
      <c r="L12" s="12">
        <f t="shared" si="3"/>
        <v>4118630</v>
      </c>
    </row>
    <row r="13" spans="1:12" x14ac:dyDescent="0.25">
      <c r="A13" s="4" t="s">
        <v>28</v>
      </c>
      <c r="B13" s="4" t="s">
        <v>29</v>
      </c>
      <c r="C13" s="4" t="s">
        <v>33</v>
      </c>
      <c r="D13" s="5">
        <v>11</v>
      </c>
      <c r="E13" s="5">
        <v>2017</v>
      </c>
      <c r="F13" s="7">
        <v>5893</v>
      </c>
      <c r="G13" s="8">
        <v>230</v>
      </c>
      <c r="H13" s="13">
        <f t="shared" si="0"/>
        <v>1355390</v>
      </c>
      <c r="I13" s="7">
        <v>93</v>
      </c>
      <c r="J13" s="8">
        <f t="shared" si="1"/>
        <v>288</v>
      </c>
      <c r="K13" s="13">
        <f t="shared" si="2"/>
        <v>26784</v>
      </c>
      <c r="L13" s="12">
        <f t="shared" si="3"/>
        <v>1382174</v>
      </c>
    </row>
    <row r="14" spans="1:12" x14ac:dyDescent="0.25">
      <c r="A14" s="4" t="s">
        <v>28</v>
      </c>
      <c r="B14" s="4" t="s">
        <v>29</v>
      </c>
      <c r="C14" s="4" t="s">
        <v>34</v>
      </c>
      <c r="D14" s="5">
        <v>5</v>
      </c>
      <c r="E14" s="5">
        <v>2014</v>
      </c>
      <c r="F14" s="7">
        <v>7503</v>
      </c>
      <c r="G14" s="8">
        <v>185</v>
      </c>
      <c r="H14" s="13">
        <f t="shared" si="0"/>
        <v>1388055</v>
      </c>
      <c r="I14" s="7">
        <v>29</v>
      </c>
      <c r="J14" s="8">
        <f t="shared" si="1"/>
        <v>231</v>
      </c>
      <c r="K14" s="13">
        <f t="shared" si="2"/>
        <v>6699</v>
      </c>
      <c r="L14" s="12">
        <f t="shared" si="3"/>
        <v>1394754</v>
      </c>
    </row>
    <row r="15" spans="1:12" x14ac:dyDescent="0.25">
      <c r="A15" s="4" t="s">
        <v>19</v>
      </c>
      <c r="B15" s="4" t="s">
        <v>35</v>
      </c>
      <c r="C15" s="4" t="s">
        <v>36</v>
      </c>
      <c r="D15" s="5">
        <v>5</v>
      </c>
      <c r="E15" s="5">
        <v>2017</v>
      </c>
      <c r="F15" s="7">
        <v>4500</v>
      </c>
      <c r="G15" s="8">
        <v>275</v>
      </c>
      <c r="H15" s="13">
        <f t="shared" si="0"/>
        <v>1237500</v>
      </c>
      <c r="I15" s="7">
        <v>312</v>
      </c>
      <c r="J15" s="8">
        <f t="shared" si="1"/>
        <v>344</v>
      </c>
      <c r="K15" s="13">
        <f t="shared" si="2"/>
        <v>107328</v>
      </c>
      <c r="L15" s="12">
        <f t="shared" si="3"/>
        <v>1344828</v>
      </c>
    </row>
    <row r="16" spans="1:12" x14ac:dyDescent="0.25">
      <c r="A16" s="4" t="s">
        <v>19</v>
      </c>
      <c r="B16" s="4" t="s">
        <v>20</v>
      </c>
      <c r="C16" s="4" t="s">
        <v>37</v>
      </c>
      <c r="D16" s="5">
        <v>8</v>
      </c>
      <c r="E16" s="5">
        <v>2017</v>
      </c>
      <c r="F16" s="7">
        <v>25000</v>
      </c>
      <c r="G16" s="8">
        <v>192</v>
      </c>
      <c r="H16" s="13">
        <f t="shared" si="0"/>
        <v>4800000</v>
      </c>
      <c r="I16" s="7">
        <v>123</v>
      </c>
      <c r="J16" s="8">
        <f t="shared" si="1"/>
        <v>240</v>
      </c>
      <c r="K16" s="13">
        <f t="shared" si="2"/>
        <v>29520</v>
      </c>
      <c r="L16" s="12">
        <f t="shared" si="3"/>
        <v>4829520</v>
      </c>
    </row>
    <row r="17" spans="1:12" x14ac:dyDescent="0.25">
      <c r="A17" s="4" t="s">
        <v>19</v>
      </c>
      <c r="B17" s="4" t="s">
        <v>38</v>
      </c>
      <c r="C17" s="4" t="s">
        <v>39</v>
      </c>
      <c r="D17" s="5">
        <v>2</v>
      </c>
      <c r="E17" s="5">
        <v>2016</v>
      </c>
      <c r="F17" s="7">
        <v>14398</v>
      </c>
      <c r="G17" s="8">
        <v>182</v>
      </c>
      <c r="H17" s="13">
        <f t="shared" si="0"/>
        <v>2620436</v>
      </c>
      <c r="I17" s="7">
        <v>212</v>
      </c>
      <c r="J17" s="8">
        <f t="shared" si="1"/>
        <v>228</v>
      </c>
      <c r="K17" s="13">
        <f t="shared" si="2"/>
        <v>48336</v>
      </c>
      <c r="L17" s="12">
        <f t="shared" si="3"/>
        <v>2668772</v>
      </c>
    </row>
    <row r="18" spans="1:12" x14ac:dyDescent="0.25">
      <c r="A18" s="4" t="s">
        <v>40</v>
      </c>
      <c r="B18" s="4" t="s">
        <v>41</v>
      </c>
      <c r="C18" s="4" t="s">
        <v>42</v>
      </c>
      <c r="D18" s="5">
        <v>12</v>
      </c>
      <c r="E18" s="5">
        <v>2017</v>
      </c>
      <c r="F18" s="7">
        <v>9245</v>
      </c>
      <c r="G18" s="8">
        <v>215</v>
      </c>
      <c r="H18" s="13">
        <f t="shared" si="0"/>
        <v>1987675</v>
      </c>
      <c r="I18" s="7">
        <v>218</v>
      </c>
      <c r="J18" s="8">
        <f t="shared" si="1"/>
        <v>269</v>
      </c>
      <c r="K18" s="13">
        <f t="shared" si="2"/>
        <v>58642</v>
      </c>
      <c r="L18" s="12">
        <f t="shared" si="3"/>
        <v>2046317</v>
      </c>
    </row>
    <row r="19" spans="1:12" x14ac:dyDescent="0.25">
      <c r="A19" s="4" t="s">
        <v>14</v>
      </c>
      <c r="B19" s="4" t="s">
        <v>17</v>
      </c>
      <c r="C19" s="4" t="s">
        <v>43</v>
      </c>
      <c r="D19" s="5">
        <v>5</v>
      </c>
      <c r="E19" s="5">
        <v>2016</v>
      </c>
      <c r="F19" s="7">
        <v>22875</v>
      </c>
      <c r="G19" s="8">
        <v>130</v>
      </c>
      <c r="H19" s="13">
        <f t="shared" si="0"/>
        <v>2973750</v>
      </c>
      <c r="I19" s="7">
        <v>1000</v>
      </c>
      <c r="J19" s="8">
        <f t="shared" si="1"/>
        <v>163</v>
      </c>
      <c r="K19" s="13">
        <f t="shared" si="2"/>
        <v>163000</v>
      </c>
      <c r="L19" s="12">
        <f t="shared" si="3"/>
        <v>3136750</v>
      </c>
    </row>
    <row r="20" spans="1:12" x14ac:dyDescent="0.25">
      <c r="A20" s="4" t="s">
        <v>44</v>
      </c>
      <c r="B20" s="4" t="s">
        <v>45</v>
      </c>
      <c r="C20" s="4" t="s">
        <v>46</v>
      </c>
      <c r="D20" s="5">
        <v>2</v>
      </c>
      <c r="E20" s="5">
        <v>2016</v>
      </c>
      <c r="F20" s="7">
        <v>32400</v>
      </c>
      <c r="G20" s="8">
        <v>110</v>
      </c>
      <c r="H20" s="13">
        <f t="shared" si="0"/>
        <v>3564000</v>
      </c>
      <c r="I20" s="7">
        <v>1309</v>
      </c>
      <c r="J20" s="8">
        <f t="shared" si="1"/>
        <v>138</v>
      </c>
      <c r="K20" s="13">
        <f t="shared" si="2"/>
        <v>180642</v>
      </c>
      <c r="L20" s="12">
        <f t="shared" si="3"/>
        <v>3744642</v>
      </c>
    </row>
    <row r="21" spans="1:12" x14ac:dyDescent="0.25">
      <c r="A21" s="4" t="s">
        <v>44</v>
      </c>
      <c r="B21" s="4" t="s">
        <v>45</v>
      </c>
      <c r="C21" s="4" t="s">
        <v>44</v>
      </c>
      <c r="D21" s="5">
        <v>13</v>
      </c>
      <c r="E21" s="5">
        <v>2017</v>
      </c>
      <c r="F21" s="7">
        <v>22418</v>
      </c>
      <c r="G21" s="8">
        <v>218</v>
      </c>
      <c r="H21" s="13">
        <f t="shared" si="0"/>
        <v>4887124</v>
      </c>
      <c r="I21" s="7">
        <v>45</v>
      </c>
      <c r="J21" s="8">
        <f t="shared" si="1"/>
        <v>273</v>
      </c>
      <c r="K21" s="13">
        <f t="shared" si="2"/>
        <v>12285</v>
      </c>
      <c r="L21" s="12">
        <f t="shared" si="3"/>
        <v>4899409</v>
      </c>
    </row>
    <row r="22" spans="1:12" x14ac:dyDescent="0.25">
      <c r="A22" s="4" t="s">
        <v>28</v>
      </c>
      <c r="B22" s="4" t="s">
        <v>29</v>
      </c>
      <c r="C22" s="4" t="s">
        <v>47</v>
      </c>
      <c r="D22" s="5">
        <v>6</v>
      </c>
      <c r="E22" s="5">
        <v>2016</v>
      </c>
      <c r="F22" s="7">
        <v>3400</v>
      </c>
      <c r="G22" s="8">
        <v>204</v>
      </c>
      <c r="H22" s="13">
        <f t="shared" si="0"/>
        <v>693600</v>
      </c>
      <c r="I22" s="7">
        <v>24</v>
      </c>
      <c r="J22" s="8">
        <f t="shared" si="1"/>
        <v>255</v>
      </c>
      <c r="K22" s="13">
        <f t="shared" si="2"/>
        <v>6120</v>
      </c>
      <c r="L22" s="12">
        <f t="shared" si="3"/>
        <v>699720</v>
      </c>
    </row>
    <row r="23" spans="1:12" x14ac:dyDescent="0.25">
      <c r="A23" s="4" t="s">
        <v>44</v>
      </c>
      <c r="B23" s="4" t="s">
        <v>45</v>
      </c>
      <c r="C23" s="4" t="s">
        <v>48</v>
      </c>
      <c r="D23" s="5">
        <v>5</v>
      </c>
      <c r="E23" s="5">
        <v>2015</v>
      </c>
      <c r="F23" s="7">
        <v>11875</v>
      </c>
      <c r="G23" s="8">
        <v>145</v>
      </c>
      <c r="H23" s="13">
        <f t="shared" si="0"/>
        <v>1721875</v>
      </c>
      <c r="I23" s="7">
        <v>1200</v>
      </c>
      <c r="J23" s="8">
        <f t="shared" si="1"/>
        <v>181</v>
      </c>
      <c r="K23" s="13">
        <f t="shared" si="2"/>
        <v>217200</v>
      </c>
      <c r="L23" s="12">
        <f t="shared" si="3"/>
        <v>1939075</v>
      </c>
    </row>
    <row r="24" spans="1:12" x14ac:dyDescent="0.25">
      <c r="A24" s="4" t="s">
        <v>25</v>
      </c>
      <c r="B24" s="4" t="s">
        <v>49</v>
      </c>
      <c r="C24" s="4" t="s">
        <v>50</v>
      </c>
      <c r="D24" s="5">
        <v>3</v>
      </c>
      <c r="E24" s="5">
        <v>2016</v>
      </c>
      <c r="F24" s="7">
        <v>5500</v>
      </c>
      <c r="G24" s="8">
        <v>244</v>
      </c>
      <c r="H24" s="13">
        <f t="shared" si="0"/>
        <v>1342000</v>
      </c>
      <c r="I24" s="7">
        <v>114</v>
      </c>
      <c r="J24" s="8">
        <f t="shared" si="1"/>
        <v>305</v>
      </c>
      <c r="K24" s="13">
        <f t="shared" si="2"/>
        <v>34770</v>
      </c>
      <c r="L24" s="12">
        <f t="shared" si="3"/>
        <v>1376770</v>
      </c>
    </row>
    <row r="25" spans="1:12" x14ac:dyDescent="0.25">
      <c r="A25" s="4" t="s">
        <v>40</v>
      </c>
      <c r="B25" s="4" t="s">
        <v>41</v>
      </c>
      <c r="C25" s="4" t="s">
        <v>51</v>
      </c>
      <c r="D25" s="5">
        <v>2</v>
      </c>
      <c r="E25" s="5">
        <v>2016</v>
      </c>
      <c r="F25" s="7">
        <v>5387</v>
      </c>
      <c r="G25" s="8">
        <v>182</v>
      </c>
      <c r="H25" s="13">
        <f t="shared" si="0"/>
        <v>980434</v>
      </c>
      <c r="I25" s="7">
        <v>34</v>
      </c>
      <c r="J25" s="8">
        <f t="shared" si="1"/>
        <v>228</v>
      </c>
      <c r="K25" s="13">
        <f t="shared" si="2"/>
        <v>7752</v>
      </c>
      <c r="L25" s="12">
        <f t="shared" si="3"/>
        <v>988186</v>
      </c>
    </row>
    <row r="26" spans="1:12" x14ac:dyDescent="0.25">
      <c r="A26" s="4" t="s">
        <v>40</v>
      </c>
      <c r="B26" s="4" t="s">
        <v>52</v>
      </c>
      <c r="C26" s="4" t="s">
        <v>53</v>
      </c>
      <c r="D26" s="5">
        <v>12</v>
      </c>
      <c r="E26" s="5">
        <v>2017</v>
      </c>
      <c r="F26" s="7">
        <v>37400</v>
      </c>
      <c r="G26" s="8">
        <v>206</v>
      </c>
      <c r="H26" s="13">
        <f t="shared" si="0"/>
        <v>7704400</v>
      </c>
      <c r="I26" s="7">
        <v>1000</v>
      </c>
      <c r="J26" s="8">
        <f t="shared" si="1"/>
        <v>258</v>
      </c>
      <c r="K26" s="13">
        <f t="shared" si="2"/>
        <v>258000</v>
      </c>
      <c r="L26" s="12">
        <f t="shared" si="3"/>
        <v>7962400</v>
      </c>
    </row>
    <row r="27" spans="1:12" x14ac:dyDescent="0.25">
      <c r="A27" s="4" t="s">
        <v>14</v>
      </c>
      <c r="B27" s="4" t="s">
        <v>15</v>
      </c>
      <c r="C27" s="4" t="s">
        <v>54</v>
      </c>
      <c r="D27" s="5">
        <v>8</v>
      </c>
      <c r="E27" s="5">
        <v>2017</v>
      </c>
      <c r="F27" s="7">
        <v>21230</v>
      </c>
      <c r="G27" s="8">
        <v>183</v>
      </c>
      <c r="H27" s="13">
        <f t="shared" si="0"/>
        <v>3885090</v>
      </c>
      <c r="I27" s="7">
        <v>1200</v>
      </c>
      <c r="J27" s="8">
        <f t="shared" si="1"/>
        <v>229</v>
      </c>
      <c r="K27" s="13">
        <f t="shared" si="2"/>
        <v>274800</v>
      </c>
      <c r="L27" s="12">
        <f t="shared" si="3"/>
        <v>4159890</v>
      </c>
    </row>
    <row r="28" spans="1:12" x14ac:dyDescent="0.25">
      <c r="A28" s="4" t="s">
        <v>55</v>
      </c>
      <c r="B28" s="4" t="s">
        <v>56</v>
      </c>
      <c r="C28" s="4" t="s">
        <v>57</v>
      </c>
      <c r="D28" s="5">
        <v>4</v>
      </c>
      <c r="E28" s="5">
        <v>2016</v>
      </c>
      <c r="F28" s="7">
        <v>9575</v>
      </c>
      <c r="G28" s="8">
        <v>188</v>
      </c>
      <c r="H28" s="13">
        <f t="shared" si="0"/>
        <v>1800100</v>
      </c>
      <c r="I28" s="7">
        <v>43</v>
      </c>
      <c r="J28" s="8">
        <f t="shared" si="1"/>
        <v>235</v>
      </c>
      <c r="K28" s="13">
        <f t="shared" si="2"/>
        <v>10105</v>
      </c>
      <c r="L28" s="12">
        <f t="shared" si="3"/>
        <v>1810205</v>
      </c>
    </row>
    <row r="29" spans="1:12" x14ac:dyDescent="0.25">
      <c r="A29" s="4" t="s">
        <v>14</v>
      </c>
      <c r="B29" s="4" t="s">
        <v>17</v>
      </c>
      <c r="C29" s="4" t="s">
        <v>58</v>
      </c>
      <c r="D29" s="5">
        <v>9</v>
      </c>
      <c r="E29" s="5">
        <v>2015</v>
      </c>
      <c r="F29" s="7">
        <v>4575</v>
      </c>
      <c r="G29" s="8">
        <v>156</v>
      </c>
      <c r="H29" s="13">
        <f t="shared" si="0"/>
        <v>713700</v>
      </c>
      <c r="I29" s="7">
        <v>63</v>
      </c>
      <c r="J29" s="8">
        <f t="shared" si="1"/>
        <v>195</v>
      </c>
      <c r="K29" s="13">
        <f t="shared" si="2"/>
        <v>12285</v>
      </c>
      <c r="L29" s="12">
        <f t="shared" si="3"/>
        <v>725985</v>
      </c>
    </row>
    <row r="30" spans="1:12" x14ac:dyDescent="0.25">
      <c r="A30" s="4" t="s">
        <v>55</v>
      </c>
      <c r="B30" s="4" t="s">
        <v>56</v>
      </c>
      <c r="C30" s="4" t="s">
        <v>59</v>
      </c>
      <c r="D30" s="5">
        <v>6</v>
      </c>
      <c r="E30" s="5">
        <v>2017</v>
      </c>
      <c r="F30" s="7">
        <v>12435</v>
      </c>
      <c r="G30" s="8">
        <v>218</v>
      </c>
      <c r="H30" s="13">
        <f t="shared" si="0"/>
        <v>2710830</v>
      </c>
      <c r="I30" s="7">
        <v>142</v>
      </c>
      <c r="J30" s="8">
        <f t="shared" si="1"/>
        <v>273</v>
      </c>
      <c r="K30" s="13">
        <f t="shared" si="2"/>
        <v>38766</v>
      </c>
      <c r="L30" s="12">
        <f t="shared" si="3"/>
        <v>2749596</v>
      </c>
    </row>
    <row r="31" spans="1:12" x14ac:dyDescent="0.25">
      <c r="A31" s="4" t="s">
        <v>28</v>
      </c>
      <c r="B31" s="4" t="s">
        <v>31</v>
      </c>
      <c r="C31" s="4" t="s">
        <v>60</v>
      </c>
      <c r="D31" s="5">
        <v>8</v>
      </c>
      <c r="E31" s="5">
        <v>2017</v>
      </c>
      <c r="F31" s="7">
        <v>11342</v>
      </c>
      <c r="G31" s="8">
        <v>217</v>
      </c>
      <c r="H31" s="13">
        <f t="shared" si="0"/>
        <v>2461214</v>
      </c>
      <c r="I31" s="7">
        <v>87</v>
      </c>
      <c r="J31" s="8">
        <f t="shared" si="1"/>
        <v>271</v>
      </c>
      <c r="K31" s="13">
        <f t="shared" si="2"/>
        <v>23577</v>
      </c>
      <c r="L31" s="12">
        <f t="shared" si="3"/>
        <v>2484791</v>
      </c>
    </row>
    <row r="32" spans="1:12" x14ac:dyDescent="0.25">
      <c r="A32" s="4" t="s">
        <v>55</v>
      </c>
      <c r="B32" s="4" t="s">
        <v>56</v>
      </c>
      <c r="C32" s="4" t="s">
        <v>61</v>
      </c>
      <c r="D32" s="5">
        <v>10</v>
      </c>
      <c r="E32" s="5">
        <v>2015</v>
      </c>
      <c r="F32" s="7">
        <v>3000</v>
      </c>
      <c r="G32" s="8">
        <v>225</v>
      </c>
      <c r="H32" s="13">
        <f t="shared" si="0"/>
        <v>675000</v>
      </c>
      <c r="I32" s="7">
        <v>418</v>
      </c>
      <c r="J32" s="8">
        <f t="shared" si="1"/>
        <v>281</v>
      </c>
      <c r="K32" s="13">
        <f t="shared" si="2"/>
        <v>117458</v>
      </c>
      <c r="L32" s="12">
        <f t="shared" si="3"/>
        <v>792458</v>
      </c>
    </row>
    <row r="33" spans="1:12" x14ac:dyDescent="0.25">
      <c r="A33" s="4" t="s">
        <v>55</v>
      </c>
      <c r="B33" s="4" t="s">
        <v>61</v>
      </c>
      <c r="C33" s="4" t="s">
        <v>62</v>
      </c>
      <c r="D33" s="5">
        <v>7</v>
      </c>
      <c r="E33" s="5">
        <v>2017</v>
      </c>
      <c r="F33" s="7">
        <v>12000</v>
      </c>
      <c r="G33" s="8">
        <v>265</v>
      </c>
      <c r="H33" s="13">
        <f t="shared" si="0"/>
        <v>3180000</v>
      </c>
      <c r="I33" s="7">
        <v>155</v>
      </c>
      <c r="J33" s="8">
        <f t="shared" si="1"/>
        <v>331</v>
      </c>
      <c r="K33" s="13">
        <f t="shared" si="2"/>
        <v>51305</v>
      </c>
      <c r="L33" s="12">
        <f t="shared" si="3"/>
        <v>3231305</v>
      </c>
    </row>
    <row r="34" spans="1:12" x14ac:dyDescent="0.25">
      <c r="A34" s="4" t="s">
        <v>44</v>
      </c>
      <c r="B34" s="4" t="s">
        <v>63</v>
      </c>
      <c r="C34" s="4" t="s">
        <v>64</v>
      </c>
      <c r="D34" s="5">
        <v>2</v>
      </c>
      <c r="E34" s="5">
        <v>2013</v>
      </c>
      <c r="F34" s="7">
        <v>11254</v>
      </c>
      <c r="G34" s="8">
        <v>118</v>
      </c>
      <c r="H34" s="13">
        <f t="shared" si="0"/>
        <v>1327972</v>
      </c>
      <c r="I34" s="7">
        <v>750</v>
      </c>
      <c r="J34" s="8">
        <f t="shared" si="1"/>
        <v>148</v>
      </c>
      <c r="K34" s="13">
        <f t="shared" si="2"/>
        <v>111000</v>
      </c>
      <c r="L34" s="12">
        <f t="shared" si="3"/>
        <v>1438972</v>
      </c>
    </row>
    <row r="35" spans="1:12" x14ac:dyDescent="0.25">
      <c r="A35" s="4" t="s">
        <v>19</v>
      </c>
      <c r="B35" s="4" t="s">
        <v>38</v>
      </c>
      <c r="C35" s="4" t="s">
        <v>65</v>
      </c>
      <c r="D35" s="5">
        <v>1</v>
      </c>
      <c r="E35" s="5">
        <v>2014</v>
      </c>
      <c r="F35" s="7">
        <v>9876</v>
      </c>
      <c r="G35" s="8">
        <v>155</v>
      </c>
      <c r="H35" s="13">
        <f t="shared" si="0"/>
        <v>1530780</v>
      </c>
      <c r="I35" s="7">
        <v>22</v>
      </c>
      <c r="J35" s="8">
        <f t="shared" si="1"/>
        <v>194</v>
      </c>
      <c r="K35" s="13">
        <f t="shared" si="2"/>
        <v>4268</v>
      </c>
      <c r="L35" s="12">
        <f t="shared" si="3"/>
        <v>1535048</v>
      </c>
    </row>
    <row r="36" spans="1:12" x14ac:dyDescent="0.25">
      <c r="A36" s="4" t="s">
        <v>44</v>
      </c>
      <c r="B36" s="4" t="s">
        <v>45</v>
      </c>
      <c r="C36" s="4" t="s">
        <v>66</v>
      </c>
      <c r="D36" s="5">
        <v>5</v>
      </c>
      <c r="E36" s="5">
        <v>2014</v>
      </c>
      <c r="F36" s="7">
        <v>23575</v>
      </c>
      <c r="G36" s="8">
        <v>125</v>
      </c>
      <c r="H36" s="13">
        <f t="shared" si="0"/>
        <v>2946875</v>
      </c>
      <c r="I36" s="7">
        <v>1245</v>
      </c>
      <c r="J36" s="8">
        <f t="shared" si="1"/>
        <v>156</v>
      </c>
      <c r="K36" s="13">
        <f t="shared" si="2"/>
        <v>194220</v>
      </c>
      <c r="L36" s="12">
        <f t="shared" si="3"/>
        <v>3141095</v>
      </c>
    </row>
    <row r="37" spans="1:12" x14ac:dyDescent="0.25">
      <c r="A37" s="4" t="s">
        <v>25</v>
      </c>
      <c r="B37" s="4" t="s">
        <v>26</v>
      </c>
      <c r="C37" s="4" t="s">
        <v>26</v>
      </c>
      <c r="D37" s="5">
        <v>5</v>
      </c>
      <c r="E37" s="5">
        <v>2015</v>
      </c>
      <c r="F37" s="7">
        <v>22345</v>
      </c>
      <c r="G37" s="8">
        <v>221</v>
      </c>
      <c r="H37" s="13">
        <f t="shared" si="0"/>
        <v>4938245</v>
      </c>
      <c r="I37" s="7">
        <v>732</v>
      </c>
      <c r="J37" s="8">
        <f t="shared" si="1"/>
        <v>276</v>
      </c>
      <c r="K37" s="13">
        <f t="shared" si="2"/>
        <v>202032</v>
      </c>
      <c r="L37" s="12">
        <f t="shared" si="3"/>
        <v>5140277</v>
      </c>
    </row>
    <row r="38" spans="1:12" x14ac:dyDescent="0.25">
      <c r="A38" s="4" t="s">
        <v>40</v>
      </c>
      <c r="B38" s="4" t="s">
        <v>52</v>
      </c>
      <c r="C38" s="4" t="s">
        <v>67</v>
      </c>
      <c r="D38" s="5">
        <v>3</v>
      </c>
      <c r="E38" s="5">
        <v>2015</v>
      </c>
      <c r="F38" s="7">
        <v>2750</v>
      </c>
      <c r="G38" s="8">
        <v>165</v>
      </c>
      <c r="H38" s="13">
        <f t="shared" si="0"/>
        <v>453750</v>
      </c>
      <c r="I38" s="7">
        <v>83</v>
      </c>
      <c r="J38" s="8">
        <f t="shared" si="1"/>
        <v>206</v>
      </c>
      <c r="K38" s="13">
        <f t="shared" si="2"/>
        <v>17098</v>
      </c>
      <c r="L38" s="12">
        <f t="shared" si="3"/>
        <v>470848</v>
      </c>
    </row>
    <row r="39" spans="1:12" x14ac:dyDescent="0.25">
      <c r="A39" s="4" t="s">
        <v>14</v>
      </c>
      <c r="B39" s="4" t="s">
        <v>23</v>
      </c>
      <c r="C39" s="4" t="s">
        <v>68</v>
      </c>
      <c r="D39" s="5">
        <v>3</v>
      </c>
      <c r="E39" s="5">
        <v>2015</v>
      </c>
      <c r="F39" s="7">
        <v>4500</v>
      </c>
      <c r="G39" s="8">
        <v>125</v>
      </c>
      <c r="H39" s="13">
        <f t="shared" si="0"/>
        <v>562500</v>
      </c>
      <c r="I39" s="7">
        <v>12</v>
      </c>
      <c r="J39" s="8">
        <f t="shared" si="1"/>
        <v>156</v>
      </c>
      <c r="K39" s="13">
        <f t="shared" si="2"/>
        <v>1872</v>
      </c>
      <c r="L39" s="12">
        <f t="shared" si="3"/>
        <v>564372</v>
      </c>
    </row>
    <row r="40" spans="1:12" x14ac:dyDescent="0.25">
      <c r="A40" s="4" t="s">
        <v>28</v>
      </c>
      <c r="B40" s="4" t="s">
        <v>69</v>
      </c>
      <c r="C40" s="4" t="s">
        <v>70</v>
      </c>
      <c r="D40" s="5">
        <v>12</v>
      </c>
      <c r="E40" s="5">
        <v>2016</v>
      </c>
      <c r="F40" s="7">
        <v>8590</v>
      </c>
      <c r="G40" s="8">
        <v>236</v>
      </c>
      <c r="H40" s="13">
        <f t="shared" si="0"/>
        <v>2027240</v>
      </c>
      <c r="I40" s="7">
        <v>48</v>
      </c>
      <c r="J40" s="8">
        <f t="shared" si="1"/>
        <v>295</v>
      </c>
      <c r="K40" s="13">
        <f t="shared" si="2"/>
        <v>14160</v>
      </c>
      <c r="L40" s="12">
        <f t="shared" si="3"/>
        <v>2041400</v>
      </c>
    </row>
    <row r="41" spans="1:12" x14ac:dyDescent="0.25">
      <c r="A41" s="4" t="s">
        <v>28</v>
      </c>
      <c r="B41" s="4" t="s">
        <v>69</v>
      </c>
      <c r="C41" s="4" t="s">
        <v>71</v>
      </c>
      <c r="D41" s="5">
        <v>9</v>
      </c>
      <c r="E41" s="5">
        <v>2016</v>
      </c>
      <c r="F41" s="7">
        <v>5837</v>
      </c>
      <c r="G41" s="8">
        <v>186</v>
      </c>
      <c r="H41" s="13">
        <f t="shared" si="0"/>
        <v>1085682</v>
      </c>
      <c r="I41" s="7">
        <v>632</v>
      </c>
      <c r="J41" s="8">
        <f t="shared" si="1"/>
        <v>233</v>
      </c>
      <c r="K41" s="13">
        <f t="shared" si="2"/>
        <v>147256</v>
      </c>
      <c r="L41" s="12">
        <f t="shared" si="3"/>
        <v>1232938</v>
      </c>
    </row>
    <row r="42" spans="1:12" x14ac:dyDescent="0.25">
      <c r="A42" s="4" t="s">
        <v>44</v>
      </c>
      <c r="B42" s="4" t="s">
        <v>63</v>
      </c>
      <c r="C42" s="4" t="s">
        <v>72</v>
      </c>
      <c r="D42" s="5">
        <v>10</v>
      </c>
      <c r="E42" s="5">
        <v>2014</v>
      </c>
      <c r="F42" s="7">
        <v>7500</v>
      </c>
      <c r="G42" s="8">
        <v>195</v>
      </c>
      <c r="H42" s="13">
        <f t="shared" si="0"/>
        <v>1462500</v>
      </c>
      <c r="I42" s="7">
        <v>53</v>
      </c>
      <c r="J42" s="8">
        <f t="shared" si="1"/>
        <v>244</v>
      </c>
      <c r="K42" s="13">
        <f t="shared" si="2"/>
        <v>12932</v>
      </c>
      <c r="L42" s="12">
        <f t="shared" si="3"/>
        <v>1475432</v>
      </c>
    </row>
    <row r="43" spans="1:12" x14ac:dyDescent="0.25">
      <c r="A43" s="4" t="s">
        <v>25</v>
      </c>
      <c r="B43" s="4" t="s">
        <v>49</v>
      </c>
      <c r="C43" s="4" t="s">
        <v>49</v>
      </c>
      <c r="D43" s="5">
        <v>9</v>
      </c>
      <c r="E43" s="5">
        <v>2017</v>
      </c>
      <c r="F43" s="7">
        <v>3500</v>
      </c>
      <c r="G43" s="8">
        <v>310</v>
      </c>
      <c r="H43" s="13">
        <f t="shared" si="0"/>
        <v>1085000</v>
      </c>
      <c r="I43" s="7">
        <v>43</v>
      </c>
      <c r="J43" s="8">
        <f t="shared" si="1"/>
        <v>388</v>
      </c>
      <c r="K43" s="13">
        <f t="shared" si="2"/>
        <v>16684</v>
      </c>
      <c r="L43" s="12">
        <f t="shared" si="3"/>
        <v>1101684</v>
      </c>
    </row>
    <row r="44" spans="1:12" x14ac:dyDescent="0.25">
      <c r="A44" s="4" t="s">
        <v>14</v>
      </c>
      <c r="B44" s="4" t="s">
        <v>15</v>
      </c>
      <c r="C44" s="4" t="s">
        <v>73</v>
      </c>
      <c r="D44" s="5">
        <v>2</v>
      </c>
      <c r="E44" s="5">
        <v>2014</v>
      </c>
      <c r="F44" s="7">
        <v>15374</v>
      </c>
      <c r="G44" s="8">
        <v>120</v>
      </c>
      <c r="H44" s="13">
        <f t="shared" si="0"/>
        <v>1844880</v>
      </c>
      <c r="I44" s="7">
        <v>110</v>
      </c>
      <c r="J44" s="8">
        <f t="shared" si="1"/>
        <v>150</v>
      </c>
      <c r="K44" s="13">
        <f t="shared" si="2"/>
        <v>16500</v>
      </c>
      <c r="L44" s="12">
        <f t="shared" si="3"/>
        <v>1861380</v>
      </c>
    </row>
    <row r="45" spans="1:12" x14ac:dyDescent="0.25">
      <c r="A45" s="4" t="s">
        <v>19</v>
      </c>
      <c r="B45" s="4" t="s">
        <v>35</v>
      </c>
      <c r="C45" s="4" t="s">
        <v>74</v>
      </c>
      <c r="D45" s="5">
        <v>3</v>
      </c>
      <c r="E45" s="5">
        <v>2017</v>
      </c>
      <c r="F45" s="7">
        <v>20300</v>
      </c>
      <c r="G45" s="8">
        <v>298</v>
      </c>
      <c r="H45" s="13">
        <f t="shared" si="0"/>
        <v>6049400</v>
      </c>
      <c r="I45" s="7">
        <v>118</v>
      </c>
      <c r="J45" s="8">
        <f t="shared" si="1"/>
        <v>373</v>
      </c>
      <c r="K45" s="13">
        <f t="shared" si="2"/>
        <v>44014</v>
      </c>
      <c r="L45" s="12">
        <f t="shared" si="3"/>
        <v>6093414</v>
      </c>
    </row>
    <row r="46" spans="1:12" x14ac:dyDescent="0.25">
      <c r="A46" s="4" t="s">
        <v>55</v>
      </c>
      <c r="B46" s="4" t="s">
        <v>61</v>
      </c>
      <c r="C46" s="4" t="s">
        <v>75</v>
      </c>
      <c r="D46" s="5">
        <v>6</v>
      </c>
      <c r="E46" s="5">
        <v>2016</v>
      </c>
      <c r="F46" s="7">
        <v>7532</v>
      </c>
      <c r="G46" s="8">
        <v>210</v>
      </c>
      <c r="H46" s="13">
        <f t="shared" si="0"/>
        <v>1581720</v>
      </c>
      <c r="I46" s="7">
        <v>83</v>
      </c>
      <c r="J46" s="8">
        <f t="shared" si="1"/>
        <v>263</v>
      </c>
      <c r="K46" s="13">
        <f t="shared" si="2"/>
        <v>21829</v>
      </c>
      <c r="L46" s="12">
        <f t="shared" si="3"/>
        <v>1603549</v>
      </c>
    </row>
    <row r="47" spans="1:12" x14ac:dyDescent="0.25">
      <c r="A47" s="4" t="s">
        <v>28</v>
      </c>
      <c r="B47" s="4" t="s">
        <v>69</v>
      </c>
      <c r="C47" s="4" t="s">
        <v>76</v>
      </c>
      <c r="D47" s="5">
        <v>5</v>
      </c>
      <c r="E47" s="5">
        <v>2003</v>
      </c>
      <c r="F47" s="7">
        <v>18750</v>
      </c>
      <c r="G47" s="8">
        <v>194</v>
      </c>
      <c r="H47" s="13">
        <f t="shared" si="0"/>
        <v>3637500</v>
      </c>
      <c r="I47" s="7">
        <v>1023</v>
      </c>
      <c r="J47" s="8">
        <f t="shared" si="1"/>
        <v>243</v>
      </c>
      <c r="K47" s="13">
        <f t="shared" si="2"/>
        <v>248589</v>
      </c>
      <c r="L47" s="12">
        <f t="shared" si="3"/>
        <v>3886089</v>
      </c>
    </row>
    <row r="48" spans="1:12" x14ac:dyDescent="0.25">
      <c r="A48" s="4" t="s">
        <v>19</v>
      </c>
      <c r="B48" s="4" t="s">
        <v>35</v>
      </c>
      <c r="C48" s="4" t="s">
        <v>77</v>
      </c>
      <c r="D48" s="5">
        <v>1</v>
      </c>
      <c r="E48" s="5">
        <v>2015</v>
      </c>
      <c r="F48" s="7">
        <v>11983</v>
      </c>
      <c r="G48" s="8">
        <v>66</v>
      </c>
      <c r="H48" s="13">
        <f t="shared" si="0"/>
        <v>790878</v>
      </c>
      <c r="I48" s="7">
        <v>93</v>
      </c>
      <c r="J48" s="8">
        <f t="shared" si="1"/>
        <v>83</v>
      </c>
      <c r="K48" s="13">
        <f t="shared" si="2"/>
        <v>7719</v>
      </c>
      <c r="L48" s="12">
        <f t="shared" si="3"/>
        <v>798597</v>
      </c>
    </row>
    <row r="49" spans="1:12" x14ac:dyDescent="0.25">
      <c r="A49" s="4" t="s">
        <v>14</v>
      </c>
      <c r="B49" s="4" t="s">
        <v>23</v>
      </c>
      <c r="C49" s="4" t="s">
        <v>78</v>
      </c>
      <c r="D49" s="5">
        <v>9</v>
      </c>
      <c r="E49" s="5">
        <v>2016</v>
      </c>
      <c r="F49" s="7">
        <v>4500</v>
      </c>
      <c r="G49" s="8">
        <v>175</v>
      </c>
      <c r="H49" s="13">
        <f t="shared" si="0"/>
        <v>787500</v>
      </c>
      <c r="I49" s="7">
        <v>251</v>
      </c>
      <c r="J49" s="8">
        <f t="shared" si="1"/>
        <v>219</v>
      </c>
      <c r="K49" s="13">
        <f t="shared" si="2"/>
        <v>54969</v>
      </c>
      <c r="L49" s="12">
        <f t="shared" si="3"/>
        <v>842469</v>
      </c>
    </row>
    <row r="50" spans="1:12" x14ac:dyDescent="0.25">
      <c r="A50" s="4" t="s">
        <v>19</v>
      </c>
      <c r="B50" s="4" t="s">
        <v>38</v>
      </c>
      <c r="C50" s="4" t="s">
        <v>79</v>
      </c>
      <c r="D50" s="5">
        <v>1</v>
      </c>
      <c r="E50" s="5">
        <v>2012</v>
      </c>
      <c r="F50" s="7">
        <v>20100</v>
      </c>
      <c r="G50" s="8">
        <v>125</v>
      </c>
      <c r="H50" s="13">
        <f t="shared" si="0"/>
        <v>2512500</v>
      </c>
      <c r="I50" s="7">
        <v>1723</v>
      </c>
      <c r="J50" s="8">
        <f t="shared" si="1"/>
        <v>156</v>
      </c>
      <c r="K50" s="13">
        <f t="shared" si="2"/>
        <v>268788</v>
      </c>
      <c r="L50" s="12">
        <f t="shared" si="3"/>
        <v>2781288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zoomScale="96" zoomScaleNormal="96" zoomScalePageLayoutView="180" workbookViewId="0">
      <pane xSplit="2" ySplit="4" topLeftCell="L5" activePane="bottomRight" state="frozen"/>
      <selection pane="topRight" activeCell="C1" sqref="C1"/>
      <selection pane="bottomLeft" activeCell="A5" sqref="A5"/>
      <selection pane="bottomRight" activeCell="N35" sqref="N35"/>
    </sheetView>
  </sheetViews>
  <sheetFormatPr defaultColWidth="8.85546875" defaultRowHeight="15" x14ac:dyDescent="0.25"/>
  <cols>
    <col min="1" max="1" width="31.7109375" style="4" customWidth="1"/>
    <col min="2" max="2" width="32.7109375" style="4" customWidth="1"/>
    <col min="3" max="3" width="50.42578125" style="4" customWidth="1"/>
    <col min="4" max="4" width="7.28515625" style="4" bestFit="1" customWidth="1"/>
    <col min="5" max="5" width="9.140625" style="4" customWidth="1"/>
    <col min="6" max="6" width="11" style="4" customWidth="1"/>
    <col min="7" max="7" width="12" style="4" customWidth="1"/>
    <col min="8" max="8" width="13.7109375" style="4" customWidth="1"/>
    <col min="9" max="9" width="11" style="4" customWidth="1"/>
    <col min="10" max="10" width="12" style="4" customWidth="1"/>
    <col min="11" max="12" width="13.7109375" style="4" customWidth="1"/>
    <col min="13" max="13" width="8.85546875" style="4"/>
    <col min="14" max="14" width="37.140625" style="4" bestFit="1" customWidth="1"/>
    <col min="15" max="15" width="22.42578125" style="4" bestFit="1" customWidth="1"/>
    <col min="16" max="16384" width="8.85546875" style="4"/>
  </cols>
  <sheetData>
    <row r="1" spans="1:16" x14ac:dyDescent="0.25">
      <c r="A1" s="95" t="s">
        <v>323</v>
      </c>
      <c r="D1" s="5"/>
      <c r="E1" s="5"/>
      <c r="G1" s="4" t="s">
        <v>0</v>
      </c>
      <c r="J1" s="6">
        <v>1.25</v>
      </c>
    </row>
    <row r="2" spans="1:16" x14ac:dyDescent="0.25">
      <c r="D2" s="5"/>
      <c r="E2" s="5"/>
      <c r="G2" s="4" t="s">
        <v>1</v>
      </c>
      <c r="J2" s="6">
        <v>0.1</v>
      </c>
    </row>
    <row r="3" spans="1:16" x14ac:dyDescent="0.25">
      <c r="D3" s="5"/>
      <c r="E3" s="5"/>
      <c r="J3" s="6"/>
    </row>
    <row r="4" spans="1:16" ht="30" x14ac:dyDescent="0.25">
      <c r="A4" s="9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</row>
    <row r="5" spans="1:16" x14ac:dyDescent="0.25">
      <c r="A5" s="4" t="s">
        <v>14</v>
      </c>
      <c r="B5" s="4" t="s">
        <v>15</v>
      </c>
      <c r="C5" s="4" t="s">
        <v>16</v>
      </c>
      <c r="D5" s="5">
        <v>6</v>
      </c>
      <c r="E5" s="5">
        <v>2015</v>
      </c>
      <c r="F5" s="7">
        <v>16750</v>
      </c>
      <c r="G5" s="8">
        <v>164</v>
      </c>
      <c r="H5" s="13">
        <f t="shared" ref="H5:H50" si="0">F5*G5</f>
        <v>2747000</v>
      </c>
      <c r="I5" s="7">
        <v>93</v>
      </c>
      <c r="J5" s="8">
        <f t="shared" ref="J5:J50" si="1">ROUND(G5*RetailRate,0)</f>
        <v>205</v>
      </c>
      <c r="K5" s="13">
        <f t="shared" ref="K5:K50" si="2">I5*J5</f>
        <v>19065</v>
      </c>
      <c r="L5" s="12">
        <f t="shared" ref="L5:L50" si="3">H5+K5</f>
        <v>2766065</v>
      </c>
    </row>
    <row r="6" spans="1:16" x14ac:dyDescent="0.25">
      <c r="A6" s="4" t="s">
        <v>14</v>
      </c>
      <c r="B6" s="4" t="s">
        <v>17</v>
      </c>
      <c r="C6" s="4" t="s">
        <v>18</v>
      </c>
      <c r="D6" s="5">
        <v>8</v>
      </c>
      <c r="E6" s="5">
        <v>2015</v>
      </c>
      <c r="F6" s="7">
        <v>12345</v>
      </c>
      <c r="G6" s="8">
        <v>88</v>
      </c>
      <c r="H6" s="13">
        <f t="shared" si="0"/>
        <v>1086360</v>
      </c>
      <c r="I6" s="7">
        <v>240</v>
      </c>
      <c r="J6" s="8">
        <f t="shared" si="1"/>
        <v>110</v>
      </c>
      <c r="K6" s="13">
        <f t="shared" si="2"/>
        <v>26400</v>
      </c>
      <c r="L6" s="12">
        <f t="shared" si="3"/>
        <v>1112760</v>
      </c>
      <c r="N6" s="97" t="s">
        <v>324</v>
      </c>
      <c r="O6" t="s">
        <v>325</v>
      </c>
      <c r="P6"/>
    </row>
    <row r="7" spans="1:16" x14ac:dyDescent="0.25">
      <c r="A7" s="4" t="s">
        <v>19</v>
      </c>
      <c r="B7" s="4" t="s">
        <v>20</v>
      </c>
      <c r="C7" s="4" t="s">
        <v>21</v>
      </c>
      <c r="D7" s="5">
        <v>4</v>
      </c>
      <c r="E7" s="5">
        <v>2017</v>
      </c>
      <c r="F7" s="7">
        <v>7500</v>
      </c>
      <c r="G7" s="8">
        <v>212</v>
      </c>
      <c r="H7" s="13">
        <f t="shared" si="0"/>
        <v>1590000</v>
      </c>
      <c r="I7" s="7">
        <v>100</v>
      </c>
      <c r="J7" s="8">
        <f t="shared" si="1"/>
        <v>265</v>
      </c>
      <c r="K7" s="13">
        <f t="shared" si="2"/>
        <v>26500</v>
      </c>
      <c r="L7" s="12">
        <f t="shared" si="3"/>
        <v>1616500</v>
      </c>
      <c r="N7" s="98" t="s">
        <v>55</v>
      </c>
      <c r="O7" s="100">
        <v>10187113</v>
      </c>
      <c r="P7"/>
    </row>
    <row r="8" spans="1:16" x14ac:dyDescent="0.25">
      <c r="A8" s="4" t="s">
        <v>19</v>
      </c>
      <c r="B8" s="4" t="s">
        <v>20</v>
      </c>
      <c r="C8" s="4" t="s">
        <v>22</v>
      </c>
      <c r="D8" s="5">
        <v>1</v>
      </c>
      <c r="E8" s="5">
        <v>2016</v>
      </c>
      <c r="F8" s="7">
        <v>14300</v>
      </c>
      <c r="G8" s="8">
        <v>185</v>
      </c>
      <c r="H8" s="13">
        <f t="shared" si="0"/>
        <v>2645500</v>
      </c>
      <c r="I8" s="7">
        <v>1000</v>
      </c>
      <c r="J8" s="8">
        <f t="shared" si="1"/>
        <v>231</v>
      </c>
      <c r="K8" s="13">
        <f t="shared" si="2"/>
        <v>231000</v>
      </c>
      <c r="L8" s="12">
        <f t="shared" si="3"/>
        <v>2876500</v>
      </c>
      <c r="N8" s="99" t="s">
        <v>56</v>
      </c>
      <c r="O8" s="100">
        <v>5352259</v>
      </c>
      <c r="P8"/>
    </row>
    <row r="9" spans="1:16" x14ac:dyDescent="0.25">
      <c r="A9" s="4" t="s">
        <v>14</v>
      </c>
      <c r="B9" s="4" t="s">
        <v>23</v>
      </c>
      <c r="C9" s="4" t="s">
        <v>24</v>
      </c>
      <c r="D9" s="5">
        <v>13</v>
      </c>
      <c r="E9" s="5">
        <v>2017</v>
      </c>
      <c r="F9" s="7">
        <v>12400</v>
      </c>
      <c r="G9" s="8">
        <v>194</v>
      </c>
      <c r="H9" s="13">
        <f t="shared" si="0"/>
        <v>2405600</v>
      </c>
      <c r="I9" s="7">
        <v>100</v>
      </c>
      <c r="J9" s="8">
        <f t="shared" si="1"/>
        <v>243</v>
      </c>
      <c r="K9" s="13">
        <f t="shared" si="2"/>
        <v>24300</v>
      </c>
      <c r="L9" s="12">
        <f t="shared" si="3"/>
        <v>2429900</v>
      </c>
      <c r="N9" s="99" t="s">
        <v>61</v>
      </c>
      <c r="O9" s="100">
        <v>4834854</v>
      </c>
      <c r="P9"/>
    </row>
    <row r="10" spans="1:16" x14ac:dyDescent="0.25">
      <c r="A10" s="4" t="s">
        <v>25</v>
      </c>
      <c r="B10" s="4" t="s">
        <v>26</v>
      </c>
      <c r="C10" s="4" t="s">
        <v>27</v>
      </c>
      <c r="D10" s="5">
        <v>4</v>
      </c>
      <c r="E10" s="5">
        <v>2017</v>
      </c>
      <c r="F10" s="7">
        <v>25750</v>
      </c>
      <c r="G10" s="8">
        <v>208</v>
      </c>
      <c r="H10" s="13">
        <f t="shared" si="0"/>
        <v>5356000</v>
      </c>
      <c r="I10" s="7">
        <v>1234</v>
      </c>
      <c r="J10" s="8">
        <f t="shared" si="1"/>
        <v>260</v>
      </c>
      <c r="K10" s="13">
        <f t="shared" si="2"/>
        <v>320840</v>
      </c>
      <c r="L10" s="12">
        <f t="shared" si="3"/>
        <v>5676840</v>
      </c>
      <c r="N10" s="98" t="s">
        <v>28</v>
      </c>
      <c r="O10" s="100">
        <v>18734102</v>
      </c>
      <c r="P10"/>
    </row>
    <row r="11" spans="1:16" x14ac:dyDescent="0.25">
      <c r="A11" s="4" t="s">
        <v>28</v>
      </c>
      <c r="B11" s="4" t="s">
        <v>29</v>
      </c>
      <c r="C11" s="4" t="s">
        <v>30</v>
      </c>
      <c r="D11" s="5">
        <v>10</v>
      </c>
      <c r="E11" s="5">
        <v>2014</v>
      </c>
      <c r="F11" s="7">
        <v>5575</v>
      </c>
      <c r="G11" s="8">
        <v>266</v>
      </c>
      <c r="H11" s="13">
        <f t="shared" si="0"/>
        <v>1482950</v>
      </c>
      <c r="I11" s="7">
        <v>32</v>
      </c>
      <c r="J11" s="8">
        <f t="shared" si="1"/>
        <v>333</v>
      </c>
      <c r="K11" s="13">
        <f t="shared" si="2"/>
        <v>10656</v>
      </c>
      <c r="L11" s="12">
        <f t="shared" si="3"/>
        <v>1493606</v>
      </c>
      <c r="N11" s="99" t="s">
        <v>31</v>
      </c>
      <c r="O11" s="100">
        <v>6603421</v>
      </c>
      <c r="P11"/>
    </row>
    <row r="12" spans="1:16" x14ac:dyDescent="0.25">
      <c r="A12" s="4" t="s">
        <v>28</v>
      </c>
      <c r="B12" s="4" t="s">
        <v>31</v>
      </c>
      <c r="C12" s="4" t="s">
        <v>32</v>
      </c>
      <c r="D12" s="5">
        <v>6</v>
      </c>
      <c r="E12" s="5">
        <v>2017</v>
      </c>
      <c r="F12" s="7">
        <v>18500</v>
      </c>
      <c r="G12" s="8">
        <v>219</v>
      </c>
      <c r="H12" s="13">
        <f t="shared" si="0"/>
        <v>4051500</v>
      </c>
      <c r="I12" s="7">
        <v>245</v>
      </c>
      <c r="J12" s="8">
        <f t="shared" si="1"/>
        <v>274</v>
      </c>
      <c r="K12" s="13">
        <f t="shared" si="2"/>
        <v>67130</v>
      </c>
      <c r="L12" s="12">
        <f t="shared" si="3"/>
        <v>4118630</v>
      </c>
      <c r="N12" s="99" t="s">
        <v>29</v>
      </c>
      <c r="O12" s="100">
        <v>4970254</v>
      </c>
      <c r="P12"/>
    </row>
    <row r="13" spans="1:16" x14ac:dyDescent="0.25">
      <c r="A13" s="4" t="s">
        <v>28</v>
      </c>
      <c r="B13" s="4" t="s">
        <v>29</v>
      </c>
      <c r="C13" s="4" t="s">
        <v>33</v>
      </c>
      <c r="D13" s="5">
        <v>11</v>
      </c>
      <c r="E13" s="5">
        <v>2017</v>
      </c>
      <c r="F13" s="7">
        <v>5893</v>
      </c>
      <c r="G13" s="8">
        <v>230</v>
      </c>
      <c r="H13" s="13">
        <f t="shared" si="0"/>
        <v>1355390</v>
      </c>
      <c r="I13" s="7">
        <v>93</v>
      </c>
      <c r="J13" s="8">
        <f t="shared" si="1"/>
        <v>288</v>
      </c>
      <c r="K13" s="13">
        <f t="shared" si="2"/>
        <v>26784</v>
      </c>
      <c r="L13" s="12">
        <f t="shared" si="3"/>
        <v>1382174</v>
      </c>
      <c r="N13" s="99" t="s">
        <v>69</v>
      </c>
      <c r="O13" s="100">
        <v>7160427</v>
      </c>
      <c r="P13"/>
    </row>
    <row r="14" spans="1:16" x14ac:dyDescent="0.25">
      <c r="A14" s="4" t="s">
        <v>28</v>
      </c>
      <c r="B14" s="4" t="s">
        <v>29</v>
      </c>
      <c r="C14" s="4" t="s">
        <v>34</v>
      </c>
      <c r="D14" s="5">
        <v>5</v>
      </c>
      <c r="E14" s="5">
        <v>2014</v>
      </c>
      <c r="F14" s="7">
        <v>7503</v>
      </c>
      <c r="G14" s="8">
        <v>185</v>
      </c>
      <c r="H14" s="13">
        <f t="shared" si="0"/>
        <v>1388055</v>
      </c>
      <c r="I14" s="7">
        <v>29</v>
      </c>
      <c r="J14" s="8">
        <f t="shared" si="1"/>
        <v>231</v>
      </c>
      <c r="K14" s="13">
        <f t="shared" si="2"/>
        <v>6699</v>
      </c>
      <c r="L14" s="12">
        <f t="shared" si="3"/>
        <v>1394754</v>
      </c>
      <c r="N14" s="98" t="s">
        <v>25</v>
      </c>
      <c r="O14" s="100">
        <v>13295571</v>
      </c>
      <c r="P14"/>
    </row>
    <row r="15" spans="1:16" x14ac:dyDescent="0.25">
      <c r="A15" s="4" t="s">
        <v>19</v>
      </c>
      <c r="B15" s="4" t="s">
        <v>35</v>
      </c>
      <c r="C15" s="4" t="s">
        <v>36</v>
      </c>
      <c r="D15" s="5">
        <v>5</v>
      </c>
      <c r="E15" s="5">
        <v>2017</v>
      </c>
      <c r="F15" s="7">
        <v>4500</v>
      </c>
      <c r="G15" s="8">
        <v>275</v>
      </c>
      <c r="H15" s="13">
        <f t="shared" si="0"/>
        <v>1237500</v>
      </c>
      <c r="I15" s="7">
        <v>312</v>
      </c>
      <c r="J15" s="8">
        <f t="shared" si="1"/>
        <v>344</v>
      </c>
      <c r="K15" s="13">
        <f t="shared" si="2"/>
        <v>107328</v>
      </c>
      <c r="L15" s="12">
        <f t="shared" si="3"/>
        <v>1344828</v>
      </c>
      <c r="N15" s="99" t="s">
        <v>26</v>
      </c>
      <c r="O15" s="100">
        <v>10817117</v>
      </c>
      <c r="P15"/>
    </row>
    <row r="16" spans="1:16" x14ac:dyDescent="0.25">
      <c r="A16" s="4" t="s">
        <v>19</v>
      </c>
      <c r="B16" s="4" t="s">
        <v>20</v>
      </c>
      <c r="C16" s="4" t="s">
        <v>37</v>
      </c>
      <c r="D16" s="5">
        <v>8</v>
      </c>
      <c r="E16" s="5">
        <v>2017</v>
      </c>
      <c r="F16" s="7">
        <v>25000</v>
      </c>
      <c r="G16" s="8">
        <v>192</v>
      </c>
      <c r="H16" s="13">
        <f t="shared" si="0"/>
        <v>4800000</v>
      </c>
      <c r="I16" s="7">
        <v>123</v>
      </c>
      <c r="J16" s="8">
        <f t="shared" si="1"/>
        <v>240</v>
      </c>
      <c r="K16" s="13">
        <f t="shared" si="2"/>
        <v>29520</v>
      </c>
      <c r="L16" s="12">
        <f t="shared" si="3"/>
        <v>4829520</v>
      </c>
      <c r="N16" s="99" t="s">
        <v>49</v>
      </c>
      <c r="O16" s="100">
        <v>2478454</v>
      </c>
      <c r="P16"/>
    </row>
    <row r="17" spans="1:16" x14ac:dyDescent="0.25">
      <c r="A17" s="4" t="s">
        <v>19</v>
      </c>
      <c r="B17" s="4" t="s">
        <v>38</v>
      </c>
      <c r="C17" s="4" t="s">
        <v>39</v>
      </c>
      <c r="D17" s="5">
        <v>2</v>
      </c>
      <c r="E17" s="5">
        <v>2016</v>
      </c>
      <c r="F17" s="7">
        <v>14398</v>
      </c>
      <c r="G17" s="8">
        <v>182</v>
      </c>
      <c r="H17" s="13">
        <f t="shared" si="0"/>
        <v>2620436</v>
      </c>
      <c r="I17" s="7">
        <v>212</v>
      </c>
      <c r="J17" s="8">
        <f t="shared" si="1"/>
        <v>228</v>
      </c>
      <c r="K17" s="13">
        <f t="shared" si="2"/>
        <v>48336</v>
      </c>
      <c r="L17" s="12">
        <f t="shared" si="3"/>
        <v>2668772</v>
      </c>
      <c r="N17" s="98" t="s">
        <v>44</v>
      </c>
      <c r="O17" s="100">
        <v>16638625</v>
      </c>
      <c r="P17"/>
    </row>
    <row r="18" spans="1:16" x14ac:dyDescent="0.25">
      <c r="A18" s="4" t="s">
        <v>40</v>
      </c>
      <c r="B18" s="4" t="s">
        <v>41</v>
      </c>
      <c r="C18" s="4" t="s">
        <v>42</v>
      </c>
      <c r="D18" s="5">
        <v>12</v>
      </c>
      <c r="E18" s="5">
        <v>2017</v>
      </c>
      <c r="F18" s="7">
        <v>9245</v>
      </c>
      <c r="G18" s="8">
        <v>215</v>
      </c>
      <c r="H18" s="13">
        <f t="shared" si="0"/>
        <v>1987675</v>
      </c>
      <c r="I18" s="7">
        <v>218</v>
      </c>
      <c r="J18" s="8">
        <f t="shared" si="1"/>
        <v>269</v>
      </c>
      <c r="K18" s="13">
        <f t="shared" si="2"/>
        <v>58642</v>
      </c>
      <c r="L18" s="12">
        <f t="shared" si="3"/>
        <v>2046317</v>
      </c>
      <c r="N18" s="99" t="s">
        <v>45</v>
      </c>
      <c r="O18" s="100">
        <v>13724221</v>
      </c>
      <c r="P18"/>
    </row>
    <row r="19" spans="1:16" x14ac:dyDescent="0.25">
      <c r="A19" s="4" t="s">
        <v>14</v>
      </c>
      <c r="B19" s="4" t="s">
        <v>17</v>
      </c>
      <c r="C19" s="4" t="s">
        <v>43</v>
      </c>
      <c r="D19" s="5">
        <v>5</v>
      </c>
      <c r="E19" s="5">
        <v>2016</v>
      </c>
      <c r="F19" s="7">
        <v>22875</v>
      </c>
      <c r="G19" s="8">
        <v>130</v>
      </c>
      <c r="H19" s="13">
        <f t="shared" si="0"/>
        <v>2973750</v>
      </c>
      <c r="I19" s="7">
        <v>1000</v>
      </c>
      <c r="J19" s="8">
        <f t="shared" si="1"/>
        <v>163</v>
      </c>
      <c r="K19" s="13">
        <f t="shared" si="2"/>
        <v>163000</v>
      </c>
      <c r="L19" s="12">
        <f t="shared" si="3"/>
        <v>3136750</v>
      </c>
      <c r="N19" s="99" t="s">
        <v>63</v>
      </c>
      <c r="O19" s="100">
        <v>2914404</v>
      </c>
      <c r="P19"/>
    </row>
    <row r="20" spans="1:16" x14ac:dyDescent="0.25">
      <c r="A20" s="4" t="s">
        <v>44</v>
      </c>
      <c r="B20" s="4" t="s">
        <v>45</v>
      </c>
      <c r="C20" s="4" t="s">
        <v>46</v>
      </c>
      <c r="D20" s="5">
        <v>2</v>
      </c>
      <c r="E20" s="5">
        <v>2016</v>
      </c>
      <c r="F20" s="7">
        <v>32400</v>
      </c>
      <c r="G20" s="8">
        <v>110</v>
      </c>
      <c r="H20" s="13">
        <f t="shared" si="0"/>
        <v>3564000</v>
      </c>
      <c r="I20" s="7">
        <v>1309</v>
      </c>
      <c r="J20" s="8">
        <f t="shared" si="1"/>
        <v>138</v>
      </c>
      <c r="K20" s="13">
        <f t="shared" si="2"/>
        <v>180642</v>
      </c>
      <c r="L20" s="12">
        <f t="shared" si="3"/>
        <v>3744642</v>
      </c>
      <c r="N20" s="98" t="s">
        <v>14</v>
      </c>
      <c r="O20" s="100">
        <v>17599571</v>
      </c>
      <c r="P20"/>
    </row>
    <row r="21" spans="1:16" x14ac:dyDescent="0.25">
      <c r="A21" s="4" t="s">
        <v>44</v>
      </c>
      <c r="B21" s="4" t="s">
        <v>45</v>
      </c>
      <c r="C21" s="4" t="s">
        <v>44</v>
      </c>
      <c r="D21" s="5">
        <v>13</v>
      </c>
      <c r="E21" s="5">
        <v>2017</v>
      </c>
      <c r="F21" s="7">
        <v>22418</v>
      </c>
      <c r="G21" s="8">
        <v>218</v>
      </c>
      <c r="H21" s="13">
        <f t="shared" si="0"/>
        <v>4887124</v>
      </c>
      <c r="I21" s="7">
        <v>45</v>
      </c>
      <c r="J21" s="8">
        <f t="shared" si="1"/>
        <v>273</v>
      </c>
      <c r="K21" s="13">
        <f t="shared" si="2"/>
        <v>12285</v>
      </c>
      <c r="L21" s="12">
        <f t="shared" si="3"/>
        <v>4899409</v>
      </c>
      <c r="N21" s="99" t="s">
        <v>15</v>
      </c>
      <c r="O21" s="100">
        <v>8787335</v>
      </c>
      <c r="P21"/>
    </row>
    <row r="22" spans="1:16" x14ac:dyDescent="0.25">
      <c r="A22" s="4" t="s">
        <v>28</v>
      </c>
      <c r="B22" s="4" t="s">
        <v>29</v>
      </c>
      <c r="C22" s="4" t="s">
        <v>47</v>
      </c>
      <c r="D22" s="5">
        <v>6</v>
      </c>
      <c r="E22" s="5">
        <v>2016</v>
      </c>
      <c r="F22" s="7">
        <v>3400</v>
      </c>
      <c r="G22" s="8">
        <v>204</v>
      </c>
      <c r="H22" s="13">
        <f t="shared" si="0"/>
        <v>693600</v>
      </c>
      <c r="I22" s="7">
        <v>24</v>
      </c>
      <c r="J22" s="8">
        <f t="shared" si="1"/>
        <v>255</v>
      </c>
      <c r="K22" s="13">
        <f t="shared" si="2"/>
        <v>6120</v>
      </c>
      <c r="L22" s="12">
        <f t="shared" si="3"/>
        <v>699720</v>
      </c>
      <c r="N22" s="99" t="s">
        <v>23</v>
      </c>
      <c r="O22" s="100">
        <v>3836741</v>
      </c>
      <c r="P22"/>
    </row>
    <row r="23" spans="1:16" x14ac:dyDescent="0.25">
      <c r="A23" s="4" t="s">
        <v>44</v>
      </c>
      <c r="B23" s="4" t="s">
        <v>45</v>
      </c>
      <c r="C23" s="4" t="s">
        <v>48</v>
      </c>
      <c r="D23" s="5">
        <v>5</v>
      </c>
      <c r="E23" s="5">
        <v>2015</v>
      </c>
      <c r="F23" s="7">
        <v>11875</v>
      </c>
      <c r="G23" s="8">
        <v>145</v>
      </c>
      <c r="H23" s="13">
        <f t="shared" si="0"/>
        <v>1721875</v>
      </c>
      <c r="I23" s="7">
        <v>1200</v>
      </c>
      <c r="J23" s="8">
        <f t="shared" si="1"/>
        <v>181</v>
      </c>
      <c r="K23" s="13">
        <f t="shared" si="2"/>
        <v>217200</v>
      </c>
      <c r="L23" s="12">
        <f t="shared" si="3"/>
        <v>1939075</v>
      </c>
      <c r="N23" s="99" t="s">
        <v>17</v>
      </c>
      <c r="O23" s="100">
        <v>4975495</v>
      </c>
      <c r="P23"/>
    </row>
    <row r="24" spans="1:16" x14ac:dyDescent="0.25">
      <c r="A24" s="4" t="s">
        <v>25</v>
      </c>
      <c r="B24" s="4" t="s">
        <v>49</v>
      </c>
      <c r="C24" s="4" t="s">
        <v>50</v>
      </c>
      <c r="D24" s="5">
        <v>3</v>
      </c>
      <c r="E24" s="5">
        <v>2016</v>
      </c>
      <c r="F24" s="7">
        <v>5500</v>
      </c>
      <c r="G24" s="8">
        <v>244</v>
      </c>
      <c r="H24" s="13">
        <f t="shared" si="0"/>
        <v>1342000</v>
      </c>
      <c r="I24" s="7">
        <v>114</v>
      </c>
      <c r="J24" s="8">
        <f t="shared" si="1"/>
        <v>305</v>
      </c>
      <c r="K24" s="13">
        <f t="shared" si="2"/>
        <v>34770</v>
      </c>
      <c r="L24" s="12">
        <f t="shared" si="3"/>
        <v>1376770</v>
      </c>
      <c r="N24" s="98" t="s">
        <v>40</v>
      </c>
      <c r="O24" s="100">
        <v>11467751</v>
      </c>
    </row>
    <row r="25" spans="1:16" x14ac:dyDescent="0.25">
      <c r="A25" s="4" t="s">
        <v>40</v>
      </c>
      <c r="B25" s="4" t="s">
        <v>41</v>
      </c>
      <c r="C25" s="4" t="s">
        <v>51</v>
      </c>
      <c r="D25" s="5">
        <v>2</v>
      </c>
      <c r="E25" s="5">
        <v>2016</v>
      </c>
      <c r="F25" s="7">
        <v>5387</v>
      </c>
      <c r="G25" s="8">
        <v>182</v>
      </c>
      <c r="H25" s="13">
        <f t="shared" si="0"/>
        <v>980434</v>
      </c>
      <c r="I25" s="7">
        <v>34</v>
      </c>
      <c r="J25" s="8">
        <f t="shared" si="1"/>
        <v>228</v>
      </c>
      <c r="K25" s="13">
        <f t="shared" si="2"/>
        <v>7752</v>
      </c>
      <c r="L25" s="12">
        <f t="shared" si="3"/>
        <v>988186</v>
      </c>
      <c r="N25" s="99" t="s">
        <v>41</v>
      </c>
      <c r="O25" s="100">
        <v>3034503</v>
      </c>
    </row>
    <row r="26" spans="1:16" x14ac:dyDescent="0.25">
      <c r="A26" s="4" t="s">
        <v>40</v>
      </c>
      <c r="B26" s="4" t="s">
        <v>52</v>
      </c>
      <c r="C26" s="4" t="s">
        <v>53</v>
      </c>
      <c r="D26" s="5">
        <v>12</v>
      </c>
      <c r="E26" s="5">
        <v>2017</v>
      </c>
      <c r="F26" s="7">
        <v>37400</v>
      </c>
      <c r="G26" s="8">
        <v>206</v>
      </c>
      <c r="H26" s="13">
        <f t="shared" si="0"/>
        <v>7704400</v>
      </c>
      <c r="I26" s="7">
        <v>1000</v>
      </c>
      <c r="J26" s="8">
        <f t="shared" si="1"/>
        <v>258</v>
      </c>
      <c r="K26" s="13">
        <f t="shared" si="2"/>
        <v>258000</v>
      </c>
      <c r="L26" s="12">
        <f t="shared" si="3"/>
        <v>7962400</v>
      </c>
      <c r="N26" s="99" t="s">
        <v>52</v>
      </c>
      <c r="O26" s="100">
        <v>8433248</v>
      </c>
    </row>
    <row r="27" spans="1:16" x14ac:dyDescent="0.25">
      <c r="A27" s="4" t="s">
        <v>14</v>
      </c>
      <c r="B27" s="4" t="s">
        <v>15</v>
      </c>
      <c r="C27" s="4" t="s">
        <v>54</v>
      </c>
      <c r="D27" s="5">
        <v>8</v>
      </c>
      <c r="E27" s="5">
        <v>2017</v>
      </c>
      <c r="F27" s="7">
        <v>21230</v>
      </c>
      <c r="G27" s="8">
        <v>183</v>
      </c>
      <c r="H27" s="13">
        <f t="shared" si="0"/>
        <v>3885090</v>
      </c>
      <c r="I27" s="7">
        <v>1200</v>
      </c>
      <c r="J27" s="8">
        <f t="shared" si="1"/>
        <v>229</v>
      </c>
      <c r="K27" s="13">
        <f t="shared" si="2"/>
        <v>274800</v>
      </c>
      <c r="L27" s="12">
        <f t="shared" si="3"/>
        <v>4159890</v>
      </c>
      <c r="N27" s="98" t="s">
        <v>19</v>
      </c>
      <c r="O27" s="100">
        <v>24544467</v>
      </c>
    </row>
    <row r="28" spans="1:16" x14ac:dyDescent="0.25">
      <c r="A28" s="4" t="s">
        <v>55</v>
      </c>
      <c r="B28" s="4" t="s">
        <v>56</v>
      </c>
      <c r="C28" s="4" t="s">
        <v>57</v>
      </c>
      <c r="D28" s="5">
        <v>4</v>
      </c>
      <c r="E28" s="5">
        <v>2016</v>
      </c>
      <c r="F28" s="7">
        <v>9575</v>
      </c>
      <c r="G28" s="8">
        <v>188</v>
      </c>
      <c r="H28" s="13">
        <f t="shared" si="0"/>
        <v>1800100</v>
      </c>
      <c r="I28" s="7">
        <v>43</v>
      </c>
      <c r="J28" s="8">
        <f t="shared" si="1"/>
        <v>235</v>
      </c>
      <c r="K28" s="13">
        <f t="shared" si="2"/>
        <v>10105</v>
      </c>
      <c r="L28" s="12">
        <f t="shared" si="3"/>
        <v>1810205</v>
      </c>
      <c r="N28" s="99" t="s">
        <v>38</v>
      </c>
      <c r="O28" s="100">
        <v>6985108</v>
      </c>
    </row>
    <row r="29" spans="1:16" x14ac:dyDescent="0.25">
      <c r="A29" s="4" t="s">
        <v>14</v>
      </c>
      <c r="B29" s="4" t="s">
        <v>17</v>
      </c>
      <c r="C29" s="4" t="s">
        <v>58</v>
      </c>
      <c r="D29" s="5">
        <v>9</v>
      </c>
      <c r="E29" s="5">
        <v>2015</v>
      </c>
      <c r="F29" s="7">
        <v>4575</v>
      </c>
      <c r="G29" s="8">
        <v>156</v>
      </c>
      <c r="H29" s="13">
        <f t="shared" si="0"/>
        <v>713700</v>
      </c>
      <c r="I29" s="7">
        <v>63</v>
      </c>
      <c r="J29" s="8">
        <f t="shared" si="1"/>
        <v>195</v>
      </c>
      <c r="K29" s="13">
        <f t="shared" si="2"/>
        <v>12285</v>
      </c>
      <c r="L29" s="12">
        <f t="shared" si="3"/>
        <v>725985</v>
      </c>
      <c r="N29" s="99" t="s">
        <v>20</v>
      </c>
      <c r="O29" s="100">
        <v>9322520</v>
      </c>
    </row>
    <row r="30" spans="1:16" x14ac:dyDescent="0.25">
      <c r="A30" s="4" t="s">
        <v>55</v>
      </c>
      <c r="B30" s="4" t="s">
        <v>56</v>
      </c>
      <c r="C30" s="4" t="s">
        <v>59</v>
      </c>
      <c r="D30" s="5">
        <v>6</v>
      </c>
      <c r="E30" s="5">
        <v>2017</v>
      </c>
      <c r="F30" s="7">
        <v>12435</v>
      </c>
      <c r="G30" s="8">
        <v>218</v>
      </c>
      <c r="H30" s="13">
        <f t="shared" si="0"/>
        <v>2710830</v>
      </c>
      <c r="I30" s="7">
        <v>142</v>
      </c>
      <c r="J30" s="8">
        <f t="shared" si="1"/>
        <v>273</v>
      </c>
      <c r="K30" s="13">
        <f t="shared" si="2"/>
        <v>38766</v>
      </c>
      <c r="L30" s="12">
        <f t="shared" si="3"/>
        <v>2749596</v>
      </c>
      <c r="N30" s="99" t="s">
        <v>35</v>
      </c>
      <c r="O30" s="100">
        <v>8236839</v>
      </c>
    </row>
    <row r="31" spans="1:16" x14ac:dyDescent="0.25">
      <c r="A31" s="4" t="s">
        <v>28</v>
      </c>
      <c r="B31" s="4" t="s">
        <v>31</v>
      </c>
      <c r="C31" s="4" t="s">
        <v>60</v>
      </c>
      <c r="D31" s="5">
        <v>8</v>
      </c>
      <c r="E31" s="5">
        <v>2017</v>
      </c>
      <c r="F31" s="7">
        <v>11342</v>
      </c>
      <c r="G31" s="8">
        <v>217</v>
      </c>
      <c r="H31" s="13">
        <f t="shared" si="0"/>
        <v>2461214</v>
      </c>
      <c r="I31" s="7">
        <v>87</v>
      </c>
      <c r="J31" s="8">
        <f t="shared" si="1"/>
        <v>271</v>
      </c>
      <c r="K31" s="13">
        <f t="shared" si="2"/>
        <v>23577</v>
      </c>
      <c r="L31" s="12">
        <f t="shared" si="3"/>
        <v>2484791</v>
      </c>
      <c r="N31" s="98" t="s">
        <v>304</v>
      </c>
      <c r="O31" s="100">
        <v>112467200</v>
      </c>
    </row>
    <row r="32" spans="1:16" x14ac:dyDescent="0.25">
      <c r="A32" s="4" t="s">
        <v>55</v>
      </c>
      <c r="B32" s="4" t="s">
        <v>56</v>
      </c>
      <c r="C32" s="4" t="s">
        <v>61</v>
      </c>
      <c r="D32" s="5">
        <v>10</v>
      </c>
      <c r="E32" s="5">
        <v>2015</v>
      </c>
      <c r="F32" s="7">
        <v>3000</v>
      </c>
      <c r="G32" s="8">
        <v>225</v>
      </c>
      <c r="H32" s="13">
        <f t="shared" si="0"/>
        <v>675000</v>
      </c>
      <c r="I32" s="7">
        <v>418</v>
      </c>
      <c r="J32" s="8">
        <f t="shared" si="1"/>
        <v>281</v>
      </c>
      <c r="K32" s="13">
        <f t="shared" si="2"/>
        <v>117458</v>
      </c>
      <c r="L32" s="12">
        <f t="shared" si="3"/>
        <v>792458</v>
      </c>
    </row>
    <row r="33" spans="1:12" x14ac:dyDescent="0.25">
      <c r="A33" s="4" t="s">
        <v>55</v>
      </c>
      <c r="B33" s="4" t="s">
        <v>61</v>
      </c>
      <c r="C33" s="4" t="s">
        <v>62</v>
      </c>
      <c r="D33" s="5">
        <v>7</v>
      </c>
      <c r="E33" s="5">
        <v>2017</v>
      </c>
      <c r="F33" s="7">
        <v>12000</v>
      </c>
      <c r="G33" s="8">
        <v>265</v>
      </c>
      <c r="H33" s="13">
        <f t="shared" si="0"/>
        <v>3180000</v>
      </c>
      <c r="I33" s="7">
        <v>155</v>
      </c>
      <c r="J33" s="8">
        <f t="shared" si="1"/>
        <v>331</v>
      </c>
      <c r="K33" s="13">
        <f t="shared" si="2"/>
        <v>51305</v>
      </c>
      <c r="L33" s="12">
        <f t="shared" si="3"/>
        <v>3231305</v>
      </c>
    </row>
    <row r="34" spans="1:12" x14ac:dyDescent="0.25">
      <c r="A34" s="4" t="s">
        <v>44</v>
      </c>
      <c r="B34" s="4" t="s">
        <v>63</v>
      </c>
      <c r="C34" s="4" t="s">
        <v>64</v>
      </c>
      <c r="D34" s="5">
        <v>2</v>
      </c>
      <c r="E34" s="5">
        <v>2013</v>
      </c>
      <c r="F34" s="7">
        <v>11254</v>
      </c>
      <c r="G34" s="8">
        <v>118</v>
      </c>
      <c r="H34" s="13">
        <f t="shared" si="0"/>
        <v>1327972</v>
      </c>
      <c r="I34" s="7">
        <v>750</v>
      </c>
      <c r="J34" s="8">
        <f t="shared" si="1"/>
        <v>148</v>
      </c>
      <c r="K34" s="13">
        <f t="shared" si="2"/>
        <v>111000</v>
      </c>
      <c r="L34" s="12">
        <f t="shared" si="3"/>
        <v>1438972</v>
      </c>
    </row>
    <row r="35" spans="1:12" x14ac:dyDescent="0.25">
      <c r="A35" s="4" t="s">
        <v>19</v>
      </c>
      <c r="B35" s="4" t="s">
        <v>38</v>
      </c>
      <c r="C35" s="4" t="s">
        <v>65</v>
      </c>
      <c r="D35" s="5">
        <v>1</v>
      </c>
      <c r="E35" s="5">
        <v>2014</v>
      </c>
      <c r="F35" s="7">
        <v>9876</v>
      </c>
      <c r="G35" s="8">
        <v>155</v>
      </c>
      <c r="H35" s="13">
        <f t="shared" si="0"/>
        <v>1530780</v>
      </c>
      <c r="I35" s="7">
        <v>22</v>
      </c>
      <c r="J35" s="8">
        <f t="shared" si="1"/>
        <v>194</v>
      </c>
      <c r="K35" s="13">
        <f t="shared" si="2"/>
        <v>4268</v>
      </c>
      <c r="L35" s="12">
        <f t="shared" si="3"/>
        <v>1535048</v>
      </c>
    </row>
    <row r="36" spans="1:12" x14ac:dyDescent="0.25">
      <c r="A36" s="4" t="s">
        <v>44</v>
      </c>
      <c r="B36" s="4" t="s">
        <v>45</v>
      </c>
      <c r="C36" s="4" t="s">
        <v>66</v>
      </c>
      <c r="D36" s="5">
        <v>5</v>
      </c>
      <c r="E36" s="5">
        <v>2014</v>
      </c>
      <c r="F36" s="7">
        <v>23575</v>
      </c>
      <c r="G36" s="8">
        <v>125</v>
      </c>
      <c r="H36" s="13">
        <f t="shared" si="0"/>
        <v>2946875</v>
      </c>
      <c r="I36" s="7">
        <v>1245</v>
      </c>
      <c r="J36" s="8">
        <f t="shared" si="1"/>
        <v>156</v>
      </c>
      <c r="K36" s="13">
        <f t="shared" si="2"/>
        <v>194220</v>
      </c>
      <c r="L36" s="12">
        <f t="shared" si="3"/>
        <v>3141095</v>
      </c>
    </row>
    <row r="37" spans="1:12" x14ac:dyDescent="0.25">
      <c r="A37" s="4" t="s">
        <v>25</v>
      </c>
      <c r="B37" s="4" t="s">
        <v>26</v>
      </c>
      <c r="C37" s="4" t="s">
        <v>26</v>
      </c>
      <c r="D37" s="5">
        <v>5</v>
      </c>
      <c r="E37" s="5">
        <v>2015</v>
      </c>
      <c r="F37" s="7">
        <v>22345</v>
      </c>
      <c r="G37" s="8">
        <v>221</v>
      </c>
      <c r="H37" s="13">
        <f t="shared" si="0"/>
        <v>4938245</v>
      </c>
      <c r="I37" s="7">
        <v>732</v>
      </c>
      <c r="J37" s="8">
        <f t="shared" si="1"/>
        <v>276</v>
      </c>
      <c r="K37" s="13">
        <f t="shared" si="2"/>
        <v>202032</v>
      </c>
      <c r="L37" s="12">
        <f t="shared" si="3"/>
        <v>5140277</v>
      </c>
    </row>
    <row r="38" spans="1:12" x14ac:dyDescent="0.25">
      <c r="A38" s="4" t="s">
        <v>40</v>
      </c>
      <c r="B38" s="4" t="s">
        <v>52</v>
      </c>
      <c r="C38" s="4" t="s">
        <v>67</v>
      </c>
      <c r="D38" s="5">
        <v>3</v>
      </c>
      <c r="E38" s="5">
        <v>2015</v>
      </c>
      <c r="F38" s="7">
        <v>2750</v>
      </c>
      <c r="G38" s="8">
        <v>165</v>
      </c>
      <c r="H38" s="13">
        <f t="shared" si="0"/>
        <v>453750</v>
      </c>
      <c r="I38" s="7">
        <v>83</v>
      </c>
      <c r="J38" s="8">
        <f t="shared" si="1"/>
        <v>206</v>
      </c>
      <c r="K38" s="13">
        <f t="shared" si="2"/>
        <v>17098</v>
      </c>
      <c r="L38" s="12">
        <f t="shared" si="3"/>
        <v>470848</v>
      </c>
    </row>
    <row r="39" spans="1:12" x14ac:dyDescent="0.25">
      <c r="A39" s="4" t="s">
        <v>14</v>
      </c>
      <c r="B39" s="4" t="s">
        <v>23</v>
      </c>
      <c r="C39" s="4" t="s">
        <v>68</v>
      </c>
      <c r="D39" s="5">
        <v>3</v>
      </c>
      <c r="E39" s="5">
        <v>2015</v>
      </c>
      <c r="F39" s="7">
        <v>4500</v>
      </c>
      <c r="G39" s="8">
        <v>125</v>
      </c>
      <c r="H39" s="13">
        <f t="shared" si="0"/>
        <v>562500</v>
      </c>
      <c r="I39" s="7">
        <v>12</v>
      </c>
      <c r="J39" s="8">
        <f t="shared" si="1"/>
        <v>156</v>
      </c>
      <c r="K39" s="13">
        <f t="shared" si="2"/>
        <v>1872</v>
      </c>
      <c r="L39" s="12">
        <f t="shared" si="3"/>
        <v>564372</v>
      </c>
    </row>
    <row r="40" spans="1:12" x14ac:dyDescent="0.25">
      <c r="A40" s="4" t="s">
        <v>28</v>
      </c>
      <c r="B40" s="4" t="s">
        <v>69</v>
      </c>
      <c r="C40" s="4" t="s">
        <v>70</v>
      </c>
      <c r="D40" s="5">
        <v>12</v>
      </c>
      <c r="E40" s="5">
        <v>2016</v>
      </c>
      <c r="F40" s="7">
        <v>8590</v>
      </c>
      <c r="G40" s="8">
        <v>236</v>
      </c>
      <c r="H40" s="13">
        <f t="shared" si="0"/>
        <v>2027240</v>
      </c>
      <c r="I40" s="7">
        <v>48</v>
      </c>
      <c r="J40" s="8">
        <f t="shared" si="1"/>
        <v>295</v>
      </c>
      <c r="K40" s="13">
        <f t="shared" si="2"/>
        <v>14160</v>
      </c>
      <c r="L40" s="12">
        <f t="shared" si="3"/>
        <v>2041400</v>
      </c>
    </row>
    <row r="41" spans="1:12" x14ac:dyDescent="0.25">
      <c r="A41" s="4" t="s">
        <v>28</v>
      </c>
      <c r="B41" s="4" t="s">
        <v>69</v>
      </c>
      <c r="C41" s="4" t="s">
        <v>71</v>
      </c>
      <c r="D41" s="5">
        <v>9</v>
      </c>
      <c r="E41" s="5">
        <v>2016</v>
      </c>
      <c r="F41" s="7">
        <v>5837</v>
      </c>
      <c r="G41" s="8">
        <v>186</v>
      </c>
      <c r="H41" s="13">
        <f t="shared" si="0"/>
        <v>1085682</v>
      </c>
      <c r="I41" s="7">
        <v>632</v>
      </c>
      <c r="J41" s="8">
        <f t="shared" si="1"/>
        <v>233</v>
      </c>
      <c r="K41" s="13">
        <f t="shared" si="2"/>
        <v>147256</v>
      </c>
      <c r="L41" s="12">
        <f t="shared" si="3"/>
        <v>1232938</v>
      </c>
    </row>
    <row r="42" spans="1:12" x14ac:dyDescent="0.25">
      <c r="A42" s="4" t="s">
        <v>44</v>
      </c>
      <c r="B42" s="4" t="s">
        <v>63</v>
      </c>
      <c r="C42" s="4" t="s">
        <v>72</v>
      </c>
      <c r="D42" s="5">
        <v>10</v>
      </c>
      <c r="E42" s="5">
        <v>2014</v>
      </c>
      <c r="F42" s="7">
        <v>7500</v>
      </c>
      <c r="G42" s="8">
        <v>195</v>
      </c>
      <c r="H42" s="13">
        <f t="shared" si="0"/>
        <v>1462500</v>
      </c>
      <c r="I42" s="7">
        <v>53</v>
      </c>
      <c r="J42" s="8">
        <f t="shared" si="1"/>
        <v>244</v>
      </c>
      <c r="K42" s="13">
        <f t="shared" si="2"/>
        <v>12932</v>
      </c>
      <c r="L42" s="12">
        <f t="shared" si="3"/>
        <v>1475432</v>
      </c>
    </row>
    <row r="43" spans="1:12" x14ac:dyDescent="0.25">
      <c r="A43" s="4" t="s">
        <v>25</v>
      </c>
      <c r="B43" s="4" t="s">
        <v>49</v>
      </c>
      <c r="C43" s="4" t="s">
        <v>49</v>
      </c>
      <c r="D43" s="5">
        <v>9</v>
      </c>
      <c r="E43" s="5">
        <v>2017</v>
      </c>
      <c r="F43" s="7">
        <v>3500</v>
      </c>
      <c r="G43" s="8">
        <v>310</v>
      </c>
      <c r="H43" s="13">
        <f t="shared" si="0"/>
        <v>1085000</v>
      </c>
      <c r="I43" s="7">
        <v>43</v>
      </c>
      <c r="J43" s="8">
        <f t="shared" si="1"/>
        <v>388</v>
      </c>
      <c r="K43" s="13">
        <f t="shared" si="2"/>
        <v>16684</v>
      </c>
      <c r="L43" s="12">
        <f t="shared" si="3"/>
        <v>1101684</v>
      </c>
    </row>
    <row r="44" spans="1:12" x14ac:dyDescent="0.25">
      <c r="A44" s="4" t="s">
        <v>14</v>
      </c>
      <c r="B44" s="4" t="s">
        <v>15</v>
      </c>
      <c r="C44" s="4" t="s">
        <v>73</v>
      </c>
      <c r="D44" s="5">
        <v>2</v>
      </c>
      <c r="E44" s="5">
        <v>2014</v>
      </c>
      <c r="F44" s="7">
        <v>15374</v>
      </c>
      <c r="G44" s="8">
        <v>120</v>
      </c>
      <c r="H44" s="13">
        <f t="shared" si="0"/>
        <v>1844880</v>
      </c>
      <c r="I44" s="7">
        <v>110</v>
      </c>
      <c r="J44" s="8">
        <f t="shared" si="1"/>
        <v>150</v>
      </c>
      <c r="K44" s="13">
        <f t="shared" si="2"/>
        <v>16500</v>
      </c>
      <c r="L44" s="12">
        <f t="shared" si="3"/>
        <v>1861380</v>
      </c>
    </row>
    <row r="45" spans="1:12" x14ac:dyDescent="0.25">
      <c r="A45" s="4" t="s">
        <v>19</v>
      </c>
      <c r="B45" s="4" t="s">
        <v>35</v>
      </c>
      <c r="C45" s="4" t="s">
        <v>74</v>
      </c>
      <c r="D45" s="5">
        <v>3</v>
      </c>
      <c r="E45" s="5">
        <v>2017</v>
      </c>
      <c r="F45" s="7">
        <v>20300</v>
      </c>
      <c r="G45" s="8">
        <v>298</v>
      </c>
      <c r="H45" s="13">
        <f t="shared" si="0"/>
        <v>6049400</v>
      </c>
      <c r="I45" s="7">
        <v>118</v>
      </c>
      <c r="J45" s="8">
        <f t="shared" si="1"/>
        <v>373</v>
      </c>
      <c r="K45" s="13">
        <f t="shared" si="2"/>
        <v>44014</v>
      </c>
      <c r="L45" s="12">
        <f t="shared" si="3"/>
        <v>6093414</v>
      </c>
    </row>
    <row r="46" spans="1:12" x14ac:dyDescent="0.25">
      <c r="A46" s="4" t="s">
        <v>55</v>
      </c>
      <c r="B46" s="4" t="s">
        <v>61</v>
      </c>
      <c r="C46" s="4" t="s">
        <v>75</v>
      </c>
      <c r="D46" s="5">
        <v>6</v>
      </c>
      <c r="E46" s="5">
        <v>2016</v>
      </c>
      <c r="F46" s="7">
        <v>7532</v>
      </c>
      <c r="G46" s="8">
        <v>210</v>
      </c>
      <c r="H46" s="13">
        <f t="shared" si="0"/>
        <v>1581720</v>
      </c>
      <c r="I46" s="7">
        <v>83</v>
      </c>
      <c r="J46" s="8">
        <f t="shared" si="1"/>
        <v>263</v>
      </c>
      <c r="K46" s="13">
        <f t="shared" si="2"/>
        <v>21829</v>
      </c>
      <c r="L46" s="12">
        <f t="shared" si="3"/>
        <v>1603549</v>
      </c>
    </row>
    <row r="47" spans="1:12" x14ac:dyDescent="0.25">
      <c r="A47" s="4" t="s">
        <v>28</v>
      </c>
      <c r="B47" s="4" t="s">
        <v>69</v>
      </c>
      <c r="C47" s="4" t="s">
        <v>76</v>
      </c>
      <c r="D47" s="5">
        <v>5</v>
      </c>
      <c r="E47" s="5">
        <v>2003</v>
      </c>
      <c r="F47" s="7">
        <v>18750</v>
      </c>
      <c r="G47" s="8">
        <v>194</v>
      </c>
      <c r="H47" s="13">
        <f t="shared" si="0"/>
        <v>3637500</v>
      </c>
      <c r="I47" s="7">
        <v>1023</v>
      </c>
      <c r="J47" s="8">
        <f t="shared" si="1"/>
        <v>243</v>
      </c>
      <c r="K47" s="13">
        <f t="shared" si="2"/>
        <v>248589</v>
      </c>
      <c r="L47" s="12">
        <f t="shared" si="3"/>
        <v>3886089</v>
      </c>
    </row>
    <row r="48" spans="1:12" x14ac:dyDescent="0.25">
      <c r="A48" s="4" t="s">
        <v>19</v>
      </c>
      <c r="B48" s="4" t="s">
        <v>35</v>
      </c>
      <c r="C48" s="4" t="s">
        <v>77</v>
      </c>
      <c r="D48" s="5">
        <v>1</v>
      </c>
      <c r="E48" s="5">
        <v>2015</v>
      </c>
      <c r="F48" s="7">
        <v>11983</v>
      </c>
      <c r="G48" s="8">
        <v>66</v>
      </c>
      <c r="H48" s="13">
        <f t="shared" si="0"/>
        <v>790878</v>
      </c>
      <c r="I48" s="7">
        <v>93</v>
      </c>
      <c r="J48" s="8">
        <f t="shared" si="1"/>
        <v>83</v>
      </c>
      <c r="K48" s="13">
        <f t="shared" si="2"/>
        <v>7719</v>
      </c>
      <c r="L48" s="12">
        <f t="shared" si="3"/>
        <v>798597</v>
      </c>
    </row>
    <row r="49" spans="1:12" x14ac:dyDescent="0.25">
      <c r="A49" s="4" t="s">
        <v>14</v>
      </c>
      <c r="B49" s="4" t="s">
        <v>23</v>
      </c>
      <c r="C49" s="4" t="s">
        <v>78</v>
      </c>
      <c r="D49" s="5">
        <v>9</v>
      </c>
      <c r="E49" s="5">
        <v>2016</v>
      </c>
      <c r="F49" s="7">
        <v>4500</v>
      </c>
      <c r="G49" s="8">
        <v>175</v>
      </c>
      <c r="H49" s="13">
        <f t="shared" si="0"/>
        <v>787500</v>
      </c>
      <c r="I49" s="7">
        <v>251</v>
      </c>
      <c r="J49" s="8">
        <f t="shared" si="1"/>
        <v>219</v>
      </c>
      <c r="K49" s="13">
        <f t="shared" si="2"/>
        <v>54969</v>
      </c>
      <c r="L49" s="12">
        <f t="shared" si="3"/>
        <v>842469</v>
      </c>
    </row>
    <row r="50" spans="1:12" x14ac:dyDescent="0.25">
      <c r="A50" s="4" t="s">
        <v>19</v>
      </c>
      <c r="B50" s="4" t="s">
        <v>38</v>
      </c>
      <c r="C50" s="4" t="s">
        <v>79</v>
      </c>
      <c r="D50" s="5">
        <v>1</v>
      </c>
      <c r="E50" s="5">
        <v>2012</v>
      </c>
      <c r="F50" s="7">
        <v>20100</v>
      </c>
      <c r="G50" s="8">
        <v>125</v>
      </c>
      <c r="H50" s="13">
        <f t="shared" si="0"/>
        <v>2512500</v>
      </c>
      <c r="I50" s="7">
        <v>1723</v>
      </c>
      <c r="J50" s="8">
        <f t="shared" si="1"/>
        <v>156</v>
      </c>
      <c r="K50" s="13">
        <f t="shared" si="2"/>
        <v>268788</v>
      </c>
      <c r="L50" s="12">
        <f t="shared" si="3"/>
        <v>2781288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115" zoomScaleNormal="115" workbookViewId="0">
      <selection activeCell="E13" sqref="E13"/>
    </sheetView>
  </sheetViews>
  <sheetFormatPr defaultRowHeight="12.75" customHeight="1" x14ac:dyDescent="0.2"/>
  <cols>
    <col min="1" max="1" width="15.140625" style="70" bestFit="1" customWidth="1"/>
    <col min="2" max="2" width="12.140625" style="70" customWidth="1"/>
    <col min="3" max="4" width="14.85546875" style="70" bestFit="1" customWidth="1"/>
    <col min="5" max="5" width="12.5703125" style="70" bestFit="1" customWidth="1"/>
    <col min="6" max="6" width="6" style="70" bestFit="1" customWidth="1"/>
    <col min="7" max="7" width="9.7109375" style="70" bestFit="1" customWidth="1"/>
    <col min="8" max="8" width="14.85546875" style="70" bestFit="1" customWidth="1"/>
    <col min="9" max="9" width="8.42578125" style="70" bestFit="1" customWidth="1"/>
    <col min="10" max="10" width="16.85546875" style="70" bestFit="1" customWidth="1"/>
    <col min="11" max="11" width="16.28515625" style="70" customWidth="1"/>
    <col min="12" max="14" width="9.140625" style="70"/>
    <col min="15" max="16" width="11.85546875" style="70" bestFit="1" customWidth="1"/>
    <col min="17" max="16384" width="9.140625" style="70"/>
  </cols>
  <sheetData>
    <row r="1" spans="1:10" ht="24" customHeight="1" x14ac:dyDescent="0.35">
      <c r="A1" s="130" t="s">
        <v>208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ht="12.75" customHeight="1" x14ac:dyDescent="0.2">
      <c r="A2" s="78" t="s">
        <v>207</v>
      </c>
      <c r="B2" s="77"/>
    </row>
    <row r="3" spans="1:10" ht="12.75" customHeight="1" x14ac:dyDescent="0.2">
      <c r="A3" s="78"/>
      <c r="B3" s="77"/>
    </row>
    <row r="4" spans="1:10" x14ac:dyDescent="0.2">
      <c r="A4" s="74" t="s">
        <v>206</v>
      </c>
      <c r="B4" s="74" t="s">
        <v>196</v>
      </c>
      <c r="C4" s="74" t="s">
        <v>195</v>
      </c>
      <c r="D4" s="74" t="s">
        <v>90</v>
      </c>
    </row>
    <row r="5" spans="1:10" x14ac:dyDescent="0.2">
      <c r="A5" s="71" t="s">
        <v>205</v>
      </c>
      <c r="B5" s="70" t="s">
        <v>194</v>
      </c>
    </row>
    <row r="6" spans="1:10" x14ac:dyDescent="0.2">
      <c r="A6" s="71" t="s">
        <v>204</v>
      </c>
      <c r="B6" s="70" t="s">
        <v>192</v>
      </c>
    </row>
    <row r="7" spans="1:10" x14ac:dyDescent="0.2">
      <c r="A7" s="71" t="s">
        <v>203</v>
      </c>
      <c r="B7" s="70" t="s">
        <v>193</v>
      </c>
    </row>
    <row r="8" spans="1:10" x14ac:dyDescent="0.2">
      <c r="A8" s="71" t="s">
        <v>202</v>
      </c>
      <c r="B8" s="70" t="s">
        <v>194</v>
      </c>
    </row>
    <row r="9" spans="1:10" x14ac:dyDescent="0.2">
      <c r="A9" s="71" t="s">
        <v>201</v>
      </c>
      <c r="B9" s="70" t="s">
        <v>194</v>
      </c>
    </row>
    <row r="10" spans="1:10" x14ac:dyDescent="0.2">
      <c r="A10" s="71" t="s">
        <v>200</v>
      </c>
      <c r="B10" s="70" t="s">
        <v>192</v>
      </c>
    </row>
    <row r="11" spans="1:10" x14ac:dyDescent="0.2">
      <c r="A11" s="71" t="s">
        <v>199</v>
      </c>
      <c r="B11" s="70" t="s">
        <v>192</v>
      </c>
    </row>
    <row r="12" spans="1:10" x14ac:dyDescent="0.2">
      <c r="A12" s="71" t="s">
        <v>198</v>
      </c>
      <c r="B12" s="70" t="s">
        <v>192</v>
      </c>
    </row>
    <row r="13" spans="1:10" x14ac:dyDescent="0.2">
      <c r="A13" s="71" t="s">
        <v>197</v>
      </c>
      <c r="B13" s="70" t="s">
        <v>192</v>
      </c>
    </row>
    <row r="14" spans="1:10" ht="12.75" customHeight="1" x14ac:dyDescent="0.2">
      <c r="A14" s="75" t="s">
        <v>149</v>
      </c>
    </row>
    <row r="15" spans="1:10" ht="12.75" customHeight="1" x14ac:dyDescent="0.25">
      <c r="E15" s="4"/>
      <c r="F15" s="4"/>
      <c r="G15" s="4"/>
      <c r="H15" s="4"/>
    </row>
    <row r="16" spans="1:10" ht="12.75" customHeight="1" x14ac:dyDescent="0.25">
      <c r="E16" s="4"/>
      <c r="F16" s="4"/>
      <c r="G16" s="4"/>
      <c r="H16" s="4"/>
    </row>
    <row r="17" spans="1:9" ht="15" x14ac:dyDescent="0.25">
      <c r="A17" s="74" t="s">
        <v>196</v>
      </c>
      <c r="B17" s="74" t="s">
        <v>195</v>
      </c>
      <c r="C17" s="74" t="s">
        <v>90</v>
      </c>
      <c r="E17" s="4"/>
      <c r="F17" s="4"/>
      <c r="G17" s="4"/>
      <c r="H17" s="4"/>
    </row>
    <row r="18" spans="1:9" ht="12.75" customHeight="1" x14ac:dyDescent="0.25">
      <c r="A18" s="70" t="s">
        <v>194</v>
      </c>
      <c r="B18" s="73">
        <v>575</v>
      </c>
      <c r="C18" s="73">
        <v>250</v>
      </c>
      <c r="E18" s="4"/>
      <c r="F18" s="4"/>
      <c r="G18" s="4"/>
      <c r="H18" s="4"/>
    </row>
    <row r="19" spans="1:9" ht="12.75" customHeight="1" x14ac:dyDescent="0.25">
      <c r="A19" s="70" t="s">
        <v>193</v>
      </c>
      <c r="B19" s="73">
        <v>1500</v>
      </c>
      <c r="C19" s="73">
        <v>700</v>
      </c>
      <c r="E19" s="4"/>
      <c r="F19" s="4"/>
      <c r="G19" s="4"/>
      <c r="H19" s="4"/>
    </row>
    <row r="20" spans="1:9" ht="12.75" customHeight="1" x14ac:dyDescent="0.25">
      <c r="A20" s="70" t="s">
        <v>192</v>
      </c>
      <c r="B20" s="73">
        <v>300</v>
      </c>
      <c r="C20" s="73">
        <v>150</v>
      </c>
      <c r="E20" s="4"/>
      <c r="F20" s="4"/>
      <c r="G20" s="4"/>
      <c r="H20" s="4"/>
    </row>
    <row r="21" spans="1:9" ht="12.75" customHeight="1" x14ac:dyDescent="0.25">
      <c r="E21" s="4"/>
      <c r="F21" s="4"/>
      <c r="G21" s="4"/>
      <c r="H21" s="4"/>
    </row>
    <row r="22" spans="1:9" ht="12.75" customHeight="1" x14ac:dyDescent="0.25">
      <c r="A22" s="70" t="s">
        <v>191</v>
      </c>
      <c r="B22" s="73">
        <v>75</v>
      </c>
      <c r="E22" s="4"/>
      <c r="F22" s="4"/>
      <c r="G22" s="4"/>
      <c r="H22" s="4"/>
    </row>
    <row r="23" spans="1:9" ht="12.75" customHeight="1" x14ac:dyDescent="0.25">
      <c r="A23" s="71" t="s">
        <v>190</v>
      </c>
      <c r="B23" s="72">
        <v>5.7500000000000002E-2</v>
      </c>
      <c r="E23" s="4"/>
      <c r="F23" s="4"/>
      <c r="G23" s="4"/>
      <c r="H23" s="4"/>
    </row>
    <row r="24" spans="1:9" ht="12.75" customHeight="1" x14ac:dyDescent="0.25">
      <c r="A24" s="71" t="s">
        <v>189</v>
      </c>
      <c r="B24" s="70">
        <v>12</v>
      </c>
      <c r="E24" s="4"/>
      <c r="F24" s="4"/>
      <c r="G24" s="4"/>
      <c r="H24" s="4"/>
    </row>
    <row r="25" spans="1:9" ht="12.75" customHeight="1" x14ac:dyDescent="0.25">
      <c r="E25" s="4"/>
      <c r="F25" s="4"/>
      <c r="G25" s="4"/>
      <c r="H25" s="4"/>
    </row>
    <row r="29" spans="1:9" ht="12.75" customHeight="1" x14ac:dyDescent="0.2">
      <c r="I29" s="71"/>
    </row>
  </sheetData>
  <mergeCells count="1">
    <mergeCell ref="A1:J1"/>
  </mergeCells>
  <pageMargins left="0.75" right="0.75" top="1" bottom="1" header="0.5" footer="0.5"/>
  <pageSetup scale="96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115" zoomScaleNormal="115" workbookViewId="0">
      <selection activeCell="A26" sqref="A26"/>
    </sheetView>
  </sheetViews>
  <sheetFormatPr defaultRowHeight="12.75" customHeight="1" x14ac:dyDescent="0.2"/>
  <cols>
    <col min="1" max="1" width="15.140625" style="70" bestFit="1" customWidth="1"/>
    <col min="2" max="2" width="12.140625" style="70" bestFit="1" customWidth="1"/>
    <col min="3" max="4" width="14.85546875" style="70" bestFit="1" customWidth="1"/>
    <col min="5" max="5" width="12.5703125" style="70" bestFit="1" customWidth="1"/>
    <col min="6" max="6" width="6" style="70" bestFit="1" customWidth="1"/>
    <col min="7" max="7" width="9.7109375" style="70" bestFit="1" customWidth="1"/>
    <col min="8" max="8" width="14.85546875" style="70" bestFit="1" customWidth="1"/>
    <col min="9" max="9" width="8.42578125" style="70" bestFit="1" customWidth="1"/>
    <col min="10" max="10" width="16.85546875" style="70" bestFit="1" customWidth="1"/>
    <col min="11" max="11" width="16.28515625" style="70" customWidth="1"/>
    <col min="12" max="12" width="9.140625" style="70"/>
    <col min="13" max="13" width="20.7109375" style="70" bestFit="1" customWidth="1"/>
    <col min="14" max="14" width="9.140625" style="70"/>
    <col min="15" max="16" width="11.85546875" style="70" bestFit="1" customWidth="1"/>
    <col min="17" max="16384" width="9.140625" style="70"/>
  </cols>
  <sheetData>
    <row r="1" spans="1:14" ht="24" customHeight="1" x14ac:dyDescent="0.35">
      <c r="A1" s="130" t="s">
        <v>208</v>
      </c>
      <c r="B1" s="130"/>
      <c r="C1" s="130"/>
      <c r="D1" s="130"/>
      <c r="E1" s="130"/>
      <c r="F1" s="130"/>
      <c r="G1" s="130"/>
      <c r="H1" s="130"/>
      <c r="I1" s="130"/>
      <c r="J1" s="130"/>
      <c r="M1" s="146" t="s">
        <v>421</v>
      </c>
    </row>
    <row r="2" spans="1:14" ht="12.75" customHeight="1" x14ac:dyDescent="0.2">
      <c r="A2" s="78" t="s">
        <v>207</v>
      </c>
      <c r="B2" s="77">
        <f ca="1">TODAY()</f>
        <v>43439</v>
      </c>
      <c r="H2" s="70" t="s">
        <v>405</v>
      </c>
    </row>
    <row r="3" spans="1:14" ht="12.75" customHeight="1" x14ac:dyDescent="0.2">
      <c r="A3" s="78"/>
      <c r="B3" s="77"/>
      <c r="M3" s="70" t="s">
        <v>194</v>
      </c>
      <c r="N3" s="70" t="s">
        <v>406</v>
      </c>
    </row>
    <row r="4" spans="1:14" x14ac:dyDescent="0.2">
      <c r="A4" s="74" t="s">
        <v>206</v>
      </c>
      <c r="B4" s="74" t="s">
        <v>196</v>
      </c>
      <c r="C4" s="74" t="s">
        <v>195</v>
      </c>
      <c r="D4" s="74" t="s">
        <v>90</v>
      </c>
      <c r="H4" s="70" t="s">
        <v>401</v>
      </c>
      <c r="M4" s="70" t="s">
        <v>407</v>
      </c>
      <c r="N4" s="70" t="s">
        <v>408</v>
      </c>
    </row>
    <row r="5" spans="1:14" x14ac:dyDescent="0.2">
      <c r="A5" s="71" t="s">
        <v>205</v>
      </c>
      <c r="B5" s="70" t="s">
        <v>194</v>
      </c>
      <c r="C5" s="93">
        <f t="shared" ref="C5:C13" si="0">IF(B5=Deluxe,DeluxeCost,IF(B5=Family,FamilyCost,IndividualCost))</f>
        <v>575</v>
      </c>
      <c r="D5" s="93">
        <f t="shared" ref="D5:D13" si="1">IF(B5=Deluxe,DeluxeDownPayment,IF(B5=Family,FamilyDownPayment,IndividualDownPayment))</f>
        <v>250</v>
      </c>
      <c r="H5" s="70" t="s">
        <v>402</v>
      </c>
      <c r="M5" s="70" t="s">
        <v>409</v>
      </c>
      <c r="N5" s="70" t="s">
        <v>410</v>
      </c>
    </row>
    <row r="6" spans="1:14" x14ac:dyDescent="0.2">
      <c r="A6" s="71" t="s">
        <v>204</v>
      </c>
      <c r="B6" s="70" t="s">
        <v>192</v>
      </c>
      <c r="C6" s="93">
        <f t="shared" si="0"/>
        <v>300</v>
      </c>
      <c r="D6" s="93">
        <f t="shared" si="1"/>
        <v>150</v>
      </c>
      <c r="M6" s="70" t="s">
        <v>193</v>
      </c>
      <c r="N6" s="70" t="s">
        <v>411</v>
      </c>
    </row>
    <row r="7" spans="1:14" x14ac:dyDescent="0.2">
      <c r="A7" s="71" t="s">
        <v>203</v>
      </c>
      <c r="B7" s="70" t="s">
        <v>193</v>
      </c>
      <c r="C7" s="93">
        <f t="shared" si="0"/>
        <v>1500</v>
      </c>
      <c r="D7" s="93">
        <f t="shared" si="1"/>
        <v>700</v>
      </c>
      <c r="M7" s="70" t="s">
        <v>412</v>
      </c>
      <c r="N7" s="70" t="s">
        <v>413</v>
      </c>
    </row>
    <row r="8" spans="1:14" x14ac:dyDescent="0.2">
      <c r="A8" s="71" t="s">
        <v>202</v>
      </c>
      <c r="B8" s="70" t="s">
        <v>194</v>
      </c>
      <c r="C8" s="93">
        <f t="shared" si="0"/>
        <v>575</v>
      </c>
      <c r="D8" s="93">
        <f t="shared" si="1"/>
        <v>250</v>
      </c>
      <c r="M8" s="70" t="s">
        <v>414</v>
      </c>
      <c r="N8" s="70" t="s">
        <v>415</v>
      </c>
    </row>
    <row r="9" spans="1:14" x14ac:dyDescent="0.2">
      <c r="A9" s="71" t="s">
        <v>201</v>
      </c>
      <c r="B9" s="70" t="s">
        <v>194</v>
      </c>
      <c r="C9" s="93">
        <f t="shared" si="0"/>
        <v>575</v>
      </c>
      <c r="D9" s="93">
        <f t="shared" si="1"/>
        <v>250</v>
      </c>
      <c r="H9" s="70" t="s">
        <v>403</v>
      </c>
      <c r="M9" s="70" t="s">
        <v>192</v>
      </c>
      <c r="N9" s="70" t="s">
        <v>416</v>
      </c>
    </row>
    <row r="10" spans="1:14" x14ac:dyDescent="0.2">
      <c r="A10" s="71" t="s">
        <v>200</v>
      </c>
      <c r="B10" s="70" t="s">
        <v>192</v>
      </c>
      <c r="C10" s="93">
        <f t="shared" si="0"/>
        <v>300</v>
      </c>
      <c r="D10" s="93">
        <f t="shared" si="1"/>
        <v>150</v>
      </c>
      <c r="M10" s="70" t="s">
        <v>417</v>
      </c>
      <c r="N10" s="70" t="s">
        <v>418</v>
      </c>
    </row>
    <row r="11" spans="1:14" x14ac:dyDescent="0.2">
      <c r="A11" s="71" t="s">
        <v>199</v>
      </c>
      <c r="B11" s="70" t="s">
        <v>192</v>
      </c>
      <c r="C11" s="93">
        <f t="shared" si="0"/>
        <v>300</v>
      </c>
      <c r="D11" s="93">
        <f t="shared" si="1"/>
        <v>150</v>
      </c>
      <c r="M11" s="70" t="s">
        <v>419</v>
      </c>
      <c r="N11" s="70" t="s">
        <v>420</v>
      </c>
    </row>
    <row r="12" spans="1:14" x14ac:dyDescent="0.2">
      <c r="A12" s="71" t="s">
        <v>198</v>
      </c>
      <c r="B12" s="70" t="s">
        <v>192</v>
      </c>
      <c r="C12" s="93">
        <f t="shared" si="0"/>
        <v>300</v>
      </c>
      <c r="D12" s="93">
        <f t="shared" si="1"/>
        <v>150</v>
      </c>
    </row>
    <row r="13" spans="1:14" x14ac:dyDescent="0.2">
      <c r="A13" s="71" t="s">
        <v>197</v>
      </c>
      <c r="B13" s="70" t="s">
        <v>192</v>
      </c>
      <c r="C13" s="93">
        <f t="shared" si="0"/>
        <v>300</v>
      </c>
      <c r="D13" s="93">
        <f t="shared" si="1"/>
        <v>150</v>
      </c>
    </row>
    <row r="14" spans="1:14" ht="12.75" customHeight="1" x14ac:dyDescent="0.2">
      <c r="A14" s="75" t="s">
        <v>149</v>
      </c>
    </row>
    <row r="15" spans="1:14" ht="12.75" customHeight="1" x14ac:dyDescent="0.25">
      <c r="E15" s="4"/>
      <c r="F15" s="4"/>
      <c r="G15" s="4"/>
      <c r="H15" s="4"/>
    </row>
    <row r="16" spans="1:14" ht="12.75" customHeight="1" x14ac:dyDescent="0.25">
      <c r="E16" s="4"/>
      <c r="F16" s="4"/>
      <c r="G16" s="4"/>
      <c r="H16" s="4"/>
    </row>
    <row r="17" spans="1:9" ht="15" x14ac:dyDescent="0.25">
      <c r="A17" s="74" t="s">
        <v>196</v>
      </c>
      <c r="B17" s="74" t="s">
        <v>195</v>
      </c>
      <c r="C17" s="74" t="s">
        <v>90</v>
      </c>
      <c r="E17" s="4"/>
      <c r="F17" s="4"/>
      <c r="G17" s="4"/>
      <c r="H17" s="4"/>
    </row>
    <row r="18" spans="1:9" ht="12.75" customHeight="1" x14ac:dyDescent="0.25">
      <c r="A18" s="70" t="s">
        <v>194</v>
      </c>
      <c r="B18" s="73">
        <v>575</v>
      </c>
      <c r="C18" s="73">
        <v>250</v>
      </c>
      <c r="E18" s="4"/>
      <c r="F18" s="4"/>
      <c r="G18" s="4"/>
      <c r="H18" s="4"/>
    </row>
    <row r="19" spans="1:9" ht="12.75" customHeight="1" x14ac:dyDescent="0.25">
      <c r="A19" s="70" t="s">
        <v>193</v>
      </c>
      <c r="B19" s="73">
        <v>1500</v>
      </c>
      <c r="C19" s="73">
        <v>700</v>
      </c>
      <c r="E19" s="4"/>
      <c r="F19" s="4"/>
      <c r="G19" s="4"/>
      <c r="H19" s="4"/>
    </row>
    <row r="20" spans="1:9" ht="12.75" customHeight="1" x14ac:dyDescent="0.25">
      <c r="A20" s="70" t="s">
        <v>192</v>
      </c>
      <c r="B20" s="73">
        <v>300</v>
      </c>
      <c r="C20" s="73">
        <v>150</v>
      </c>
      <c r="E20" s="4"/>
      <c r="F20" s="4"/>
      <c r="G20" s="4"/>
      <c r="H20" s="4"/>
    </row>
    <row r="21" spans="1:9" ht="12.75" customHeight="1" x14ac:dyDescent="0.25">
      <c r="E21" s="4"/>
      <c r="F21" s="4"/>
      <c r="G21" s="4"/>
      <c r="H21" s="4"/>
    </row>
    <row r="22" spans="1:9" ht="12.75" customHeight="1" x14ac:dyDescent="0.25">
      <c r="A22" s="70" t="s">
        <v>191</v>
      </c>
      <c r="B22" s="73">
        <v>75</v>
      </c>
      <c r="E22" s="4"/>
      <c r="F22" s="4"/>
      <c r="G22" s="4"/>
      <c r="H22" s="4"/>
    </row>
    <row r="23" spans="1:9" ht="12.75" customHeight="1" x14ac:dyDescent="0.25">
      <c r="A23" s="71" t="s">
        <v>190</v>
      </c>
      <c r="B23" s="72">
        <v>5.7500000000000002E-2</v>
      </c>
      <c r="E23" s="4"/>
      <c r="F23" s="4"/>
      <c r="G23" s="4"/>
      <c r="H23" s="4"/>
    </row>
    <row r="24" spans="1:9" ht="12.75" customHeight="1" x14ac:dyDescent="0.25">
      <c r="A24" s="71" t="s">
        <v>189</v>
      </c>
      <c r="B24" s="70">
        <v>12</v>
      </c>
      <c r="E24" s="4"/>
      <c r="F24" s="4"/>
      <c r="G24" s="4"/>
      <c r="H24" s="4"/>
    </row>
    <row r="25" spans="1:9" ht="12.75" customHeight="1" x14ac:dyDescent="0.25">
      <c r="E25" s="4"/>
      <c r="F25" s="4"/>
      <c r="G25" s="4"/>
      <c r="H25" s="4"/>
    </row>
    <row r="27" spans="1:9" ht="12.75" customHeight="1" x14ac:dyDescent="0.2">
      <c r="H27" s="70" t="s">
        <v>404</v>
      </c>
    </row>
    <row r="29" spans="1:9" ht="12.75" customHeight="1" x14ac:dyDescent="0.2">
      <c r="I29" s="71"/>
    </row>
  </sheetData>
  <mergeCells count="1">
    <mergeCell ref="A1:J1"/>
  </mergeCells>
  <pageMargins left="0.75" right="0.75" top="1" bottom="1" header="0.5" footer="0.5"/>
  <pageSetup scale="96" orientation="portrait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zoomScale="148" zoomScaleNormal="148" zoomScalePageLayoutView="170" workbookViewId="0">
      <selection activeCell="B23" sqref="B23"/>
    </sheetView>
  </sheetViews>
  <sheetFormatPr defaultColWidth="8.85546875" defaultRowHeight="15" x14ac:dyDescent="0.25"/>
  <cols>
    <col min="1" max="1" width="19.85546875" style="4" bestFit="1" customWidth="1"/>
    <col min="2" max="2" width="12.42578125" style="4" bestFit="1" customWidth="1"/>
    <col min="3" max="3" width="6.42578125" style="4" customWidth="1"/>
    <col min="4" max="4" width="7.140625" style="4" customWidth="1"/>
    <col min="5" max="5" width="10.42578125" style="4" customWidth="1"/>
    <col min="6" max="7" width="12.7109375" style="4" customWidth="1"/>
    <col min="8" max="8" width="6.42578125" style="4" customWidth="1"/>
    <col min="9" max="16384" width="8.85546875" style="4"/>
  </cols>
  <sheetData>
    <row r="1" spans="1:7" x14ac:dyDescent="0.25">
      <c r="A1" s="17" t="s">
        <v>96</v>
      </c>
      <c r="B1" s="17"/>
      <c r="D1" s="17" t="s">
        <v>95</v>
      </c>
      <c r="E1" s="17"/>
      <c r="F1" s="17"/>
      <c r="G1" s="17"/>
    </row>
    <row r="2" spans="1:7" x14ac:dyDescent="0.25">
      <c r="A2" s="4" t="s">
        <v>93</v>
      </c>
      <c r="B2" s="14">
        <v>45000</v>
      </c>
      <c r="E2" s="132" t="s">
        <v>92</v>
      </c>
      <c r="F2" s="132"/>
      <c r="G2" s="132"/>
    </row>
    <row r="3" spans="1:7" x14ac:dyDescent="0.25">
      <c r="A3" s="4" t="s">
        <v>90</v>
      </c>
      <c r="B3" s="14">
        <v>8000</v>
      </c>
      <c r="D3" s="20"/>
      <c r="E3" s="2"/>
      <c r="F3" s="15"/>
      <c r="G3" s="15"/>
    </row>
    <row r="4" spans="1:7" x14ac:dyDescent="0.25">
      <c r="A4" s="4" t="s">
        <v>89</v>
      </c>
      <c r="B4" s="18">
        <v>4.4999999999999998E-2</v>
      </c>
      <c r="D4" s="3"/>
      <c r="E4" s="15"/>
      <c r="F4" s="15"/>
      <c r="G4" s="15"/>
    </row>
    <row r="5" spans="1:7" x14ac:dyDescent="0.25">
      <c r="A5" s="4" t="s">
        <v>88</v>
      </c>
      <c r="B5" s="7">
        <v>5</v>
      </c>
      <c r="D5" s="3"/>
      <c r="E5" s="15"/>
      <c r="F5" s="15"/>
      <c r="G5" s="15"/>
    </row>
    <row r="6" spans="1:7" x14ac:dyDescent="0.25">
      <c r="A6" s="4" t="s">
        <v>87</v>
      </c>
      <c r="B6" s="7">
        <v>12</v>
      </c>
      <c r="D6" s="3"/>
      <c r="E6" s="15"/>
      <c r="F6" s="15"/>
      <c r="G6" s="15"/>
    </row>
    <row r="7" spans="1:7" x14ac:dyDescent="0.25">
      <c r="D7" s="3"/>
      <c r="E7" s="15"/>
      <c r="F7" s="15"/>
      <c r="G7" s="15"/>
    </row>
    <row r="8" spans="1:7" x14ac:dyDescent="0.25">
      <c r="A8" s="17" t="s">
        <v>86</v>
      </c>
      <c r="B8" s="17"/>
      <c r="D8" s="3"/>
      <c r="E8" s="15"/>
      <c r="F8" s="15"/>
      <c r="G8" s="15"/>
    </row>
    <row r="9" spans="1:7" x14ac:dyDescent="0.25">
      <c r="A9" s="4" t="s">
        <v>85</v>
      </c>
      <c r="B9" s="2">
        <f>B2-B3</f>
        <v>37000</v>
      </c>
      <c r="D9" s="3"/>
      <c r="E9" s="15"/>
      <c r="F9" s="15"/>
      <c r="G9" s="15"/>
    </row>
    <row r="10" spans="1:7" x14ac:dyDescent="0.25">
      <c r="A10" s="4" t="s">
        <v>84</v>
      </c>
      <c r="B10" s="16">
        <f>B4/B6</f>
        <v>3.7499999999999999E-3</v>
      </c>
      <c r="D10" s="3"/>
      <c r="E10" s="15"/>
      <c r="F10" s="15"/>
      <c r="G10" s="15"/>
    </row>
    <row r="11" spans="1:7" x14ac:dyDescent="0.25">
      <c r="A11" s="4" t="s">
        <v>83</v>
      </c>
      <c r="B11" s="4">
        <f>B5*B6</f>
        <v>60</v>
      </c>
      <c r="D11" s="3"/>
      <c r="E11" s="15"/>
      <c r="F11" s="15"/>
      <c r="G11" s="15"/>
    </row>
    <row r="12" spans="1:7" x14ac:dyDescent="0.25">
      <c r="A12" s="4" t="s">
        <v>82</v>
      </c>
      <c r="B12" s="14">
        <f>PMT(B10,B11,-B9)</f>
        <v>689.79171193611603</v>
      </c>
      <c r="D12" s="3"/>
      <c r="E12" s="15"/>
      <c r="F12" s="15"/>
      <c r="G12" s="15"/>
    </row>
    <row r="13" spans="1:7" x14ac:dyDescent="0.25">
      <c r="A13" s="4" t="s">
        <v>81</v>
      </c>
      <c r="B13" s="14">
        <f>B11*B12</f>
        <v>41387.502716166964</v>
      </c>
    </row>
    <row r="14" spans="1:7" x14ac:dyDescent="0.25">
      <c r="A14" s="4" t="s">
        <v>80</v>
      </c>
      <c r="B14" s="2">
        <f>B13-B9</f>
        <v>4387.5027161669641</v>
      </c>
    </row>
  </sheetData>
  <mergeCells count="1">
    <mergeCell ref="E2:G2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48" zoomScaleNormal="148" zoomScalePageLayoutView="170" workbookViewId="0">
      <selection activeCell="D4" sqref="D4:D12"/>
    </sheetView>
  </sheetViews>
  <sheetFormatPr defaultColWidth="8.85546875" defaultRowHeight="15" x14ac:dyDescent="0.25"/>
  <cols>
    <col min="1" max="1" width="19.85546875" style="4" bestFit="1" customWidth="1"/>
    <col min="2" max="2" width="12.42578125" style="4" bestFit="1" customWidth="1"/>
    <col min="3" max="3" width="6.42578125" style="4" customWidth="1"/>
    <col min="4" max="4" width="7.140625" style="4" customWidth="1"/>
    <col min="5" max="5" width="16.85546875" style="4" bestFit="1" customWidth="1"/>
    <col min="6" max="6" width="12.7109375" style="4" customWidth="1"/>
    <col min="7" max="7" width="13.7109375" style="4" bestFit="1" customWidth="1"/>
    <col min="8" max="8" width="6.42578125" style="4" customWidth="1"/>
    <col min="9" max="16384" width="8.85546875" style="4"/>
  </cols>
  <sheetData>
    <row r="1" spans="1:7" x14ac:dyDescent="0.25">
      <c r="A1" s="17" t="s">
        <v>96</v>
      </c>
      <c r="B1" s="17"/>
      <c r="D1" s="17" t="s">
        <v>95</v>
      </c>
      <c r="E1" s="17"/>
      <c r="F1" s="17"/>
      <c r="G1" s="17"/>
    </row>
    <row r="2" spans="1:7" x14ac:dyDescent="0.25">
      <c r="A2" s="4" t="s">
        <v>93</v>
      </c>
      <c r="B2" s="14">
        <v>45000</v>
      </c>
      <c r="E2" s="132" t="s">
        <v>92</v>
      </c>
      <c r="F2" s="132"/>
      <c r="G2" s="132"/>
    </row>
    <row r="3" spans="1:7" x14ac:dyDescent="0.25">
      <c r="A3" s="4" t="s">
        <v>90</v>
      </c>
      <c r="B3" s="14">
        <v>8000</v>
      </c>
      <c r="D3" s="20"/>
      <c r="E3" s="104">
        <f>B12</f>
        <v>689.79171193611603</v>
      </c>
      <c r="F3" s="105">
        <f>B14</f>
        <v>4387.5027161669641</v>
      </c>
      <c r="G3" s="106">
        <f>B13</f>
        <v>41387.502716166964</v>
      </c>
    </row>
    <row r="4" spans="1:7" x14ac:dyDescent="0.25">
      <c r="A4" s="4" t="s">
        <v>89</v>
      </c>
      <c r="B4" s="18">
        <v>4.4999999999999998E-2</v>
      </c>
      <c r="D4" s="101">
        <v>1.4999999999999999E-2</v>
      </c>
      <c r="E4" s="14">
        <f t="dataTable" ref="E4:G12" dt2D="0" dtr="0" r1="B4"/>
        <v>640.46585802943525</v>
      </c>
      <c r="F4" s="14">
        <v>1427.9514817661184</v>
      </c>
      <c r="G4" s="14">
        <v>38427.951481766118</v>
      </c>
    </row>
    <row r="5" spans="1:7" x14ac:dyDescent="0.25">
      <c r="A5" s="4" t="s">
        <v>88</v>
      </c>
      <c r="B5" s="7">
        <v>5</v>
      </c>
      <c r="D5" s="101">
        <v>0.02</v>
      </c>
      <c r="E5" s="14">
        <v>648.52712197004212</v>
      </c>
      <c r="F5" s="14">
        <v>1911.6273182025252</v>
      </c>
      <c r="G5" s="14">
        <v>38911.627318202525</v>
      </c>
    </row>
    <row r="6" spans="1:7" x14ac:dyDescent="0.25">
      <c r="A6" s="4" t="s">
        <v>87</v>
      </c>
      <c r="B6" s="7">
        <v>12</v>
      </c>
      <c r="D6" s="101">
        <v>2.5000000000000001E-2</v>
      </c>
      <c r="E6" s="14">
        <v>656.65237940277029</v>
      </c>
      <c r="F6" s="14">
        <v>2399.1427641662158</v>
      </c>
      <c r="G6" s="14">
        <v>39399.142764166216</v>
      </c>
    </row>
    <row r="7" spans="1:7" x14ac:dyDescent="0.25">
      <c r="D7" s="101">
        <v>0.03</v>
      </c>
      <c r="E7" s="14">
        <v>664.84155457033614</v>
      </c>
      <c r="F7" s="14">
        <v>2890.4932742201709</v>
      </c>
      <c r="G7" s="14">
        <v>39890.493274220171</v>
      </c>
    </row>
    <row r="8" spans="1:7" x14ac:dyDescent="0.25">
      <c r="A8" s="17" t="s">
        <v>86</v>
      </c>
      <c r="B8" s="17"/>
      <c r="D8" s="101">
        <v>3.5000000000000003E-2</v>
      </c>
      <c r="E8" s="14">
        <v>673.09456389948684</v>
      </c>
      <c r="F8" s="14">
        <v>3385.6738339692092</v>
      </c>
      <c r="G8" s="14">
        <v>40385.673833969209</v>
      </c>
    </row>
    <row r="9" spans="1:7" x14ac:dyDescent="0.25">
      <c r="A9" s="4" t="s">
        <v>85</v>
      </c>
      <c r="B9" s="2">
        <f>B2-B3</f>
        <v>37000</v>
      </c>
      <c r="D9" s="101">
        <v>0.04</v>
      </c>
      <c r="E9" s="14">
        <v>681.41131604485497</v>
      </c>
      <c r="F9" s="14">
        <v>3884.6789626913014</v>
      </c>
      <c r="G9" s="14">
        <v>40884.678962691301</v>
      </c>
    </row>
    <row r="10" spans="1:7" x14ac:dyDescent="0.25">
      <c r="A10" s="4" t="s">
        <v>84</v>
      </c>
      <c r="B10" s="16">
        <f>B4/B6</f>
        <v>3.7499999999999999E-3</v>
      </c>
      <c r="D10" s="102">
        <v>4.4999999999999998E-2</v>
      </c>
      <c r="E10" s="103">
        <v>689.79171193611603</v>
      </c>
      <c r="F10" s="103">
        <v>4387.5027161669641</v>
      </c>
      <c r="G10" s="103">
        <v>41387.502716166964</v>
      </c>
    </row>
    <row r="11" spans="1:7" x14ac:dyDescent="0.25">
      <c r="A11" s="4" t="s">
        <v>83</v>
      </c>
      <c r="B11" s="4">
        <f>B5*B6</f>
        <v>60</v>
      </c>
      <c r="D11" s="101">
        <v>0.05</v>
      </c>
      <c r="E11" s="14">
        <v>698.23564482840459</v>
      </c>
      <c r="F11" s="14">
        <v>4894.1386897042757</v>
      </c>
      <c r="G11" s="14">
        <v>41894.138689704276</v>
      </c>
    </row>
    <row r="12" spans="1:7" x14ac:dyDescent="0.25">
      <c r="A12" s="4" t="s">
        <v>82</v>
      </c>
      <c r="B12" s="14">
        <f>PMT(B10,B11,-B9)</f>
        <v>689.79171193611603</v>
      </c>
      <c r="D12" s="101">
        <v>5.5E-2</v>
      </c>
      <c r="E12" s="14">
        <v>706.74300035594297</v>
      </c>
      <c r="F12" s="14">
        <v>5404.5800213565817</v>
      </c>
      <c r="G12" s="14">
        <v>42404.580021356582</v>
      </c>
    </row>
    <row r="13" spans="1:7" x14ac:dyDescent="0.25">
      <c r="A13" s="4" t="s">
        <v>81</v>
      </c>
      <c r="B13" s="14">
        <f>B11*B12</f>
        <v>41387.502716166964</v>
      </c>
    </row>
    <row r="14" spans="1:7" x14ac:dyDescent="0.25">
      <c r="A14" s="4" t="s">
        <v>80</v>
      </c>
      <c r="B14" s="2">
        <f>B13-B9</f>
        <v>4387.5027161669641</v>
      </c>
    </row>
  </sheetData>
  <mergeCells count="1">
    <mergeCell ref="E2:G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48" zoomScaleNormal="148" zoomScalePageLayoutView="170" workbookViewId="0">
      <selection activeCell="E24" sqref="E24"/>
    </sheetView>
  </sheetViews>
  <sheetFormatPr defaultColWidth="8.85546875" defaultRowHeight="15" x14ac:dyDescent="0.25"/>
  <cols>
    <col min="1" max="1" width="19.85546875" style="4" bestFit="1" customWidth="1"/>
    <col min="2" max="2" width="12.42578125" style="4" bestFit="1" customWidth="1"/>
    <col min="3" max="3" width="6.42578125" style="4" customWidth="1"/>
    <col min="4" max="4" width="7" style="4" customWidth="1"/>
    <col min="5" max="6" width="11.42578125" style="4" customWidth="1"/>
    <col min="7" max="7" width="12.7109375" style="4" customWidth="1"/>
    <col min="8" max="16384" width="8.85546875" style="4"/>
  </cols>
  <sheetData>
    <row r="1" spans="1:7" x14ac:dyDescent="0.25">
      <c r="A1" s="17" t="s">
        <v>96</v>
      </c>
      <c r="B1" s="17"/>
      <c r="D1" s="17" t="s">
        <v>94</v>
      </c>
      <c r="E1" s="17"/>
      <c r="F1" s="17"/>
      <c r="G1" s="17"/>
    </row>
    <row r="2" spans="1:7" x14ac:dyDescent="0.25">
      <c r="A2" s="4" t="s">
        <v>93</v>
      </c>
      <c r="B2" s="14">
        <v>45000</v>
      </c>
      <c r="E2" s="132" t="s">
        <v>91</v>
      </c>
      <c r="F2" s="132"/>
      <c r="G2" s="132"/>
    </row>
    <row r="3" spans="1:7" x14ac:dyDescent="0.25">
      <c r="A3" s="4" t="s">
        <v>90</v>
      </c>
      <c r="B3" s="14">
        <v>8000</v>
      </c>
      <c r="D3" s="19"/>
      <c r="E3" s="3"/>
      <c r="F3" s="3"/>
      <c r="G3" s="3"/>
    </row>
    <row r="4" spans="1:7" x14ac:dyDescent="0.25">
      <c r="A4" s="4" t="s">
        <v>89</v>
      </c>
      <c r="B4" s="18">
        <v>4.4999999999999998E-2</v>
      </c>
      <c r="D4" s="3"/>
      <c r="E4" s="1"/>
      <c r="F4" s="1"/>
      <c r="G4" s="1"/>
    </row>
    <row r="5" spans="1:7" x14ac:dyDescent="0.25">
      <c r="A5" s="4" t="s">
        <v>88</v>
      </c>
      <c r="B5" s="7">
        <v>5</v>
      </c>
      <c r="D5" s="3"/>
      <c r="E5" s="1"/>
      <c r="F5" s="1"/>
      <c r="G5" s="1"/>
    </row>
    <row r="6" spans="1:7" x14ac:dyDescent="0.25">
      <c r="A6" s="4" t="s">
        <v>87</v>
      </c>
      <c r="B6" s="7">
        <v>12</v>
      </c>
      <c r="D6" s="3"/>
      <c r="E6" s="1"/>
      <c r="F6" s="1"/>
      <c r="G6" s="1"/>
    </row>
    <row r="7" spans="1:7" x14ac:dyDescent="0.25">
      <c r="D7" s="3"/>
      <c r="E7" s="1"/>
      <c r="F7" s="1"/>
      <c r="G7" s="1"/>
    </row>
    <row r="8" spans="1:7" x14ac:dyDescent="0.25">
      <c r="A8" s="17" t="s">
        <v>86</v>
      </c>
      <c r="B8" s="17"/>
      <c r="D8" s="3"/>
      <c r="E8" s="1"/>
      <c r="F8" s="1"/>
      <c r="G8" s="1"/>
    </row>
    <row r="9" spans="1:7" x14ac:dyDescent="0.25">
      <c r="A9" s="4" t="s">
        <v>85</v>
      </c>
      <c r="B9" s="2">
        <f>B2-B3</f>
        <v>37000</v>
      </c>
      <c r="D9" s="3"/>
      <c r="E9" s="1"/>
      <c r="F9" s="1"/>
      <c r="G9" s="1"/>
    </row>
    <row r="10" spans="1:7" x14ac:dyDescent="0.25">
      <c r="A10" s="4" t="s">
        <v>84</v>
      </c>
      <c r="B10" s="16">
        <f>B4/B6</f>
        <v>3.7499999999999999E-3</v>
      </c>
      <c r="D10" s="3"/>
      <c r="E10" s="1"/>
      <c r="F10" s="1"/>
      <c r="G10" s="1"/>
    </row>
    <row r="11" spans="1:7" x14ac:dyDescent="0.25">
      <c r="A11" s="4" t="s">
        <v>83</v>
      </c>
      <c r="B11" s="4">
        <f>B5*B6</f>
        <v>60</v>
      </c>
      <c r="D11" s="3"/>
      <c r="E11" s="1"/>
      <c r="F11" s="1"/>
      <c r="G11" s="1"/>
    </row>
    <row r="12" spans="1:7" x14ac:dyDescent="0.25">
      <c r="A12" s="4" t="s">
        <v>82</v>
      </c>
      <c r="B12" s="14">
        <f>PMT(B10,B11,-B9)</f>
        <v>689.79171193611603</v>
      </c>
      <c r="D12" s="3"/>
      <c r="E12" s="1"/>
      <c r="F12" s="1"/>
      <c r="G12" s="1"/>
    </row>
    <row r="13" spans="1:7" x14ac:dyDescent="0.25">
      <c r="A13" s="4" t="s">
        <v>81</v>
      </c>
      <c r="B13" s="14">
        <f>B11*B12</f>
        <v>41387.502716166964</v>
      </c>
      <c r="D13" s="3"/>
      <c r="E13" s="1"/>
      <c r="F13" s="1"/>
      <c r="G13" s="1"/>
    </row>
    <row r="14" spans="1:7" x14ac:dyDescent="0.25">
      <c r="A14" s="4" t="s">
        <v>80</v>
      </c>
      <c r="B14" s="2">
        <f>B13-B9</f>
        <v>4387.5027161669641</v>
      </c>
      <c r="D14" s="3"/>
      <c r="E14" s="1"/>
      <c r="F14" s="1"/>
      <c r="G14" s="1"/>
    </row>
    <row r="15" spans="1:7" x14ac:dyDescent="0.25">
      <c r="D15"/>
      <c r="E15" s="1"/>
      <c r="F15" s="1"/>
      <c r="G15" s="1"/>
    </row>
    <row r="16" spans="1:7" x14ac:dyDescent="0.25">
      <c r="D16"/>
      <c r="E16" s="1"/>
      <c r="F16" s="1"/>
      <c r="G16" s="1"/>
    </row>
    <row r="17" spans="4:7" x14ac:dyDescent="0.25">
      <c r="D17"/>
      <c r="E17" s="1"/>
      <c r="F17" s="1"/>
      <c r="G17" s="1"/>
    </row>
    <row r="18" spans="4:7" x14ac:dyDescent="0.25">
      <c r="D18"/>
      <c r="E18" s="1"/>
      <c r="F18" s="1"/>
      <c r="G18" s="1"/>
    </row>
    <row r="19" spans="4:7" x14ac:dyDescent="0.25">
      <c r="D19"/>
      <c r="E19" s="1"/>
      <c r="F19" s="1"/>
      <c r="G19" s="1"/>
    </row>
    <row r="20" spans="4:7" x14ac:dyDescent="0.25">
      <c r="D20"/>
      <c r="E20" s="1"/>
      <c r="F20" s="1"/>
      <c r="G20" s="1"/>
    </row>
  </sheetData>
  <mergeCells count="1">
    <mergeCell ref="E2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48" zoomScaleNormal="148" zoomScalePageLayoutView="170" workbookViewId="0">
      <selection activeCell="G10" sqref="G10"/>
    </sheetView>
  </sheetViews>
  <sheetFormatPr defaultColWidth="8.85546875" defaultRowHeight="15" x14ac:dyDescent="0.25"/>
  <cols>
    <col min="1" max="1" width="19.85546875" style="4" bestFit="1" customWidth="1"/>
    <col min="2" max="2" width="12.42578125" style="4" bestFit="1" customWidth="1"/>
    <col min="3" max="3" width="6.42578125" style="4" customWidth="1"/>
    <col min="4" max="4" width="9.5703125" style="4" customWidth="1"/>
    <col min="5" max="6" width="11.42578125" style="4" customWidth="1"/>
    <col min="7" max="7" width="12.7109375" style="4" customWidth="1"/>
    <col min="8" max="16384" width="8.85546875" style="4"/>
  </cols>
  <sheetData>
    <row r="1" spans="1:7" x14ac:dyDescent="0.25">
      <c r="A1" s="17" t="s">
        <v>96</v>
      </c>
      <c r="B1" s="17"/>
      <c r="D1" s="17" t="s">
        <v>94</v>
      </c>
      <c r="E1" s="17"/>
      <c r="F1" s="17"/>
      <c r="G1" s="17"/>
    </row>
    <row r="2" spans="1:7" x14ac:dyDescent="0.25">
      <c r="A2" s="4" t="s">
        <v>93</v>
      </c>
      <c r="B2" s="14">
        <v>45000</v>
      </c>
      <c r="E2" s="132" t="s">
        <v>91</v>
      </c>
      <c r="F2" s="132"/>
      <c r="G2" s="132"/>
    </row>
    <row r="3" spans="1:7" x14ac:dyDescent="0.25">
      <c r="A3" s="4" t="s">
        <v>90</v>
      </c>
      <c r="B3" s="14">
        <v>8000</v>
      </c>
      <c r="D3" s="107">
        <f>B12</f>
        <v>689.79171193611603</v>
      </c>
      <c r="E3" s="108">
        <v>5000</v>
      </c>
      <c r="F3" s="108">
        <v>6000</v>
      </c>
      <c r="G3" s="108">
        <v>8000</v>
      </c>
    </row>
    <row r="4" spans="1:7" x14ac:dyDescent="0.25">
      <c r="A4" s="4" t="s">
        <v>89</v>
      </c>
      <c r="B4" s="18">
        <v>4.4999999999999998E-2</v>
      </c>
      <c r="D4" s="101">
        <v>1.4999999999999999E-2</v>
      </c>
      <c r="E4" s="1">
        <f t="dataTable" ref="E4:G12" dt2D="1" dtr="1" r1="B3" r2="B4"/>
        <v>692.39552219398399</v>
      </c>
      <c r="F4" s="1">
        <v>675.08563413913441</v>
      </c>
      <c r="G4" s="1">
        <v>640.46585802943525</v>
      </c>
    </row>
    <row r="5" spans="1:7" x14ac:dyDescent="0.25">
      <c r="A5" s="4" t="s">
        <v>88</v>
      </c>
      <c r="B5" s="7">
        <v>5</v>
      </c>
      <c r="D5" s="101">
        <v>0.02</v>
      </c>
      <c r="E5" s="1">
        <v>701.11040212977514</v>
      </c>
      <c r="F5" s="1">
        <v>683.58264207653087</v>
      </c>
      <c r="G5" s="1">
        <v>648.52712197004212</v>
      </c>
    </row>
    <row r="6" spans="1:7" x14ac:dyDescent="0.25">
      <c r="A6" s="4" t="s">
        <v>87</v>
      </c>
      <c r="B6" s="7">
        <v>12</v>
      </c>
      <c r="D6" s="101">
        <v>2.5000000000000001E-2</v>
      </c>
      <c r="E6" s="1">
        <v>709.89446421921105</v>
      </c>
      <c r="F6" s="1">
        <v>692.14710261373079</v>
      </c>
      <c r="G6" s="1">
        <v>656.65237940277029</v>
      </c>
    </row>
    <row r="7" spans="1:7" x14ac:dyDescent="0.25">
      <c r="D7" s="101">
        <v>0.03</v>
      </c>
      <c r="E7" s="1">
        <v>718.74762656252551</v>
      </c>
      <c r="F7" s="1">
        <v>700.77893589846235</v>
      </c>
      <c r="G7" s="1">
        <v>664.84155457033614</v>
      </c>
    </row>
    <row r="8" spans="1:7" x14ac:dyDescent="0.25">
      <c r="A8" s="17" t="s">
        <v>86</v>
      </c>
      <c r="B8" s="17"/>
      <c r="D8" s="101">
        <v>3.5000000000000003E-2</v>
      </c>
      <c r="E8" s="1">
        <v>727.669798810256</v>
      </c>
      <c r="F8" s="1">
        <v>709.47805383999957</v>
      </c>
      <c r="G8" s="1">
        <v>673.09456389948684</v>
      </c>
    </row>
    <row r="9" spans="1:7" x14ac:dyDescent="0.25">
      <c r="A9" s="4" t="s">
        <v>85</v>
      </c>
      <c r="B9" s="2">
        <f>B2-B3</f>
        <v>37000</v>
      </c>
      <c r="D9" s="101">
        <v>0.04</v>
      </c>
      <c r="E9" s="1">
        <v>736.66088221065399</v>
      </c>
      <c r="F9" s="1">
        <v>718.24436015538765</v>
      </c>
      <c r="G9" s="1">
        <v>681.41131604485497</v>
      </c>
    </row>
    <row r="10" spans="1:7" x14ac:dyDescent="0.25">
      <c r="A10" s="4" t="s">
        <v>84</v>
      </c>
      <c r="B10" s="16">
        <f>B4/B6</f>
        <v>3.7499999999999999E-3</v>
      </c>
      <c r="D10" s="102">
        <v>4.4999999999999998E-2</v>
      </c>
      <c r="E10" s="1">
        <v>745.72076966066595</v>
      </c>
      <c r="F10" s="1">
        <v>727.07775041914931</v>
      </c>
      <c r="G10" s="109">
        <v>689.79171193611603</v>
      </c>
    </row>
    <row r="11" spans="1:7" x14ac:dyDescent="0.25">
      <c r="A11" s="4" t="s">
        <v>83</v>
      </c>
      <c r="B11" s="4">
        <f>B5*B6</f>
        <v>60</v>
      </c>
      <c r="D11" s="101">
        <v>0.05</v>
      </c>
      <c r="E11" s="1">
        <v>754.84934576043747</v>
      </c>
      <c r="F11" s="1">
        <v>735.97811211642647</v>
      </c>
      <c r="G11" s="1">
        <v>698.23564482840459</v>
      </c>
    </row>
    <row r="12" spans="1:7" x14ac:dyDescent="0.25">
      <c r="A12" s="4" t="s">
        <v>82</v>
      </c>
      <c r="B12" s="14">
        <f>PMT(B10,B11,-B9)</f>
        <v>689.79171193611603</v>
      </c>
      <c r="D12" s="101">
        <v>5.5E-2</v>
      </c>
      <c r="E12" s="1">
        <v>764.04648687128963</v>
      </c>
      <c r="F12" s="1">
        <v>744.94532469950741</v>
      </c>
      <c r="G12" s="1">
        <v>706.74300035594297</v>
      </c>
    </row>
    <row r="13" spans="1:7" x14ac:dyDescent="0.25">
      <c r="A13" s="4" t="s">
        <v>81</v>
      </c>
      <c r="B13" s="14">
        <f>B11*B12</f>
        <v>41387.502716166964</v>
      </c>
      <c r="D13"/>
      <c r="E13" s="1"/>
      <c r="F13" s="1"/>
      <c r="G13" s="1"/>
    </row>
    <row r="14" spans="1:7" x14ac:dyDescent="0.25">
      <c r="A14" s="4" t="s">
        <v>80</v>
      </c>
      <c r="B14" s="2">
        <f>B13-B9</f>
        <v>4387.5027161669641</v>
      </c>
      <c r="D14"/>
      <c r="E14" s="1"/>
      <c r="F14" s="1"/>
      <c r="G14" s="1"/>
    </row>
    <row r="15" spans="1:7" x14ac:dyDescent="0.25">
      <c r="E15" s="1"/>
      <c r="F15" s="1"/>
      <c r="G15" s="1"/>
    </row>
    <row r="16" spans="1:7" x14ac:dyDescent="0.25">
      <c r="E16" s="1"/>
      <c r="F16" s="1"/>
      <c r="G16" s="1"/>
    </row>
    <row r="17" spans="5:7" x14ac:dyDescent="0.25">
      <c r="E17" s="1"/>
      <c r="F17" s="1"/>
      <c r="G17" s="1"/>
    </row>
    <row r="18" spans="5:7" x14ac:dyDescent="0.25">
      <c r="E18" s="1"/>
      <c r="F18" s="1"/>
      <c r="G18" s="1"/>
    </row>
    <row r="19" spans="5:7" x14ac:dyDescent="0.25">
      <c r="E19" s="1"/>
      <c r="F19" s="1"/>
      <c r="G19" s="1"/>
    </row>
    <row r="20" spans="5:7" x14ac:dyDescent="0.25">
      <c r="E20" s="1"/>
      <c r="F20" s="1"/>
      <c r="G20" s="1"/>
    </row>
  </sheetData>
  <mergeCells count="1">
    <mergeCell ref="E2:G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148" zoomScaleNormal="148" zoomScalePageLayoutView="170" workbookViewId="0">
      <selection activeCell="C1" sqref="C1:L1048576"/>
    </sheetView>
  </sheetViews>
  <sheetFormatPr defaultColWidth="8.85546875" defaultRowHeight="15" x14ac:dyDescent="0.25"/>
  <cols>
    <col min="1" max="1" width="19.85546875" style="4" bestFit="1" customWidth="1"/>
    <col min="2" max="2" width="12.42578125" style="4" bestFit="1" customWidth="1"/>
    <col min="3" max="3" width="6.42578125" customWidth="1"/>
    <col min="4" max="4" width="7.140625" customWidth="1"/>
    <col min="5" max="5" width="10.42578125" customWidth="1"/>
    <col min="6" max="7" width="12.7109375" customWidth="1"/>
    <col min="8" max="8" width="6.42578125" customWidth="1"/>
    <col min="9" max="9" width="7" customWidth="1"/>
    <col min="10" max="11" width="11.42578125" customWidth="1"/>
    <col min="12" max="12" width="12.7109375" customWidth="1"/>
    <col min="13" max="16384" width="8.85546875" style="4"/>
  </cols>
  <sheetData>
    <row r="1" spans="1:2" x14ac:dyDescent="0.25">
      <c r="A1" s="17" t="s">
        <v>96</v>
      </c>
      <c r="B1" s="17"/>
    </row>
    <row r="2" spans="1:2" x14ac:dyDescent="0.25">
      <c r="A2" s="4" t="s">
        <v>93</v>
      </c>
      <c r="B2" s="14">
        <v>45000</v>
      </c>
    </row>
    <row r="3" spans="1:2" x14ac:dyDescent="0.25">
      <c r="A3" s="4" t="s">
        <v>90</v>
      </c>
      <c r="B3" s="14">
        <v>8000</v>
      </c>
    </row>
    <row r="4" spans="1:2" x14ac:dyDescent="0.25">
      <c r="A4" s="4" t="s">
        <v>89</v>
      </c>
      <c r="B4" s="18">
        <v>4.4999999999999998E-2</v>
      </c>
    </row>
    <row r="5" spans="1:2" x14ac:dyDescent="0.25">
      <c r="A5" s="4" t="s">
        <v>88</v>
      </c>
      <c r="B5" s="7">
        <v>5</v>
      </c>
    </row>
    <row r="6" spans="1:2" x14ac:dyDescent="0.25">
      <c r="A6" s="4" t="s">
        <v>87</v>
      </c>
      <c r="B6" s="7">
        <v>12</v>
      </c>
    </row>
    <row r="8" spans="1:2" x14ac:dyDescent="0.25">
      <c r="A8" s="17" t="s">
        <v>86</v>
      </c>
      <c r="B8" s="17"/>
    </row>
    <row r="9" spans="1:2" x14ac:dyDescent="0.25">
      <c r="A9" s="4" t="s">
        <v>85</v>
      </c>
      <c r="B9" s="2">
        <f>B2-B3</f>
        <v>37000</v>
      </c>
    </row>
    <row r="10" spans="1:2" x14ac:dyDescent="0.25">
      <c r="A10" s="4" t="s">
        <v>84</v>
      </c>
      <c r="B10" s="16">
        <f>B4/B6</f>
        <v>3.7499999999999999E-3</v>
      </c>
    </row>
    <row r="11" spans="1:2" x14ac:dyDescent="0.25">
      <c r="A11" s="4" t="s">
        <v>83</v>
      </c>
      <c r="B11" s="4">
        <f>B5*B6</f>
        <v>60</v>
      </c>
    </row>
    <row r="12" spans="1:2" x14ac:dyDescent="0.25">
      <c r="A12" s="4" t="s">
        <v>82</v>
      </c>
      <c r="B12" s="14">
        <f>PMT(B10,B11,-B9)</f>
        <v>689.79171193611603</v>
      </c>
    </row>
    <row r="13" spans="1:2" x14ac:dyDescent="0.25">
      <c r="A13" s="4" t="s">
        <v>81</v>
      </c>
      <c r="B13" s="14">
        <f>B11*B12</f>
        <v>41387.502716166964</v>
      </c>
    </row>
    <row r="14" spans="1:2" x14ac:dyDescent="0.25">
      <c r="A14" s="4" t="s">
        <v>80</v>
      </c>
      <c r="B14" s="2">
        <f>B13-B9</f>
        <v>4387.5027161669641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48" zoomScaleNormal="148" zoomScalePageLayoutView="170" workbookViewId="0">
      <selection activeCell="E20" sqref="E20"/>
    </sheetView>
  </sheetViews>
  <sheetFormatPr defaultColWidth="8.85546875" defaultRowHeight="15" x14ac:dyDescent="0.25"/>
  <cols>
    <col min="1" max="1" width="19.85546875" style="4" bestFit="1" customWidth="1"/>
    <col min="2" max="2" width="12.42578125" style="4" bestFit="1" customWidth="1"/>
    <col min="3" max="16384" width="8.85546875" style="4"/>
  </cols>
  <sheetData>
    <row r="1" spans="1:2" x14ac:dyDescent="0.25">
      <c r="A1" s="17" t="s">
        <v>96</v>
      </c>
      <c r="B1" s="17"/>
    </row>
    <row r="2" spans="1:2" x14ac:dyDescent="0.25">
      <c r="A2" s="4" t="s">
        <v>93</v>
      </c>
      <c r="B2" s="14">
        <v>45000</v>
      </c>
    </row>
    <row r="3" spans="1:2" x14ac:dyDescent="0.25">
      <c r="A3" s="4" t="s">
        <v>90</v>
      </c>
      <c r="B3" s="14">
        <v>8000</v>
      </c>
    </row>
    <row r="4" spans="1:2" x14ac:dyDescent="0.25">
      <c r="A4" s="4" t="s">
        <v>89</v>
      </c>
      <c r="B4" s="18">
        <v>4.4999999999999998E-2</v>
      </c>
    </row>
    <row r="5" spans="1:2" x14ac:dyDescent="0.25">
      <c r="A5" s="4" t="s">
        <v>88</v>
      </c>
      <c r="B5" s="7">
        <v>5</v>
      </c>
    </row>
    <row r="6" spans="1:2" x14ac:dyDescent="0.25">
      <c r="A6" s="4" t="s">
        <v>87</v>
      </c>
      <c r="B6" s="7">
        <v>12</v>
      </c>
    </row>
    <row r="8" spans="1:2" x14ac:dyDescent="0.25">
      <c r="A8" s="17" t="s">
        <v>86</v>
      </c>
      <c r="B8" s="17"/>
    </row>
    <row r="9" spans="1:2" x14ac:dyDescent="0.25">
      <c r="A9" s="4" t="s">
        <v>85</v>
      </c>
      <c r="B9" s="2">
        <f>B2-B3</f>
        <v>37000</v>
      </c>
    </row>
    <row r="10" spans="1:2" x14ac:dyDescent="0.25">
      <c r="A10" s="4" t="s">
        <v>84</v>
      </c>
      <c r="B10" s="16">
        <f>B4/B6</f>
        <v>3.7499999999999999E-3</v>
      </c>
    </row>
    <row r="11" spans="1:2" x14ac:dyDescent="0.25">
      <c r="A11" s="4" t="s">
        <v>83</v>
      </c>
      <c r="B11" s="4">
        <f>B5*B6</f>
        <v>60</v>
      </c>
    </row>
    <row r="12" spans="1:2" x14ac:dyDescent="0.25">
      <c r="A12" s="4" t="s">
        <v>82</v>
      </c>
      <c r="B12" s="14">
        <f>PMT(B10,B11,-B9)</f>
        <v>689.79171193611603</v>
      </c>
    </row>
    <row r="13" spans="1:2" x14ac:dyDescent="0.25">
      <c r="A13" s="4" t="s">
        <v>81</v>
      </c>
      <c r="B13" s="14">
        <f>B11*B12</f>
        <v>41387.502716166964</v>
      </c>
    </row>
    <row r="14" spans="1:2" x14ac:dyDescent="0.25">
      <c r="A14" s="4" t="s">
        <v>80</v>
      </c>
      <c r="B14" s="2">
        <f>B13-B9</f>
        <v>4387.5027161669641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48" zoomScaleNormal="148" zoomScalePageLayoutView="170" workbookViewId="0">
      <selection activeCell="B11" sqref="B11"/>
    </sheetView>
  </sheetViews>
  <sheetFormatPr defaultColWidth="8.85546875" defaultRowHeight="15" x14ac:dyDescent="0.25"/>
  <cols>
    <col min="1" max="1" width="19.85546875" style="4" bestFit="1" customWidth="1"/>
    <col min="2" max="2" width="12.42578125" style="4" bestFit="1" customWidth="1"/>
    <col min="3" max="13" width="24" style="4" customWidth="1"/>
    <col min="14" max="16384" width="8.85546875" style="4"/>
  </cols>
  <sheetData>
    <row r="1" spans="1:4" x14ac:dyDescent="0.25">
      <c r="A1" s="17" t="s">
        <v>96</v>
      </c>
      <c r="B1" s="17"/>
      <c r="C1" s="17" t="s">
        <v>97</v>
      </c>
      <c r="D1" s="17" t="s">
        <v>98</v>
      </c>
    </row>
    <row r="2" spans="1:4" x14ac:dyDescent="0.25">
      <c r="A2" s="4" t="s">
        <v>93</v>
      </c>
      <c r="B2" s="14">
        <v>45000</v>
      </c>
      <c r="C2" s="14">
        <v>50000</v>
      </c>
      <c r="D2" s="14">
        <v>40000</v>
      </c>
    </row>
    <row r="3" spans="1:4" x14ac:dyDescent="0.25">
      <c r="A3" s="4" t="s">
        <v>90</v>
      </c>
      <c r="B3" s="14">
        <v>8000</v>
      </c>
      <c r="C3" s="14">
        <v>8000</v>
      </c>
      <c r="D3" s="14">
        <v>4000</v>
      </c>
    </row>
    <row r="4" spans="1:4" x14ac:dyDescent="0.25">
      <c r="A4" s="4" t="s">
        <v>89</v>
      </c>
      <c r="B4" s="18">
        <v>4.4999999999999998E-2</v>
      </c>
      <c r="C4" s="18">
        <v>5.5E-2</v>
      </c>
      <c r="D4" s="18">
        <v>0.04</v>
      </c>
    </row>
    <row r="5" spans="1:4" x14ac:dyDescent="0.25">
      <c r="A5" s="4" t="s">
        <v>88</v>
      </c>
      <c r="B5" s="7">
        <v>5</v>
      </c>
      <c r="C5" s="4">
        <v>6</v>
      </c>
      <c r="D5" s="4">
        <v>4</v>
      </c>
    </row>
    <row r="6" spans="1:4" x14ac:dyDescent="0.25">
      <c r="A6" s="4" t="s">
        <v>87</v>
      </c>
      <c r="B6" s="7">
        <v>12</v>
      </c>
      <c r="C6" s="4">
        <v>12</v>
      </c>
      <c r="D6" s="4">
        <v>12</v>
      </c>
    </row>
    <row r="8" spans="1:4" x14ac:dyDescent="0.25">
      <c r="A8" s="17" t="s">
        <v>86</v>
      </c>
      <c r="B8" s="17"/>
    </row>
    <row r="9" spans="1:4" x14ac:dyDescent="0.25">
      <c r="A9" s="4" t="s">
        <v>85</v>
      </c>
      <c r="B9" s="2">
        <f>B2-B3</f>
        <v>37000</v>
      </c>
      <c r="C9" s="14"/>
    </row>
    <row r="10" spans="1:4" x14ac:dyDescent="0.25">
      <c r="A10" s="4" t="s">
        <v>84</v>
      </c>
      <c r="B10" s="16">
        <f>B4/B6</f>
        <v>3.7499999999999999E-3</v>
      </c>
    </row>
    <row r="11" spans="1:4" x14ac:dyDescent="0.25">
      <c r="A11" s="4" t="s">
        <v>83</v>
      </c>
      <c r="B11" s="4">
        <f>B5*B6</f>
        <v>60</v>
      </c>
    </row>
    <row r="12" spans="1:4" x14ac:dyDescent="0.25">
      <c r="A12" s="4" t="s">
        <v>82</v>
      </c>
      <c r="B12" s="14">
        <f>PMT(B10,B11,-B9)</f>
        <v>689.79171193611603</v>
      </c>
      <c r="C12" s="14">
        <v>700</v>
      </c>
    </row>
    <row r="13" spans="1:4" x14ac:dyDescent="0.25">
      <c r="A13" s="4" t="s">
        <v>81</v>
      </c>
      <c r="B13" s="14">
        <f>B11*B12</f>
        <v>41387.502716166964</v>
      </c>
      <c r="C13" s="14"/>
    </row>
    <row r="14" spans="1:4" x14ac:dyDescent="0.25">
      <c r="A14" s="4" t="s">
        <v>80</v>
      </c>
      <c r="B14" s="2">
        <f>B13-B9</f>
        <v>4387.5027161669641</v>
      </c>
      <c r="C14" s="1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48" zoomScaleNormal="148" zoomScalePageLayoutView="170" workbookViewId="0">
      <selection activeCell="C12" sqref="C12"/>
    </sheetView>
  </sheetViews>
  <sheetFormatPr defaultColWidth="8.85546875" defaultRowHeight="15" x14ac:dyDescent="0.25"/>
  <cols>
    <col min="1" max="1" width="19.85546875" style="4" bestFit="1" customWidth="1"/>
    <col min="2" max="2" width="12.42578125" style="4" bestFit="1" customWidth="1"/>
    <col min="3" max="3" width="16.7109375" style="4" customWidth="1"/>
    <col min="4" max="4" width="16.140625" style="4" customWidth="1"/>
    <col min="5" max="13" width="24" style="4" customWidth="1"/>
    <col min="14" max="16384" width="8.85546875" style="4"/>
  </cols>
  <sheetData>
    <row r="1" spans="1:4" x14ac:dyDescent="0.25">
      <c r="A1" s="17" t="s">
        <v>96</v>
      </c>
      <c r="B1" s="17"/>
      <c r="C1" s="17" t="s">
        <v>97</v>
      </c>
      <c r="D1" s="17" t="s">
        <v>98</v>
      </c>
    </row>
    <row r="2" spans="1:4" x14ac:dyDescent="0.25">
      <c r="A2" s="4" t="s">
        <v>93</v>
      </c>
      <c r="B2" s="14">
        <v>45000</v>
      </c>
      <c r="C2" s="14">
        <v>50000</v>
      </c>
      <c r="D2" s="14">
        <v>40000</v>
      </c>
    </row>
    <row r="3" spans="1:4" x14ac:dyDescent="0.25">
      <c r="A3" s="4" t="s">
        <v>90</v>
      </c>
      <c r="B3" s="14">
        <v>8000</v>
      </c>
      <c r="C3" s="14">
        <v>8000</v>
      </c>
      <c r="D3" s="14">
        <v>4000</v>
      </c>
    </row>
    <row r="4" spans="1:4" x14ac:dyDescent="0.25">
      <c r="A4" s="4" t="s">
        <v>89</v>
      </c>
      <c r="B4" s="18">
        <v>4.4999999999999998E-2</v>
      </c>
      <c r="C4" s="18">
        <v>5.5E-2</v>
      </c>
      <c r="D4" s="18">
        <v>0.04</v>
      </c>
    </row>
    <row r="5" spans="1:4" x14ac:dyDescent="0.25">
      <c r="A5" s="4" t="s">
        <v>88</v>
      </c>
      <c r="B5" s="7">
        <v>5</v>
      </c>
      <c r="C5" s="4">
        <v>6</v>
      </c>
      <c r="D5" s="4">
        <v>4</v>
      </c>
    </row>
    <row r="6" spans="1:4" x14ac:dyDescent="0.25">
      <c r="A6" s="4" t="s">
        <v>87</v>
      </c>
      <c r="B6" s="7">
        <v>12</v>
      </c>
      <c r="C6" s="4">
        <v>12</v>
      </c>
      <c r="D6" s="4">
        <v>12</v>
      </c>
    </row>
    <row r="8" spans="1:4" x14ac:dyDescent="0.25">
      <c r="A8" s="17" t="s">
        <v>86</v>
      </c>
      <c r="B8" s="17"/>
    </row>
    <row r="9" spans="1:4" x14ac:dyDescent="0.25">
      <c r="A9" s="4" t="s">
        <v>85</v>
      </c>
      <c r="B9" s="2">
        <f>B2-B3</f>
        <v>37000</v>
      </c>
      <c r="C9" s="14"/>
    </row>
    <row r="10" spans="1:4" x14ac:dyDescent="0.25">
      <c r="A10" s="4" t="s">
        <v>84</v>
      </c>
      <c r="B10" s="16">
        <f>B4/B6</f>
        <v>3.7499999999999999E-3</v>
      </c>
    </row>
    <row r="11" spans="1:4" x14ac:dyDescent="0.25">
      <c r="A11" s="4" t="s">
        <v>83</v>
      </c>
      <c r="B11" s="4">
        <f>B5*B6</f>
        <v>60</v>
      </c>
    </row>
    <row r="12" spans="1:4" x14ac:dyDescent="0.25">
      <c r="A12" s="4" t="s">
        <v>82</v>
      </c>
      <c r="B12" s="14">
        <f>PMT(B10,B11,-B9)</f>
        <v>689.79171193611603</v>
      </c>
      <c r="C12" s="14"/>
    </row>
    <row r="13" spans="1:4" x14ac:dyDescent="0.25">
      <c r="A13" s="4" t="s">
        <v>81</v>
      </c>
      <c r="B13" s="14">
        <f>B11*B12</f>
        <v>41387.502716166964</v>
      </c>
      <c r="C13" s="14"/>
    </row>
    <row r="14" spans="1:4" x14ac:dyDescent="0.25">
      <c r="A14" s="4" t="s">
        <v>80</v>
      </c>
      <c r="B14" s="2">
        <f>B13-B9</f>
        <v>4387.5027161669641</v>
      </c>
      <c r="C14" s="14"/>
    </row>
    <row r="17" spans="5:8" x14ac:dyDescent="0.25">
      <c r="E17" s="95" t="s">
        <v>327</v>
      </c>
      <c r="F17" s="95"/>
      <c r="G17" s="95"/>
      <c r="H17" s="95"/>
    </row>
    <row r="18" spans="5:8" x14ac:dyDescent="0.25">
      <c r="E18" s="95" t="s">
        <v>328</v>
      </c>
      <c r="F18" s="95"/>
      <c r="G18" s="95"/>
      <c r="H18" s="95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48" zoomScaleNormal="148" zoomScalePageLayoutView="170" workbookViewId="0">
      <selection activeCell="D21" sqref="D21"/>
    </sheetView>
  </sheetViews>
  <sheetFormatPr defaultColWidth="8.85546875" defaultRowHeight="15" x14ac:dyDescent="0.25"/>
  <cols>
    <col min="1" max="1" width="19.85546875" style="4" bestFit="1" customWidth="1"/>
    <col min="2" max="2" width="12.42578125" style="4" bestFit="1" customWidth="1"/>
    <col min="3" max="16384" width="8.85546875" style="4"/>
  </cols>
  <sheetData>
    <row r="1" spans="1:2" x14ac:dyDescent="0.25">
      <c r="A1" s="17" t="s">
        <v>96</v>
      </c>
      <c r="B1" s="17"/>
    </row>
    <row r="2" spans="1:2" x14ac:dyDescent="0.25">
      <c r="A2" s="4" t="s">
        <v>93</v>
      </c>
      <c r="B2" s="14">
        <v>45000</v>
      </c>
    </row>
    <row r="3" spans="1:2" x14ac:dyDescent="0.25">
      <c r="A3" s="4" t="s">
        <v>90</v>
      </c>
      <c r="B3" s="14">
        <v>8000</v>
      </c>
    </row>
    <row r="4" spans="1:2" x14ac:dyDescent="0.25">
      <c r="A4" s="4" t="s">
        <v>89</v>
      </c>
      <c r="B4" s="18">
        <v>4.4999999999999998E-2</v>
      </c>
    </row>
    <row r="5" spans="1:2" x14ac:dyDescent="0.25">
      <c r="A5" s="4" t="s">
        <v>88</v>
      </c>
      <c r="B5" s="7">
        <v>5</v>
      </c>
    </row>
    <row r="6" spans="1:2" x14ac:dyDescent="0.25">
      <c r="A6" s="4" t="s">
        <v>87</v>
      </c>
      <c r="B6" s="7">
        <v>12</v>
      </c>
    </row>
    <row r="8" spans="1:2" x14ac:dyDescent="0.25">
      <c r="A8" s="17" t="s">
        <v>86</v>
      </c>
      <c r="B8" s="17"/>
    </row>
    <row r="9" spans="1:2" x14ac:dyDescent="0.25">
      <c r="A9" s="4" t="s">
        <v>85</v>
      </c>
      <c r="B9" s="2">
        <f>B2-B3</f>
        <v>37000</v>
      </c>
    </row>
    <row r="10" spans="1:2" x14ac:dyDescent="0.25">
      <c r="A10" s="4" t="s">
        <v>84</v>
      </c>
      <c r="B10" s="16">
        <f>B4/B6</f>
        <v>3.7499999999999999E-3</v>
      </c>
    </row>
    <row r="11" spans="1:2" x14ac:dyDescent="0.25">
      <c r="A11" s="4" t="s">
        <v>83</v>
      </c>
      <c r="B11" s="4">
        <f>B5*B6</f>
        <v>60</v>
      </c>
    </row>
    <row r="12" spans="1:2" x14ac:dyDescent="0.25">
      <c r="A12" s="4" t="s">
        <v>82</v>
      </c>
      <c r="B12" s="14">
        <f>PMT(B10,B11,-B9)</f>
        <v>689.79171193611603</v>
      </c>
    </row>
    <row r="13" spans="1:2" x14ac:dyDescent="0.25">
      <c r="A13" s="4" t="s">
        <v>81</v>
      </c>
      <c r="B13" s="14">
        <f>B11*B12</f>
        <v>41387.502716166964</v>
      </c>
    </row>
    <row r="14" spans="1:2" x14ac:dyDescent="0.25">
      <c r="A14" s="4" t="s">
        <v>80</v>
      </c>
      <c r="B14" s="2">
        <f>B13-B9</f>
        <v>4387.5027161669641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48" zoomScaleNormal="148" zoomScalePageLayoutView="170" workbookViewId="0">
      <selection activeCell="H7" sqref="H7"/>
    </sheetView>
  </sheetViews>
  <sheetFormatPr defaultColWidth="8.85546875" defaultRowHeight="15" x14ac:dyDescent="0.25"/>
  <cols>
    <col min="1" max="1" width="19.85546875" style="4" bestFit="1" customWidth="1"/>
    <col min="2" max="2" width="12.42578125" style="4" bestFit="1" customWidth="1"/>
    <col min="3" max="16384" width="8.85546875" style="4"/>
  </cols>
  <sheetData>
    <row r="1" spans="1:8" x14ac:dyDescent="0.25">
      <c r="A1" s="17" t="s">
        <v>96</v>
      </c>
      <c r="B1" s="17"/>
    </row>
    <row r="2" spans="1:8" x14ac:dyDescent="0.25">
      <c r="A2" s="4" t="s">
        <v>93</v>
      </c>
      <c r="B2" s="14">
        <v>45000</v>
      </c>
    </row>
    <row r="3" spans="1:8" x14ac:dyDescent="0.25">
      <c r="A3" s="4" t="s">
        <v>90</v>
      </c>
      <c r="B3" s="14">
        <v>8000</v>
      </c>
    </row>
    <row r="4" spans="1:8" x14ac:dyDescent="0.25">
      <c r="A4" s="4" t="s">
        <v>89</v>
      </c>
      <c r="B4" s="18">
        <v>4.4999999999999998E-2</v>
      </c>
    </row>
    <row r="5" spans="1:8" x14ac:dyDescent="0.25">
      <c r="A5" s="4" t="s">
        <v>88</v>
      </c>
      <c r="B5" s="7">
        <v>5</v>
      </c>
    </row>
    <row r="6" spans="1:8" x14ac:dyDescent="0.25">
      <c r="A6" s="4" t="s">
        <v>87</v>
      </c>
      <c r="B6" s="7">
        <v>12</v>
      </c>
      <c r="H6" s="4" t="s">
        <v>341</v>
      </c>
    </row>
    <row r="8" spans="1:8" x14ac:dyDescent="0.25">
      <c r="A8" s="17" t="s">
        <v>86</v>
      </c>
      <c r="B8" s="17"/>
    </row>
    <row r="9" spans="1:8" x14ac:dyDescent="0.25">
      <c r="A9" s="4" t="s">
        <v>85</v>
      </c>
      <c r="B9" s="2">
        <f>B2-B3</f>
        <v>37000</v>
      </c>
    </row>
    <row r="10" spans="1:8" x14ac:dyDescent="0.25">
      <c r="A10" s="4" t="s">
        <v>84</v>
      </c>
      <c r="B10" s="16">
        <f>B4/B6</f>
        <v>3.7499999999999999E-3</v>
      </c>
    </row>
    <row r="11" spans="1:8" x14ac:dyDescent="0.25">
      <c r="A11" s="4" t="s">
        <v>83</v>
      </c>
      <c r="B11" s="4">
        <f>B5*B6</f>
        <v>60</v>
      </c>
    </row>
    <row r="12" spans="1:8" x14ac:dyDescent="0.25">
      <c r="A12" s="4" t="s">
        <v>82</v>
      </c>
      <c r="B12" s="14">
        <f>PMT(B10,B11,-B9)</f>
        <v>689.79171193611603</v>
      </c>
    </row>
    <row r="13" spans="1:8" x14ac:dyDescent="0.25">
      <c r="A13" s="4" t="s">
        <v>81</v>
      </c>
      <c r="B13" s="14">
        <f>B11*B12</f>
        <v>41387.502716166964</v>
      </c>
    </row>
    <row r="14" spans="1:8" x14ac:dyDescent="0.25">
      <c r="A14" s="4" t="s">
        <v>80</v>
      </c>
      <c r="B14" s="2">
        <f>B13-B9</f>
        <v>4387.5027161669641</v>
      </c>
    </row>
  </sheetData>
  <scenarios current="2" sqref="B12">
    <scenario name="BoM" locked="1" count="1" user="Joanne Atha" comment="Created by Joanne Atha on 2018-02-16">
      <inputCells r="B4" val="0.045" numFmtId="10"/>
    </scenario>
    <scenario name="TD" locked="1" count="1" user="Joanne Atha" comment="Created by Joanne Atha on 2018-02-16">
      <inputCells r="B4" val="0.04" numFmtId="10"/>
    </scenario>
    <scenario name="Mom and Dad" locked="1" count="1" user="Joanne Atha" comment="Created by Joanne Atha on 2018-02-16">
      <inputCells r="B4" val="0.01" numFmtId="10"/>
    </scenario>
  </scenario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1"/>
  <sheetViews>
    <sheetView showGridLines="0" workbookViewId="0"/>
  </sheetViews>
  <sheetFormatPr defaultRowHeight="15" outlineLevelRow="1" outlineLevelCol="1" x14ac:dyDescent="0.25"/>
  <cols>
    <col min="3" max="3" width="6.140625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114" t="s">
        <v>334</v>
      </c>
      <c r="C2" s="114"/>
      <c r="D2" s="119"/>
      <c r="E2" s="119"/>
      <c r="F2" s="119"/>
      <c r="G2" s="119"/>
    </row>
    <row r="3" spans="2:7" ht="15.75" collapsed="1" x14ac:dyDescent="0.25">
      <c r="B3" s="113"/>
      <c r="C3" s="113"/>
      <c r="D3" s="120" t="s">
        <v>336</v>
      </c>
      <c r="E3" s="120" t="s">
        <v>330</v>
      </c>
      <c r="F3" s="120" t="s">
        <v>332</v>
      </c>
      <c r="G3" s="120" t="s">
        <v>333</v>
      </c>
    </row>
    <row r="4" spans="2:7" ht="33.75" hidden="1" outlineLevel="1" x14ac:dyDescent="0.25">
      <c r="B4" s="116"/>
      <c r="C4" s="116"/>
      <c r="D4" s="110"/>
      <c r="E4" s="122" t="s">
        <v>331</v>
      </c>
      <c r="F4" s="122" t="s">
        <v>331</v>
      </c>
      <c r="G4" s="122" t="s">
        <v>331</v>
      </c>
    </row>
    <row r="5" spans="2:7" x14ac:dyDescent="0.25">
      <c r="B5" s="117" t="s">
        <v>335</v>
      </c>
      <c r="C5" s="117"/>
      <c r="D5" s="115"/>
      <c r="E5" s="115"/>
      <c r="F5" s="115"/>
      <c r="G5" s="115"/>
    </row>
    <row r="6" spans="2:7" outlineLevel="1" x14ac:dyDescent="0.25">
      <c r="B6" s="116"/>
      <c r="C6" s="116" t="s">
        <v>329</v>
      </c>
      <c r="D6" s="111">
        <v>4.4999999999999998E-2</v>
      </c>
      <c r="E6" s="121">
        <v>4.4999999999999998E-2</v>
      </c>
      <c r="F6" s="121">
        <v>0.04</v>
      </c>
      <c r="G6" s="121">
        <v>0.01</v>
      </c>
    </row>
    <row r="7" spans="2:7" x14ac:dyDescent="0.25">
      <c r="B7" s="117" t="s">
        <v>337</v>
      </c>
      <c r="C7" s="117"/>
      <c r="D7" s="115"/>
      <c r="E7" s="115"/>
      <c r="F7" s="115"/>
      <c r="G7" s="115"/>
    </row>
    <row r="8" spans="2:7" ht="15.75" outlineLevel="1" thickBot="1" x14ac:dyDescent="0.3">
      <c r="B8" s="118"/>
      <c r="C8" s="118" t="s">
        <v>326</v>
      </c>
      <c r="D8" s="112">
        <v>689.79171193611603</v>
      </c>
      <c r="E8" s="112">
        <v>689.79171193611603</v>
      </c>
      <c r="F8" s="112">
        <v>681.41131604485497</v>
      </c>
      <c r="G8" s="112">
        <v>632.46865548175504</v>
      </c>
    </row>
    <row r="9" spans="2:7" x14ac:dyDescent="0.25">
      <c r="B9" t="s">
        <v>338</v>
      </c>
    </row>
    <row r="10" spans="2:7" x14ac:dyDescent="0.25">
      <c r="B10" t="s">
        <v>339</v>
      </c>
    </row>
    <row r="11" spans="2:7" x14ac:dyDescent="0.25">
      <c r="B11" t="s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50" zoomScaleNormal="150" zoomScalePageLayoutView="150" workbookViewId="0">
      <selection activeCell="F18" sqref="F18"/>
    </sheetView>
  </sheetViews>
  <sheetFormatPr defaultColWidth="8.85546875" defaultRowHeight="15" x14ac:dyDescent="0.25"/>
  <cols>
    <col min="1" max="1" width="12.140625" style="4" bestFit="1" customWidth="1"/>
    <col min="2" max="2" width="12" style="4" customWidth="1"/>
    <col min="3" max="4" width="16.7109375" style="4" customWidth="1"/>
    <col min="5" max="5" width="24.28515625" style="4" bestFit="1" customWidth="1"/>
    <col min="6" max="6" width="10.7109375" style="4" customWidth="1"/>
    <col min="7" max="7" width="12.42578125" style="4" customWidth="1"/>
    <col min="8" max="8" width="17.28515625" style="4" customWidth="1"/>
    <col min="9" max="9" width="10.5703125" style="4" bestFit="1" customWidth="1"/>
    <col min="10" max="10" width="9.42578125" style="4" customWidth="1"/>
    <col min="11" max="16384" width="8.85546875" style="4"/>
  </cols>
  <sheetData>
    <row r="1" spans="1:10" x14ac:dyDescent="0.25">
      <c r="A1" s="39" t="s">
        <v>132</v>
      </c>
      <c r="B1" s="45"/>
      <c r="C1" s="38" t="s">
        <v>142</v>
      </c>
      <c r="D1" s="45" t="s">
        <v>129</v>
      </c>
      <c r="E1" s="38" t="s">
        <v>141</v>
      </c>
      <c r="F1" s="44"/>
      <c r="H1" s="44" t="s">
        <v>125</v>
      </c>
      <c r="I1" s="44" t="s">
        <v>140</v>
      </c>
      <c r="J1" s="44" t="s">
        <v>139</v>
      </c>
    </row>
    <row r="2" spans="1:10" x14ac:dyDescent="0.25">
      <c r="B2" s="39"/>
      <c r="D2" s="38"/>
      <c r="E2" s="39" t="s">
        <v>138</v>
      </c>
      <c r="F2" s="43">
        <v>43465</v>
      </c>
      <c r="H2" s="4" t="s">
        <v>137</v>
      </c>
      <c r="I2" s="37">
        <v>40544</v>
      </c>
      <c r="J2" s="6">
        <v>0.1</v>
      </c>
    </row>
    <row r="3" spans="1:10" x14ac:dyDescent="0.25">
      <c r="A3" s="42"/>
      <c r="B3" s="41"/>
      <c r="D3" s="38"/>
      <c r="E3" s="39" t="s">
        <v>136</v>
      </c>
      <c r="F3" s="40">
        <v>80000</v>
      </c>
      <c r="H3" s="4" t="s">
        <v>135</v>
      </c>
      <c r="I3" s="37">
        <v>42370</v>
      </c>
      <c r="J3" s="6">
        <v>0.06</v>
      </c>
    </row>
    <row r="4" spans="1:10" ht="15.75" thickBot="1" x14ac:dyDescent="0.3">
      <c r="B4" s="39"/>
      <c r="D4" s="38"/>
      <c r="F4" s="38"/>
      <c r="H4" s="4" t="s">
        <v>134</v>
      </c>
      <c r="I4" s="37">
        <v>42370</v>
      </c>
      <c r="J4" s="6">
        <v>0.05</v>
      </c>
    </row>
    <row r="5" spans="1:10" ht="15.75" thickBot="1" x14ac:dyDescent="0.3">
      <c r="C5" s="133" t="s">
        <v>133</v>
      </c>
      <c r="D5" s="134"/>
      <c r="E5" s="135"/>
    </row>
    <row r="6" spans="1:10" ht="30.75" thickBot="1" x14ac:dyDescent="0.3">
      <c r="A6" s="36" t="s">
        <v>132</v>
      </c>
      <c r="B6" s="35" t="s">
        <v>131</v>
      </c>
      <c r="C6" s="35" t="s">
        <v>130</v>
      </c>
      <c r="D6" s="35" t="s">
        <v>129</v>
      </c>
      <c r="E6" s="35" t="s">
        <v>128</v>
      </c>
      <c r="F6" s="34" t="s">
        <v>127</v>
      </c>
      <c r="G6" s="35" t="s">
        <v>126</v>
      </c>
      <c r="H6" s="34" t="s">
        <v>125</v>
      </c>
      <c r="I6" s="33" t="s">
        <v>124</v>
      </c>
    </row>
    <row r="7" spans="1:10" x14ac:dyDescent="0.25">
      <c r="A7" s="32">
        <v>1124</v>
      </c>
      <c r="B7" s="28" t="s">
        <v>123</v>
      </c>
      <c r="C7" s="28" t="s">
        <v>105</v>
      </c>
      <c r="D7" s="28" t="s">
        <v>110</v>
      </c>
      <c r="E7" s="31">
        <v>39329</v>
      </c>
      <c r="F7" s="30"/>
      <c r="G7" s="29">
        <v>72750</v>
      </c>
      <c r="H7" s="22"/>
      <c r="I7" s="28"/>
    </row>
    <row r="8" spans="1:10" x14ac:dyDescent="0.25">
      <c r="A8" s="26">
        <v>9355</v>
      </c>
      <c r="B8" s="21" t="s">
        <v>122</v>
      </c>
      <c r="C8" s="21" t="s">
        <v>100</v>
      </c>
      <c r="D8" s="21" t="s">
        <v>99</v>
      </c>
      <c r="E8" s="25">
        <v>43381</v>
      </c>
      <c r="F8" s="24"/>
      <c r="G8" s="23">
        <v>48575</v>
      </c>
      <c r="H8" s="22"/>
      <c r="I8" s="21"/>
    </row>
    <row r="9" spans="1:10" x14ac:dyDescent="0.25">
      <c r="A9" s="26">
        <v>5521</v>
      </c>
      <c r="B9" s="21" t="s">
        <v>121</v>
      </c>
      <c r="C9" s="21" t="s">
        <v>103</v>
      </c>
      <c r="D9" s="21" t="s">
        <v>99</v>
      </c>
      <c r="E9" s="25">
        <v>41840</v>
      </c>
      <c r="F9" s="24"/>
      <c r="G9" s="23">
        <v>44000</v>
      </c>
      <c r="H9" s="22"/>
      <c r="I9" s="21"/>
    </row>
    <row r="10" spans="1:10" x14ac:dyDescent="0.25">
      <c r="A10" s="26">
        <v>2253</v>
      </c>
      <c r="B10" s="21" t="s">
        <v>120</v>
      </c>
      <c r="C10" s="21" t="s">
        <v>103</v>
      </c>
      <c r="D10" s="21" t="s">
        <v>110</v>
      </c>
      <c r="E10" s="25">
        <v>39853</v>
      </c>
      <c r="F10" s="24"/>
      <c r="G10" s="23">
        <v>85800</v>
      </c>
      <c r="H10" s="22"/>
      <c r="I10" s="21"/>
    </row>
    <row r="11" spans="1:10" x14ac:dyDescent="0.25">
      <c r="A11" s="26">
        <v>5967</v>
      </c>
      <c r="B11" s="21" t="s">
        <v>119</v>
      </c>
      <c r="C11" s="21" t="s">
        <v>100</v>
      </c>
      <c r="D11" s="21" t="s">
        <v>99</v>
      </c>
      <c r="E11" s="25">
        <v>41993</v>
      </c>
      <c r="F11" s="24"/>
      <c r="G11" s="23">
        <v>42695</v>
      </c>
      <c r="H11" s="22"/>
      <c r="I11" s="21"/>
    </row>
    <row r="12" spans="1:10" x14ac:dyDescent="0.25">
      <c r="A12" s="26">
        <v>5245</v>
      </c>
      <c r="B12" s="21" t="s">
        <v>118</v>
      </c>
      <c r="C12" s="21" t="s">
        <v>105</v>
      </c>
      <c r="D12" s="21" t="s">
        <v>99</v>
      </c>
      <c r="E12" s="25">
        <v>41765</v>
      </c>
      <c r="F12" s="24"/>
      <c r="G12" s="23">
        <v>41750</v>
      </c>
      <c r="H12" s="22"/>
      <c r="I12" s="21"/>
    </row>
    <row r="13" spans="1:10" x14ac:dyDescent="0.25">
      <c r="A13" s="26">
        <v>6568</v>
      </c>
      <c r="B13" s="21" t="s">
        <v>117</v>
      </c>
      <c r="C13" s="21" t="s">
        <v>105</v>
      </c>
      <c r="D13" s="21" t="s">
        <v>99</v>
      </c>
      <c r="E13" s="25">
        <v>42220</v>
      </c>
      <c r="F13" s="24"/>
      <c r="G13" s="23">
        <v>47350</v>
      </c>
      <c r="H13" s="22"/>
      <c r="I13" s="21"/>
    </row>
    <row r="14" spans="1:10" x14ac:dyDescent="0.25">
      <c r="A14" s="26">
        <v>5058</v>
      </c>
      <c r="B14" s="21" t="s">
        <v>116</v>
      </c>
      <c r="C14" s="21" t="s">
        <v>105</v>
      </c>
      <c r="D14" s="21" t="s">
        <v>99</v>
      </c>
      <c r="E14" s="25">
        <v>41715</v>
      </c>
      <c r="F14" s="24"/>
      <c r="G14" s="23">
        <v>49240</v>
      </c>
      <c r="H14" s="22"/>
      <c r="I14" s="21"/>
    </row>
    <row r="15" spans="1:10" x14ac:dyDescent="0.25">
      <c r="A15" s="26">
        <v>5370</v>
      </c>
      <c r="B15" s="21" t="s">
        <v>115</v>
      </c>
      <c r="C15" s="21" t="s">
        <v>105</v>
      </c>
      <c r="D15" s="21" t="s">
        <v>99</v>
      </c>
      <c r="E15" s="25">
        <v>41836</v>
      </c>
      <c r="F15" s="24"/>
      <c r="G15" s="23">
        <v>48735</v>
      </c>
      <c r="H15" s="22"/>
      <c r="I15" s="21"/>
    </row>
    <row r="16" spans="1:10" x14ac:dyDescent="0.25">
      <c r="A16" s="26">
        <v>7848</v>
      </c>
      <c r="B16" s="21" t="s">
        <v>114</v>
      </c>
      <c r="C16" s="21" t="s">
        <v>103</v>
      </c>
      <c r="D16" s="21" t="s">
        <v>99</v>
      </c>
      <c r="E16" s="25">
        <v>42690</v>
      </c>
      <c r="F16" s="24"/>
      <c r="G16" s="23">
        <v>47225</v>
      </c>
      <c r="H16" s="22"/>
      <c r="I16" s="21"/>
    </row>
    <row r="17" spans="1:10" x14ac:dyDescent="0.25">
      <c r="A17" s="26">
        <v>6196</v>
      </c>
      <c r="B17" s="21" t="s">
        <v>113</v>
      </c>
      <c r="C17" s="21" t="s">
        <v>103</v>
      </c>
      <c r="D17" s="21" t="s">
        <v>99</v>
      </c>
      <c r="E17" s="25">
        <v>42145</v>
      </c>
      <c r="F17" s="24"/>
      <c r="G17" s="23">
        <v>49000</v>
      </c>
      <c r="H17" s="22"/>
      <c r="I17" s="21"/>
    </row>
    <row r="18" spans="1:10" x14ac:dyDescent="0.25">
      <c r="A18" s="26">
        <v>6370</v>
      </c>
      <c r="B18" s="21" t="s">
        <v>112</v>
      </c>
      <c r="C18" s="21" t="s">
        <v>100</v>
      </c>
      <c r="D18" s="21" t="s">
        <v>99</v>
      </c>
      <c r="E18" s="25">
        <v>42160</v>
      </c>
      <c r="F18" s="24"/>
      <c r="G18" s="23">
        <v>46025</v>
      </c>
      <c r="H18" s="22"/>
      <c r="I18" s="21"/>
    </row>
    <row r="19" spans="1:10" x14ac:dyDescent="0.25">
      <c r="A19" s="26">
        <v>2899</v>
      </c>
      <c r="B19" s="21" t="s">
        <v>111</v>
      </c>
      <c r="C19" s="21" t="s">
        <v>100</v>
      </c>
      <c r="D19" s="21" t="s">
        <v>110</v>
      </c>
      <c r="E19" s="25">
        <v>40624</v>
      </c>
      <c r="F19" s="24"/>
      <c r="G19" s="23">
        <v>68500</v>
      </c>
      <c r="H19" s="22"/>
      <c r="I19" s="21"/>
      <c r="J19" s="27"/>
    </row>
    <row r="20" spans="1:10" x14ac:dyDescent="0.25">
      <c r="A20" s="26">
        <v>3698</v>
      </c>
      <c r="B20" s="21" t="s">
        <v>109</v>
      </c>
      <c r="C20" s="21" t="s">
        <v>105</v>
      </c>
      <c r="D20" s="21" t="s">
        <v>99</v>
      </c>
      <c r="E20" s="25">
        <v>41140</v>
      </c>
      <c r="F20" s="24"/>
      <c r="G20" s="23">
        <v>48250</v>
      </c>
      <c r="H20" s="22"/>
      <c r="I20" s="21"/>
    </row>
    <row r="21" spans="1:10" x14ac:dyDescent="0.25">
      <c r="A21" s="26">
        <v>8211</v>
      </c>
      <c r="B21" s="21" t="s">
        <v>108</v>
      </c>
      <c r="C21" s="21" t="s">
        <v>100</v>
      </c>
      <c r="D21" s="21" t="s">
        <v>99</v>
      </c>
      <c r="E21" s="25">
        <v>42999</v>
      </c>
      <c r="F21" s="24"/>
      <c r="G21" s="23">
        <v>43000</v>
      </c>
      <c r="H21" s="22"/>
      <c r="I21" s="21"/>
    </row>
    <row r="22" spans="1:10" x14ac:dyDescent="0.25">
      <c r="A22" s="26">
        <v>6656</v>
      </c>
      <c r="B22" s="21" t="s">
        <v>107</v>
      </c>
      <c r="C22" s="21" t="s">
        <v>105</v>
      </c>
      <c r="D22" s="21" t="s">
        <v>99</v>
      </c>
      <c r="E22" s="25">
        <v>42282</v>
      </c>
      <c r="F22" s="24"/>
      <c r="G22" s="23">
        <v>48300</v>
      </c>
      <c r="H22" s="22"/>
      <c r="I22" s="21"/>
    </row>
    <row r="23" spans="1:10" x14ac:dyDescent="0.25">
      <c r="A23" s="26">
        <v>7009</v>
      </c>
      <c r="B23" s="21" t="s">
        <v>106</v>
      </c>
      <c r="C23" s="21" t="s">
        <v>105</v>
      </c>
      <c r="D23" s="21" t="s">
        <v>99</v>
      </c>
      <c r="E23" s="25">
        <v>42435</v>
      </c>
      <c r="F23" s="24"/>
      <c r="G23" s="23">
        <v>36350</v>
      </c>
      <c r="H23" s="22"/>
      <c r="I23" s="21"/>
    </row>
    <row r="24" spans="1:10" x14ac:dyDescent="0.25">
      <c r="A24" s="26">
        <v>7428</v>
      </c>
      <c r="B24" s="21" t="s">
        <v>104</v>
      </c>
      <c r="C24" s="21" t="s">
        <v>103</v>
      </c>
      <c r="D24" s="21" t="s">
        <v>99</v>
      </c>
      <c r="E24" s="25">
        <v>42620</v>
      </c>
      <c r="F24" s="24"/>
      <c r="G24" s="23">
        <v>46445</v>
      </c>
      <c r="H24" s="22"/>
      <c r="I24" s="21"/>
    </row>
    <row r="25" spans="1:10" x14ac:dyDescent="0.25">
      <c r="A25" s="26">
        <v>3445</v>
      </c>
      <c r="B25" s="21" t="s">
        <v>102</v>
      </c>
      <c r="C25" s="21" t="s">
        <v>100</v>
      </c>
      <c r="D25" s="21" t="s">
        <v>99</v>
      </c>
      <c r="E25" s="25">
        <v>40982</v>
      </c>
      <c r="F25" s="24"/>
      <c r="G25" s="23">
        <v>48250</v>
      </c>
      <c r="H25" s="22"/>
      <c r="I25" s="21"/>
    </row>
    <row r="26" spans="1:10" x14ac:dyDescent="0.25">
      <c r="A26" s="26">
        <v>4981</v>
      </c>
      <c r="B26" s="21" t="s">
        <v>101</v>
      </c>
      <c r="C26" s="21" t="s">
        <v>100</v>
      </c>
      <c r="D26" s="21" t="s">
        <v>99</v>
      </c>
      <c r="E26" s="25">
        <v>41669</v>
      </c>
      <c r="F26" s="24"/>
      <c r="G26" s="23">
        <v>45750</v>
      </c>
      <c r="H26" s="22"/>
      <c r="I26" s="21"/>
    </row>
  </sheetData>
  <mergeCells count="1">
    <mergeCell ref="C5:E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50" zoomScaleNormal="150" zoomScalePageLayoutView="150" workbookViewId="0">
      <selection activeCell="H7" sqref="H7"/>
    </sheetView>
  </sheetViews>
  <sheetFormatPr defaultColWidth="8.85546875" defaultRowHeight="15" x14ac:dyDescent="0.25"/>
  <cols>
    <col min="1" max="1" width="12.140625" style="4" bestFit="1" customWidth="1"/>
    <col min="2" max="2" width="12" style="4" customWidth="1"/>
    <col min="3" max="4" width="16.7109375" style="4" customWidth="1"/>
    <col min="5" max="5" width="24.28515625" style="4" bestFit="1" customWidth="1"/>
    <col min="6" max="6" width="10.7109375" style="4" customWidth="1"/>
    <col min="7" max="7" width="12.42578125" style="4" customWidth="1"/>
    <col min="8" max="8" width="17.28515625" style="4" customWidth="1"/>
    <col min="9" max="9" width="13.85546875" style="4" bestFit="1" customWidth="1"/>
    <col min="10" max="10" width="9.42578125" style="4" customWidth="1"/>
    <col min="11" max="16384" width="8.85546875" style="4"/>
  </cols>
  <sheetData>
    <row r="1" spans="1:10" x14ac:dyDescent="0.25">
      <c r="A1" s="39" t="s">
        <v>132</v>
      </c>
      <c r="B1" s="45">
        <v>5058</v>
      </c>
      <c r="C1" s="38" t="s">
        <v>142</v>
      </c>
      <c r="D1" s="45" t="s">
        <v>129</v>
      </c>
      <c r="E1" s="38" t="s">
        <v>141</v>
      </c>
      <c r="F1" s="44" t="str">
        <f>INDEX(A7:D26,(MATCH(B1,A7:A26,0)), 4)</f>
        <v>Sales Rep</v>
      </c>
      <c r="H1" s="44" t="s">
        <v>125</v>
      </c>
      <c r="I1" s="44" t="s">
        <v>140</v>
      </c>
      <c r="J1" s="44" t="s">
        <v>139</v>
      </c>
    </row>
    <row r="2" spans="1:10" x14ac:dyDescent="0.25">
      <c r="B2" s="39"/>
      <c r="D2" s="38"/>
      <c r="E2" s="39" t="s">
        <v>138</v>
      </c>
      <c r="F2" s="43">
        <v>43465</v>
      </c>
      <c r="H2" s="4" t="s">
        <v>137</v>
      </c>
      <c r="I2" s="37">
        <v>40544</v>
      </c>
      <c r="J2" s="6">
        <v>0.1</v>
      </c>
    </row>
    <row r="3" spans="1:10" x14ac:dyDescent="0.25">
      <c r="A3" s="42"/>
      <c r="B3" s="41"/>
      <c r="D3" s="38" t="s">
        <v>110</v>
      </c>
      <c r="E3" s="39" t="s">
        <v>136</v>
      </c>
      <c r="F3" s="40">
        <v>80000</v>
      </c>
      <c r="H3" s="4" t="s">
        <v>135</v>
      </c>
      <c r="I3" s="37">
        <v>42370</v>
      </c>
      <c r="J3" s="6">
        <v>0.06</v>
      </c>
    </row>
    <row r="4" spans="1:10" ht="15.75" thickBot="1" x14ac:dyDescent="0.3">
      <c r="B4" s="39"/>
      <c r="D4" s="38"/>
      <c r="F4" s="38"/>
      <c r="H4" s="4" t="s">
        <v>134</v>
      </c>
      <c r="I4" s="37">
        <v>42370</v>
      </c>
      <c r="J4" s="6">
        <v>0.05</v>
      </c>
    </row>
    <row r="5" spans="1:10" ht="15.75" thickBot="1" x14ac:dyDescent="0.3">
      <c r="C5" s="133" t="s">
        <v>133</v>
      </c>
      <c r="D5" s="134"/>
      <c r="E5" s="135"/>
    </row>
    <row r="6" spans="1:10" ht="30.75" thickBot="1" x14ac:dyDescent="0.3">
      <c r="A6" s="36" t="s">
        <v>132</v>
      </c>
      <c r="B6" s="35" t="s">
        <v>131</v>
      </c>
      <c r="C6" s="35" t="s">
        <v>130</v>
      </c>
      <c r="D6" s="35" t="s">
        <v>129</v>
      </c>
      <c r="E6" s="35" t="s">
        <v>128</v>
      </c>
      <c r="F6" s="34" t="s">
        <v>127</v>
      </c>
      <c r="G6" s="35" t="s">
        <v>126</v>
      </c>
      <c r="H6" s="34" t="s">
        <v>125</v>
      </c>
      <c r="I6" s="33" t="s">
        <v>124</v>
      </c>
    </row>
    <row r="7" spans="1:10" x14ac:dyDescent="0.25">
      <c r="A7" s="32">
        <v>1124</v>
      </c>
      <c r="B7" s="28" t="s">
        <v>123</v>
      </c>
      <c r="C7" s="28" t="s">
        <v>105</v>
      </c>
      <c r="D7" s="28" t="s">
        <v>110</v>
      </c>
      <c r="E7" s="31">
        <v>39329</v>
      </c>
      <c r="F7" s="123">
        <f>YEARFRAC(E7,F$2)</f>
        <v>11.324999999999999</v>
      </c>
      <c r="G7" s="29">
        <v>72750</v>
      </c>
      <c r="H7" s="22">
        <f>IF(E7&lt;I$2,G7*J$2,IF(E7&lt;I$3,G7*J$3,G7*J$4))</f>
        <v>7275</v>
      </c>
      <c r="I7" s="28" t="str">
        <f>IF(AND(D7=D$3,G7&lt;=F$3),"Due for a raise","")</f>
        <v>Due for a raise</v>
      </c>
    </row>
    <row r="8" spans="1:10" x14ac:dyDescent="0.25">
      <c r="A8" s="26">
        <v>9355</v>
      </c>
      <c r="B8" s="21" t="s">
        <v>122</v>
      </c>
      <c r="C8" s="21" t="s">
        <v>100</v>
      </c>
      <c r="D8" s="21" t="s">
        <v>99</v>
      </c>
      <c r="E8" s="25">
        <v>43381</v>
      </c>
      <c r="F8" s="123">
        <f t="shared" ref="F8:F26" si="0">YEARFRAC(E8,F$2)</f>
        <v>0.23055555555555557</v>
      </c>
      <c r="G8" s="23">
        <v>48575</v>
      </c>
      <c r="H8" s="22">
        <f t="shared" ref="H8:H26" si="1">IF(E8&lt;I$2,G8*J$2,IF(E8&lt;I$3,G8*J$3,G8*J$4))</f>
        <v>2428.75</v>
      </c>
      <c r="I8" s="28" t="str">
        <f t="shared" ref="I8:I26" si="2">IF(AND(D8=D$3,G8&lt;=F$3),"Due for a raise","")</f>
        <v/>
      </c>
      <c r="J8" s="124"/>
    </row>
    <row r="9" spans="1:10" x14ac:dyDescent="0.25">
      <c r="A9" s="26">
        <v>5521</v>
      </c>
      <c r="B9" s="21" t="s">
        <v>121</v>
      </c>
      <c r="C9" s="21" t="s">
        <v>103</v>
      </c>
      <c r="D9" s="21" t="s">
        <v>99</v>
      </c>
      <c r="E9" s="25">
        <v>41840</v>
      </c>
      <c r="F9" s="123">
        <f t="shared" si="0"/>
        <v>4.447222222222222</v>
      </c>
      <c r="G9" s="23">
        <v>44000</v>
      </c>
      <c r="H9" s="22">
        <f t="shared" si="1"/>
        <v>2640</v>
      </c>
      <c r="I9" s="28" t="str">
        <f t="shared" si="2"/>
        <v/>
      </c>
    </row>
    <row r="10" spans="1:10" x14ac:dyDescent="0.25">
      <c r="A10" s="26">
        <v>2253</v>
      </c>
      <c r="B10" s="21" t="s">
        <v>120</v>
      </c>
      <c r="C10" s="21" t="s">
        <v>103</v>
      </c>
      <c r="D10" s="21" t="s">
        <v>110</v>
      </c>
      <c r="E10" s="25">
        <v>39853</v>
      </c>
      <c r="F10" s="123">
        <f t="shared" si="0"/>
        <v>9.8944444444444439</v>
      </c>
      <c r="G10" s="23">
        <v>85800</v>
      </c>
      <c r="H10" s="22">
        <f t="shared" si="1"/>
        <v>8580</v>
      </c>
      <c r="I10" s="28" t="str">
        <f t="shared" si="2"/>
        <v/>
      </c>
    </row>
    <row r="11" spans="1:10" x14ac:dyDescent="0.25">
      <c r="A11" s="26">
        <v>5967</v>
      </c>
      <c r="B11" s="21" t="s">
        <v>119</v>
      </c>
      <c r="C11" s="21" t="s">
        <v>100</v>
      </c>
      <c r="D11" s="21" t="s">
        <v>99</v>
      </c>
      <c r="E11" s="25">
        <v>41993</v>
      </c>
      <c r="F11" s="123">
        <f t="shared" si="0"/>
        <v>4.0305555555555559</v>
      </c>
      <c r="G11" s="23">
        <v>42695</v>
      </c>
      <c r="H11" s="22">
        <f t="shared" si="1"/>
        <v>2561.6999999999998</v>
      </c>
      <c r="I11" s="28" t="str">
        <f t="shared" si="2"/>
        <v/>
      </c>
    </row>
    <row r="12" spans="1:10" x14ac:dyDescent="0.25">
      <c r="A12" s="26">
        <v>5245</v>
      </c>
      <c r="B12" s="21" t="s">
        <v>118</v>
      </c>
      <c r="C12" s="21" t="s">
        <v>105</v>
      </c>
      <c r="D12" s="21" t="s">
        <v>99</v>
      </c>
      <c r="E12" s="25">
        <v>41765</v>
      </c>
      <c r="F12" s="123">
        <f t="shared" si="0"/>
        <v>4.6527777777777777</v>
      </c>
      <c r="G12" s="23">
        <v>41750</v>
      </c>
      <c r="H12" s="22">
        <f t="shared" si="1"/>
        <v>2505</v>
      </c>
      <c r="I12" s="28" t="str">
        <f t="shared" si="2"/>
        <v/>
      </c>
      <c r="J12" s="27"/>
    </row>
    <row r="13" spans="1:10" x14ac:dyDescent="0.25">
      <c r="A13" s="26">
        <v>6568</v>
      </c>
      <c r="B13" s="21" t="s">
        <v>117</v>
      </c>
      <c r="C13" s="21" t="s">
        <v>105</v>
      </c>
      <c r="D13" s="21" t="s">
        <v>99</v>
      </c>
      <c r="E13" s="25">
        <v>42220</v>
      </c>
      <c r="F13" s="123">
        <f t="shared" si="0"/>
        <v>3.4083333333333332</v>
      </c>
      <c r="G13" s="23">
        <v>47350</v>
      </c>
      <c r="H13" s="22">
        <f t="shared" si="1"/>
        <v>2841</v>
      </c>
      <c r="I13" s="28" t="str">
        <f t="shared" si="2"/>
        <v/>
      </c>
    </row>
    <row r="14" spans="1:10" x14ac:dyDescent="0.25">
      <c r="A14" s="26">
        <v>5058</v>
      </c>
      <c r="B14" s="21" t="s">
        <v>116</v>
      </c>
      <c r="C14" s="21" t="s">
        <v>105</v>
      </c>
      <c r="D14" s="21" t="s">
        <v>99</v>
      </c>
      <c r="E14" s="25">
        <v>41715</v>
      </c>
      <c r="F14" s="123">
        <f t="shared" si="0"/>
        <v>4.7888888888888888</v>
      </c>
      <c r="G14" s="23">
        <v>49240</v>
      </c>
      <c r="H14" s="22">
        <f t="shared" si="1"/>
        <v>2954.4</v>
      </c>
      <c r="I14" s="28" t="str">
        <f t="shared" si="2"/>
        <v/>
      </c>
    </row>
    <row r="15" spans="1:10" x14ac:dyDescent="0.25">
      <c r="A15" s="26">
        <v>5370</v>
      </c>
      <c r="B15" s="21" t="s">
        <v>115</v>
      </c>
      <c r="C15" s="21" t="s">
        <v>105</v>
      </c>
      <c r="D15" s="21" t="s">
        <v>99</v>
      </c>
      <c r="E15" s="25">
        <v>41836</v>
      </c>
      <c r="F15" s="123">
        <f t="shared" si="0"/>
        <v>4.458333333333333</v>
      </c>
      <c r="G15" s="23">
        <v>48735</v>
      </c>
      <c r="H15" s="22">
        <f t="shared" si="1"/>
        <v>2924.1</v>
      </c>
      <c r="I15" s="28" t="str">
        <f t="shared" si="2"/>
        <v/>
      </c>
    </row>
    <row r="16" spans="1:10" x14ac:dyDescent="0.25">
      <c r="A16" s="26">
        <v>7848</v>
      </c>
      <c r="B16" s="21" t="s">
        <v>114</v>
      </c>
      <c r="C16" s="21" t="s">
        <v>103</v>
      </c>
      <c r="D16" s="21" t="s">
        <v>99</v>
      </c>
      <c r="E16" s="25">
        <v>42690</v>
      </c>
      <c r="F16" s="123">
        <f t="shared" si="0"/>
        <v>2.125</v>
      </c>
      <c r="G16" s="23">
        <v>47225</v>
      </c>
      <c r="H16" s="22">
        <f t="shared" si="1"/>
        <v>2361.25</v>
      </c>
      <c r="I16" s="28" t="str">
        <f t="shared" si="2"/>
        <v/>
      </c>
    </row>
    <row r="17" spans="1:10" x14ac:dyDescent="0.25">
      <c r="A17" s="26">
        <v>6196</v>
      </c>
      <c r="B17" s="21" t="s">
        <v>113</v>
      </c>
      <c r="C17" s="21" t="s">
        <v>103</v>
      </c>
      <c r="D17" s="21" t="s">
        <v>99</v>
      </c>
      <c r="E17" s="25">
        <v>42145</v>
      </c>
      <c r="F17" s="123">
        <f t="shared" si="0"/>
        <v>3.6111111111111112</v>
      </c>
      <c r="G17" s="23">
        <v>49000</v>
      </c>
      <c r="H17" s="22">
        <f t="shared" si="1"/>
        <v>2940</v>
      </c>
      <c r="I17" s="28" t="str">
        <f t="shared" si="2"/>
        <v/>
      </c>
    </row>
    <row r="18" spans="1:10" x14ac:dyDescent="0.25">
      <c r="A18" s="26">
        <v>6370</v>
      </c>
      <c r="B18" s="21" t="s">
        <v>112</v>
      </c>
      <c r="C18" s="21" t="s">
        <v>100</v>
      </c>
      <c r="D18" s="21" t="s">
        <v>99</v>
      </c>
      <c r="E18" s="25">
        <v>42160</v>
      </c>
      <c r="F18" s="123">
        <f t="shared" si="0"/>
        <v>3.5722222222222224</v>
      </c>
      <c r="G18" s="23">
        <v>46025</v>
      </c>
      <c r="H18" s="22">
        <f t="shared" si="1"/>
        <v>2761.5</v>
      </c>
      <c r="I18" s="28" t="str">
        <f t="shared" si="2"/>
        <v/>
      </c>
    </row>
    <row r="19" spans="1:10" x14ac:dyDescent="0.25">
      <c r="A19" s="26">
        <v>2899</v>
      </c>
      <c r="B19" s="21" t="s">
        <v>111</v>
      </c>
      <c r="C19" s="21" t="s">
        <v>100</v>
      </c>
      <c r="D19" s="21" t="s">
        <v>110</v>
      </c>
      <c r="E19" s="25">
        <v>40624</v>
      </c>
      <c r="F19" s="123">
        <f t="shared" si="0"/>
        <v>7.7750000000000004</v>
      </c>
      <c r="G19" s="23">
        <v>68500</v>
      </c>
      <c r="H19" s="22">
        <f t="shared" si="1"/>
        <v>4110</v>
      </c>
      <c r="I19" s="28" t="str">
        <f t="shared" si="2"/>
        <v>Due for a raise</v>
      </c>
      <c r="J19" s="27"/>
    </row>
    <row r="20" spans="1:10" x14ac:dyDescent="0.25">
      <c r="A20" s="26">
        <v>3698</v>
      </c>
      <c r="B20" s="21" t="s">
        <v>109</v>
      </c>
      <c r="C20" s="21" t="s">
        <v>105</v>
      </c>
      <c r="D20" s="21" t="s">
        <v>99</v>
      </c>
      <c r="E20" s="25">
        <v>41140</v>
      </c>
      <c r="F20" s="123">
        <f t="shared" si="0"/>
        <v>6.3666666666666663</v>
      </c>
      <c r="G20" s="23">
        <v>48250</v>
      </c>
      <c r="H20" s="22">
        <f t="shared" si="1"/>
        <v>2895</v>
      </c>
      <c r="I20" s="28" t="str">
        <f t="shared" si="2"/>
        <v/>
      </c>
    </row>
    <row r="21" spans="1:10" x14ac:dyDescent="0.25">
      <c r="A21" s="26">
        <v>8211</v>
      </c>
      <c r="B21" s="21" t="s">
        <v>108</v>
      </c>
      <c r="C21" s="21" t="s">
        <v>100</v>
      </c>
      <c r="D21" s="21" t="s">
        <v>99</v>
      </c>
      <c r="E21" s="25">
        <v>42999</v>
      </c>
      <c r="F21" s="123">
        <f t="shared" si="0"/>
        <v>1.2777777777777777</v>
      </c>
      <c r="G21" s="23">
        <v>43000</v>
      </c>
      <c r="H21" s="22">
        <f t="shared" si="1"/>
        <v>2150</v>
      </c>
      <c r="I21" s="28" t="str">
        <f t="shared" si="2"/>
        <v/>
      </c>
    </row>
    <row r="22" spans="1:10" x14ac:dyDescent="0.25">
      <c r="A22" s="26">
        <v>6656</v>
      </c>
      <c r="B22" s="21" t="s">
        <v>107</v>
      </c>
      <c r="C22" s="21" t="s">
        <v>105</v>
      </c>
      <c r="D22" s="21" t="s">
        <v>99</v>
      </c>
      <c r="E22" s="25">
        <v>42282</v>
      </c>
      <c r="F22" s="123">
        <f t="shared" si="0"/>
        <v>3.2388888888888889</v>
      </c>
      <c r="G22" s="23">
        <v>48300</v>
      </c>
      <c r="H22" s="22">
        <f t="shared" si="1"/>
        <v>2898</v>
      </c>
      <c r="I22" s="28" t="str">
        <f t="shared" si="2"/>
        <v/>
      </c>
    </row>
    <row r="23" spans="1:10" x14ac:dyDescent="0.25">
      <c r="A23" s="26">
        <v>7009</v>
      </c>
      <c r="B23" s="21" t="s">
        <v>106</v>
      </c>
      <c r="C23" s="21" t="s">
        <v>105</v>
      </c>
      <c r="D23" s="21" t="s">
        <v>99</v>
      </c>
      <c r="E23" s="25">
        <v>42435</v>
      </c>
      <c r="F23" s="123">
        <f t="shared" si="0"/>
        <v>2.8194444444444446</v>
      </c>
      <c r="G23" s="23">
        <v>36350</v>
      </c>
      <c r="H23" s="22">
        <f t="shared" si="1"/>
        <v>1817.5</v>
      </c>
      <c r="I23" s="28" t="str">
        <f t="shared" si="2"/>
        <v/>
      </c>
    </row>
    <row r="24" spans="1:10" x14ac:dyDescent="0.25">
      <c r="A24" s="26">
        <v>7428</v>
      </c>
      <c r="B24" s="21" t="s">
        <v>104</v>
      </c>
      <c r="C24" s="21" t="s">
        <v>103</v>
      </c>
      <c r="D24" s="21" t="s">
        <v>99</v>
      </c>
      <c r="E24" s="25">
        <v>42620</v>
      </c>
      <c r="F24" s="123">
        <f t="shared" si="0"/>
        <v>2.3166666666666669</v>
      </c>
      <c r="G24" s="23">
        <v>46445</v>
      </c>
      <c r="H24" s="22">
        <f t="shared" si="1"/>
        <v>2322.25</v>
      </c>
      <c r="I24" s="28" t="str">
        <f t="shared" si="2"/>
        <v/>
      </c>
    </row>
    <row r="25" spans="1:10" x14ac:dyDescent="0.25">
      <c r="A25" s="26">
        <v>3445</v>
      </c>
      <c r="B25" s="21" t="s">
        <v>102</v>
      </c>
      <c r="C25" s="21" t="s">
        <v>100</v>
      </c>
      <c r="D25" s="21" t="s">
        <v>99</v>
      </c>
      <c r="E25" s="25">
        <v>40982</v>
      </c>
      <c r="F25" s="123">
        <f t="shared" si="0"/>
        <v>6.7972222222222225</v>
      </c>
      <c r="G25" s="23">
        <v>48250</v>
      </c>
      <c r="H25" s="22">
        <f t="shared" si="1"/>
        <v>2895</v>
      </c>
      <c r="I25" s="28" t="str">
        <f t="shared" si="2"/>
        <v/>
      </c>
    </row>
    <row r="26" spans="1:10" x14ac:dyDescent="0.25">
      <c r="A26" s="26">
        <v>4981</v>
      </c>
      <c r="B26" s="21" t="s">
        <v>101</v>
      </c>
      <c r="C26" s="21" t="s">
        <v>100</v>
      </c>
      <c r="D26" s="21" t="s">
        <v>99</v>
      </c>
      <c r="E26" s="25">
        <v>41669</v>
      </c>
      <c r="F26" s="123">
        <f t="shared" si="0"/>
        <v>4.916666666666667</v>
      </c>
      <c r="G26" s="23">
        <v>45750</v>
      </c>
      <c r="H26" s="22">
        <f t="shared" si="1"/>
        <v>2745</v>
      </c>
      <c r="I26" s="28" t="str">
        <f t="shared" si="2"/>
        <v/>
      </c>
    </row>
  </sheetData>
  <mergeCells count="1">
    <mergeCell ref="C5:E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60" zoomScaleNormal="160" zoomScalePageLayoutView="160" workbookViewId="0">
      <selection activeCell="H16" sqref="H16"/>
    </sheetView>
  </sheetViews>
  <sheetFormatPr defaultColWidth="8.85546875" defaultRowHeight="15" x14ac:dyDescent="0.25"/>
  <cols>
    <col min="1" max="4" width="16.7109375" style="4" customWidth="1"/>
    <col min="5" max="5" width="12.7109375" style="4" customWidth="1"/>
    <col min="6" max="6" width="9.85546875" style="4" customWidth="1"/>
    <col min="7" max="7" width="8.85546875" style="4"/>
    <col min="8" max="8" width="15.42578125" style="4" customWidth="1"/>
    <col min="9" max="9" width="13.85546875" style="4" customWidth="1"/>
    <col min="10" max="16384" width="8.85546875" style="4"/>
  </cols>
  <sheetData>
    <row r="1" spans="1:7" ht="15.75" thickBot="1" x14ac:dyDescent="0.3">
      <c r="B1" s="133" t="s">
        <v>133</v>
      </c>
      <c r="C1" s="134"/>
      <c r="D1" s="135"/>
    </row>
    <row r="2" spans="1:7" ht="15.75" thickBot="1" x14ac:dyDescent="0.3">
      <c r="A2" s="36" t="s">
        <v>132</v>
      </c>
      <c r="B2" s="35" t="s">
        <v>131</v>
      </c>
      <c r="C2" s="35" t="s">
        <v>130</v>
      </c>
      <c r="D2" s="35" t="s">
        <v>129</v>
      </c>
      <c r="E2" s="35" t="s">
        <v>128</v>
      </c>
      <c r="F2" s="52" t="s">
        <v>126</v>
      </c>
    </row>
    <row r="3" spans="1:7" x14ac:dyDescent="0.25">
      <c r="A3" s="32">
        <v>1124</v>
      </c>
      <c r="B3" s="28" t="s">
        <v>123</v>
      </c>
      <c r="C3" s="28" t="s">
        <v>167</v>
      </c>
      <c r="D3" s="28" t="s">
        <v>110</v>
      </c>
      <c r="E3" s="31">
        <v>39329</v>
      </c>
      <c r="F3" s="29">
        <v>72750</v>
      </c>
      <c r="G3" s="46"/>
    </row>
    <row r="4" spans="1:7" x14ac:dyDescent="0.25">
      <c r="A4" s="26">
        <v>9355</v>
      </c>
      <c r="B4" s="21" t="s">
        <v>122</v>
      </c>
      <c r="C4" s="21" t="s">
        <v>422</v>
      </c>
      <c r="D4" s="21" t="s">
        <v>99</v>
      </c>
      <c r="E4" s="25">
        <v>43381</v>
      </c>
      <c r="F4" s="23">
        <v>48575</v>
      </c>
      <c r="G4" s="46"/>
    </row>
    <row r="5" spans="1:7" x14ac:dyDescent="0.25">
      <c r="A5" s="26">
        <v>5521</v>
      </c>
      <c r="B5" s="21" t="s">
        <v>121</v>
      </c>
      <c r="C5" s="21" t="s">
        <v>423</v>
      </c>
      <c r="D5" s="21" t="s">
        <v>99</v>
      </c>
      <c r="E5" s="25">
        <v>41840</v>
      </c>
      <c r="F5" s="23">
        <v>44000</v>
      </c>
      <c r="G5" s="46"/>
    </row>
    <row r="6" spans="1:7" x14ac:dyDescent="0.25">
      <c r="A6" s="26">
        <v>2253</v>
      </c>
      <c r="B6" s="21" t="s">
        <v>120</v>
      </c>
      <c r="C6" s="21" t="s">
        <v>423</v>
      </c>
      <c r="D6" s="21" t="s">
        <v>110</v>
      </c>
      <c r="E6" s="25">
        <v>39853</v>
      </c>
      <c r="F6" s="23">
        <v>85800</v>
      </c>
      <c r="G6" s="46"/>
    </row>
    <row r="7" spans="1:7" x14ac:dyDescent="0.25">
      <c r="A7" s="26">
        <v>5967</v>
      </c>
      <c r="B7" s="21" t="s">
        <v>119</v>
      </c>
      <c r="C7" s="21" t="s">
        <v>422</v>
      </c>
      <c r="D7" s="21" t="s">
        <v>99</v>
      </c>
      <c r="E7" s="25">
        <v>41993</v>
      </c>
      <c r="F7" s="23">
        <v>42695</v>
      </c>
      <c r="G7" s="46"/>
    </row>
    <row r="8" spans="1:7" x14ac:dyDescent="0.25">
      <c r="A8" s="26">
        <v>5245</v>
      </c>
      <c r="B8" s="21" t="s">
        <v>118</v>
      </c>
      <c r="C8" s="21" t="s">
        <v>167</v>
      </c>
      <c r="D8" s="21" t="s">
        <v>99</v>
      </c>
      <c r="E8" s="25">
        <v>41765</v>
      </c>
      <c r="F8" s="23">
        <v>41750</v>
      </c>
      <c r="G8" s="46"/>
    </row>
    <row r="9" spans="1:7" x14ac:dyDescent="0.25">
      <c r="A9" s="26">
        <v>6568</v>
      </c>
      <c r="B9" s="21" t="s">
        <v>117</v>
      </c>
      <c r="C9" s="21" t="s">
        <v>167</v>
      </c>
      <c r="D9" s="21" t="s">
        <v>99</v>
      </c>
      <c r="E9" s="25">
        <v>42220</v>
      </c>
      <c r="F9" s="23">
        <v>47350</v>
      </c>
      <c r="G9" s="46"/>
    </row>
    <row r="10" spans="1:7" x14ac:dyDescent="0.25">
      <c r="A10" s="26">
        <v>5058</v>
      </c>
      <c r="B10" s="21" t="s">
        <v>116</v>
      </c>
      <c r="C10" s="21" t="s">
        <v>167</v>
      </c>
      <c r="D10" s="21" t="s">
        <v>99</v>
      </c>
      <c r="E10" s="25">
        <v>41715</v>
      </c>
      <c r="F10" s="23">
        <v>49240</v>
      </c>
      <c r="G10" s="46"/>
    </row>
    <row r="11" spans="1:7" x14ac:dyDescent="0.25">
      <c r="A11" s="26">
        <v>5370</v>
      </c>
      <c r="B11" s="21" t="s">
        <v>115</v>
      </c>
      <c r="C11" s="21" t="s">
        <v>167</v>
      </c>
      <c r="D11" s="21" t="s">
        <v>99</v>
      </c>
      <c r="E11" s="25">
        <v>41836</v>
      </c>
      <c r="F11" s="23">
        <v>48735</v>
      </c>
      <c r="G11" s="46"/>
    </row>
    <row r="12" spans="1:7" x14ac:dyDescent="0.25">
      <c r="A12" s="26">
        <v>7848</v>
      </c>
      <c r="B12" s="21" t="s">
        <v>114</v>
      </c>
      <c r="C12" s="21" t="s">
        <v>423</v>
      </c>
      <c r="D12" s="21" t="s">
        <v>99</v>
      </c>
      <c r="E12" s="25">
        <v>42690</v>
      </c>
      <c r="F12" s="23">
        <v>47225</v>
      </c>
      <c r="G12" s="46"/>
    </row>
    <row r="13" spans="1:7" x14ac:dyDescent="0.25">
      <c r="A13" s="26">
        <v>6196</v>
      </c>
      <c r="B13" s="21" t="s">
        <v>113</v>
      </c>
      <c r="C13" s="21" t="s">
        <v>423</v>
      </c>
      <c r="D13" s="21" t="s">
        <v>99</v>
      </c>
      <c r="E13" s="25">
        <v>42145</v>
      </c>
      <c r="F13" s="23">
        <v>49000</v>
      </c>
      <c r="G13" s="46"/>
    </row>
    <row r="14" spans="1:7" x14ac:dyDescent="0.25">
      <c r="A14" s="26">
        <v>6370</v>
      </c>
      <c r="B14" s="21" t="s">
        <v>112</v>
      </c>
      <c r="C14" s="21" t="s">
        <v>422</v>
      </c>
      <c r="D14" s="21" t="s">
        <v>99</v>
      </c>
      <c r="E14" s="25">
        <v>42160</v>
      </c>
      <c r="F14" s="23">
        <v>46025</v>
      </c>
      <c r="G14" s="46"/>
    </row>
    <row r="15" spans="1:7" x14ac:dyDescent="0.25">
      <c r="A15" s="26">
        <v>2899</v>
      </c>
      <c r="B15" s="21" t="s">
        <v>111</v>
      </c>
      <c r="C15" s="21" t="s">
        <v>422</v>
      </c>
      <c r="D15" s="21" t="s">
        <v>110</v>
      </c>
      <c r="E15" s="25">
        <v>40624</v>
      </c>
      <c r="F15" s="23">
        <v>68500</v>
      </c>
      <c r="G15" s="46"/>
    </row>
    <row r="16" spans="1:7" x14ac:dyDescent="0.25">
      <c r="A16" s="26">
        <v>3698</v>
      </c>
      <c r="B16" s="21" t="s">
        <v>109</v>
      </c>
      <c r="C16" s="21" t="s">
        <v>167</v>
      </c>
      <c r="D16" s="21" t="s">
        <v>99</v>
      </c>
      <c r="E16" s="25">
        <v>41140</v>
      </c>
      <c r="F16" s="23">
        <v>48250</v>
      </c>
      <c r="G16" s="46"/>
    </row>
    <row r="17" spans="1:9" x14ac:dyDescent="0.25">
      <c r="A17" s="26">
        <v>8211</v>
      </c>
      <c r="B17" s="21" t="s">
        <v>108</v>
      </c>
      <c r="C17" s="21" t="s">
        <v>422</v>
      </c>
      <c r="D17" s="21" t="s">
        <v>99</v>
      </c>
      <c r="E17" s="25">
        <v>42999</v>
      </c>
      <c r="F17" s="23">
        <v>43000</v>
      </c>
      <c r="G17" s="46"/>
    </row>
    <row r="18" spans="1:9" x14ac:dyDescent="0.25">
      <c r="A18" s="26">
        <v>6656</v>
      </c>
      <c r="B18" s="21" t="s">
        <v>107</v>
      </c>
      <c r="C18" s="21" t="s">
        <v>167</v>
      </c>
      <c r="D18" s="21" t="s">
        <v>99</v>
      </c>
      <c r="E18" s="25">
        <v>42282</v>
      </c>
      <c r="F18" s="23">
        <v>48300</v>
      </c>
      <c r="G18" s="46"/>
    </row>
    <row r="19" spans="1:9" x14ac:dyDescent="0.25">
      <c r="A19" s="26">
        <v>7009</v>
      </c>
      <c r="B19" s="21" t="s">
        <v>106</v>
      </c>
      <c r="C19" s="21" t="s">
        <v>167</v>
      </c>
      <c r="D19" s="21" t="s">
        <v>99</v>
      </c>
      <c r="E19" s="25">
        <v>42435</v>
      </c>
      <c r="F19" s="23">
        <v>36350</v>
      </c>
      <c r="G19" s="46"/>
    </row>
    <row r="20" spans="1:9" x14ac:dyDescent="0.25">
      <c r="A20" s="26">
        <v>7428</v>
      </c>
      <c r="B20" s="21" t="s">
        <v>104</v>
      </c>
      <c r="C20" s="21" t="s">
        <v>423</v>
      </c>
      <c r="D20" s="21" t="s">
        <v>99</v>
      </c>
      <c r="E20" s="25">
        <v>42620</v>
      </c>
      <c r="F20" s="23">
        <v>46445</v>
      </c>
      <c r="G20" s="46"/>
    </row>
    <row r="21" spans="1:9" x14ac:dyDescent="0.25">
      <c r="A21" s="26">
        <v>3445</v>
      </c>
      <c r="B21" s="21" t="s">
        <v>102</v>
      </c>
      <c r="C21" s="21" t="s">
        <v>422</v>
      </c>
      <c r="D21" s="21" t="s">
        <v>99</v>
      </c>
      <c r="E21" s="25">
        <v>40982</v>
      </c>
      <c r="F21" s="23">
        <v>48250</v>
      </c>
      <c r="G21" s="46"/>
    </row>
    <row r="22" spans="1:9" x14ac:dyDescent="0.25">
      <c r="A22" s="26">
        <v>4981</v>
      </c>
      <c r="B22" s="21" t="s">
        <v>101</v>
      </c>
      <c r="C22" s="21" t="s">
        <v>422</v>
      </c>
      <c r="D22" s="21" t="s">
        <v>99</v>
      </c>
      <c r="E22" s="25">
        <v>41669</v>
      </c>
      <c r="F22" s="23">
        <v>45750</v>
      </c>
      <c r="G22" s="46"/>
    </row>
    <row r="24" spans="1:9" x14ac:dyDescent="0.25">
      <c r="A24" s="9" t="s">
        <v>148</v>
      </c>
      <c r="H24" s="51" t="s">
        <v>147</v>
      </c>
      <c r="I24" s="50"/>
    </row>
    <row r="25" spans="1:9" x14ac:dyDescent="0.25">
      <c r="H25" s="49" t="s">
        <v>146</v>
      </c>
      <c r="I25" s="8"/>
    </row>
    <row r="26" spans="1:9" x14ac:dyDescent="0.25">
      <c r="H26" s="49" t="s">
        <v>145</v>
      </c>
      <c r="I26" s="8"/>
    </row>
    <row r="27" spans="1:9" x14ac:dyDescent="0.25">
      <c r="A27"/>
      <c r="H27" s="49" t="s">
        <v>144</v>
      </c>
      <c r="I27" s="8"/>
    </row>
    <row r="28" spans="1:9" x14ac:dyDescent="0.25">
      <c r="A28"/>
      <c r="H28" s="49" t="s">
        <v>143</v>
      </c>
      <c r="I28" s="7"/>
    </row>
    <row r="29" spans="1:9" x14ac:dyDescent="0.25">
      <c r="A29"/>
    </row>
    <row r="34" spans="4:6" x14ac:dyDescent="0.25">
      <c r="D34" s="48"/>
      <c r="E34" s="47"/>
      <c r="F34" s="46"/>
    </row>
  </sheetData>
  <mergeCells count="1">
    <mergeCell ref="B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2" zoomScale="160" zoomScaleNormal="160" zoomScalePageLayoutView="160" workbookViewId="0">
      <selection activeCell="C22" sqref="C3:C22"/>
    </sheetView>
  </sheetViews>
  <sheetFormatPr defaultColWidth="8.85546875" defaultRowHeight="15" x14ac:dyDescent="0.25"/>
  <cols>
    <col min="1" max="4" width="16.7109375" style="4" customWidth="1"/>
    <col min="5" max="5" width="12.7109375" style="4" customWidth="1"/>
    <col min="6" max="6" width="9.85546875" style="4" customWidth="1"/>
    <col min="7" max="7" width="8.85546875" style="4"/>
    <col min="8" max="8" width="15.42578125" style="4" customWidth="1"/>
    <col min="9" max="9" width="13.85546875" style="4" customWidth="1"/>
    <col min="10" max="16384" width="8.85546875" style="4"/>
  </cols>
  <sheetData>
    <row r="1" spans="1:7" ht="15.75" thickBot="1" x14ac:dyDescent="0.3">
      <c r="B1" s="133" t="s">
        <v>133</v>
      </c>
      <c r="C1" s="134"/>
      <c r="D1" s="135"/>
    </row>
    <row r="2" spans="1:7" ht="15.75" thickBot="1" x14ac:dyDescent="0.3">
      <c r="A2" s="36" t="s">
        <v>132</v>
      </c>
      <c r="B2" s="35" t="s">
        <v>131</v>
      </c>
      <c r="C2" s="35" t="s">
        <v>130</v>
      </c>
      <c r="D2" s="35" t="s">
        <v>129</v>
      </c>
      <c r="E2" s="35" t="s">
        <v>128</v>
      </c>
      <c r="F2" s="52" t="s">
        <v>126</v>
      </c>
    </row>
    <row r="3" spans="1:7" x14ac:dyDescent="0.25">
      <c r="A3" s="32">
        <v>1124</v>
      </c>
      <c r="B3" s="28" t="s">
        <v>123</v>
      </c>
      <c r="C3" s="28" t="s">
        <v>167</v>
      </c>
      <c r="D3" s="28" t="s">
        <v>110</v>
      </c>
      <c r="E3" s="31">
        <v>39329</v>
      </c>
      <c r="F3" s="29">
        <v>72750</v>
      </c>
      <c r="G3" s="46"/>
    </row>
    <row r="4" spans="1:7" x14ac:dyDescent="0.25">
      <c r="A4" s="26">
        <v>9355</v>
      </c>
      <c r="B4" s="21" t="s">
        <v>122</v>
      </c>
      <c r="C4" s="21" t="s">
        <v>422</v>
      </c>
      <c r="D4" s="21" t="s">
        <v>99</v>
      </c>
      <c r="E4" s="25">
        <v>43381</v>
      </c>
      <c r="F4" s="23">
        <v>48575</v>
      </c>
      <c r="G4" s="46"/>
    </row>
    <row r="5" spans="1:7" x14ac:dyDescent="0.25">
      <c r="A5" s="26">
        <v>5521</v>
      </c>
      <c r="B5" s="21" t="s">
        <v>121</v>
      </c>
      <c r="C5" s="21" t="s">
        <v>423</v>
      </c>
      <c r="D5" s="21" t="s">
        <v>99</v>
      </c>
      <c r="E5" s="25">
        <v>41840</v>
      </c>
      <c r="F5" s="23">
        <v>44000</v>
      </c>
      <c r="G5" s="46"/>
    </row>
    <row r="6" spans="1:7" x14ac:dyDescent="0.25">
      <c r="A6" s="26">
        <v>2253</v>
      </c>
      <c r="B6" s="21" t="s">
        <v>120</v>
      </c>
      <c r="C6" s="21" t="s">
        <v>423</v>
      </c>
      <c r="D6" s="21" t="s">
        <v>110</v>
      </c>
      <c r="E6" s="25">
        <v>39853</v>
      </c>
      <c r="F6" s="23">
        <v>85800</v>
      </c>
      <c r="G6" s="46"/>
    </row>
    <row r="7" spans="1:7" x14ac:dyDescent="0.25">
      <c r="A7" s="26">
        <v>5967</v>
      </c>
      <c r="B7" s="21" t="s">
        <v>119</v>
      </c>
      <c r="C7" s="21" t="s">
        <v>422</v>
      </c>
      <c r="D7" s="21" t="s">
        <v>99</v>
      </c>
      <c r="E7" s="25">
        <v>41993</v>
      </c>
      <c r="F7" s="23">
        <v>42695</v>
      </c>
      <c r="G7" s="46"/>
    </row>
    <row r="8" spans="1:7" x14ac:dyDescent="0.25">
      <c r="A8" s="26">
        <v>5245</v>
      </c>
      <c r="B8" s="21" t="s">
        <v>118</v>
      </c>
      <c r="C8" s="21" t="s">
        <v>167</v>
      </c>
      <c r="D8" s="21" t="s">
        <v>99</v>
      </c>
      <c r="E8" s="25">
        <v>41765</v>
      </c>
      <c r="F8" s="23">
        <v>41750</v>
      </c>
      <c r="G8" s="46"/>
    </row>
    <row r="9" spans="1:7" x14ac:dyDescent="0.25">
      <c r="A9" s="26">
        <v>6568</v>
      </c>
      <c r="B9" s="21" t="s">
        <v>117</v>
      </c>
      <c r="C9" s="21" t="s">
        <v>167</v>
      </c>
      <c r="D9" s="21" t="s">
        <v>99</v>
      </c>
      <c r="E9" s="25">
        <v>42220</v>
      </c>
      <c r="F9" s="23">
        <v>47350</v>
      </c>
      <c r="G9" s="46"/>
    </row>
    <row r="10" spans="1:7" x14ac:dyDescent="0.25">
      <c r="A10" s="26">
        <v>5058</v>
      </c>
      <c r="B10" s="21" t="s">
        <v>116</v>
      </c>
      <c r="C10" s="21" t="s">
        <v>167</v>
      </c>
      <c r="D10" s="21" t="s">
        <v>99</v>
      </c>
      <c r="E10" s="25">
        <v>41715</v>
      </c>
      <c r="F10" s="23">
        <v>49240</v>
      </c>
      <c r="G10" s="46"/>
    </row>
    <row r="11" spans="1:7" x14ac:dyDescent="0.25">
      <c r="A11" s="26">
        <v>5370</v>
      </c>
      <c r="B11" s="21" t="s">
        <v>115</v>
      </c>
      <c r="C11" s="21" t="s">
        <v>167</v>
      </c>
      <c r="D11" s="21" t="s">
        <v>99</v>
      </c>
      <c r="E11" s="25">
        <v>41836</v>
      </c>
      <c r="F11" s="23">
        <v>48735</v>
      </c>
      <c r="G11" s="46"/>
    </row>
    <row r="12" spans="1:7" x14ac:dyDescent="0.25">
      <c r="A12" s="26">
        <v>7848</v>
      </c>
      <c r="B12" s="21" t="s">
        <v>114</v>
      </c>
      <c r="C12" s="21" t="s">
        <v>423</v>
      </c>
      <c r="D12" s="21" t="s">
        <v>99</v>
      </c>
      <c r="E12" s="25">
        <v>42690</v>
      </c>
      <c r="F12" s="23">
        <v>47225</v>
      </c>
      <c r="G12" s="46"/>
    </row>
    <row r="13" spans="1:7" x14ac:dyDescent="0.25">
      <c r="A13" s="26">
        <v>6196</v>
      </c>
      <c r="B13" s="21" t="s">
        <v>113</v>
      </c>
      <c r="C13" s="21" t="s">
        <v>423</v>
      </c>
      <c r="D13" s="21" t="s">
        <v>99</v>
      </c>
      <c r="E13" s="25">
        <v>42145</v>
      </c>
      <c r="F13" s="23">
        <v>49000</v>
      </c>
      <c r="G13" s="46"/>
    </row>
    <row r="14" spans="1:7" x14ac:dyDescent="0.25">
      <c r="A14" s="26">
        <v>6370</v>
      </c>
      <c r="B14" s="21" t="s">
        <v>112</v>
      </c>
      <c r="C14" s="21" t="s">
        <v>422</v>
      </c>
      <c r="D14" s="21" t="s">
        <v>99</v>
      </c>
      <c r="E14" s="25">
        <v>42160</v>
      </c>
      <c r="F14" s="23">
        <v>46025</v>
      </c>
      <c r="G14" s="46"/>
    </row>
    <row r="15" spans="1:7" x14ac:dyDescent="0.25">
      <c r="A15" s="26">
        <v>2899</v>
      </c>
      <c r="B15" s="21" t="s">
        <v>111</v>
      </c>
      <c r="C15" s="21" t="s">
        <v>422</v>
      </c>
      <c r="D15" s="21" t="s">
        <v>110</v>
      </c>
      <c r="E15" s="25">
        <v>40624</v>
      </c>
      <c r="F15" s="23">
        <v>68500</v>
      </c>
      <c r="G15" s="46"/>
    </row>
    <row r="16" spans="1:7" x14ac:dyDescent="0.25">
      <c r="A16" s="26">
        <v>3698</v>
      </c>
      <c r="B16" s="21" t="s">
        <v>109</v>
      </c>
      <c r="C16" s="21" t="s">
        <v>167</v>
      </c>
      <c r="D16" s="21" t="s">
        <v>99</v>
      </c>
      <c r="E16" s="25">
        <v>41140</v>
      </c>
      <c r="F16" s="23">
        <v>48250</v>
      </c>
      <c r="G16" s="46"/>
    </row>
    <row r="17" spans="1:9" x14ac:dyDescent="0.25">
      <c r="A17" s="26">
        <v>8211</v>
      </c>
      <c r="B17" s="21" t="s">
        <v>108</v>
      </c>
      <c r="C17" s="21" t="s">
        <v>422</v>
      </c>
      <c r="D17" s="21" t="s">
        <v>99</v>
      </c>
      <c r="E17" s="25">
        <v>42999</v>
      </c>
      <c r="F17" s="23">
        <v>43000</v>
      </c>
      <c r="G17" s="46"/>
    </row>
    <row r="18" spans="1:9" x14ac:dyDescent="0.25">
      <c r="A18" s="26">
        <v>6656</v>
      </c>
      <c r="B18" s="21" t="s">
        <v>107</v>
      </c>
      <c r="C18" s="21" t="s">
        <v>167</v>
      </c>
      <c r="D18" s="21" t="s">
        <v>99</v>
      </c>
      <c r="E18" s="25">
        <v>42282</v>
      </c>
      <c r="F18" s="23">
        <v>48300</v>
      </c>
      <c r="G18" s="46"/>
    </row>
    <row r="19" spans="1:9" x14ac:dyDescent="0.25">
      <c r="A19" s="26">
        <v>7009</v>
      </c>
      <c r="B19" s="21" t="s">
        <v>106</v>
      </c>
      <c r="C19" s="21" t="s">
        <v>167</v>
      </c>
      <c r="D19" s="21" t="s">
        <v>99</v>
      </c>
      <c r="E19" s="25">
        <v>42435</v>
      </c>
      <c r="F19" s="23">
        <v>36350</v>
      </c>
      <c r="G19" s="46"/>
    </row>
    <row r="20" spans="1:9" x14ac:dyDescent="0.25">
      <c r="A20" s="26">
        <v>7428</v>
      </c>
      <c r="B20" s="21" t="s">
        <v>104</v>
      </c>
      <c r="C20" s="21" t="s">
        <v>423</v>
      </c>
      <c r="D20" s="21" t="s">
        <v>99</v>
      </c>
      <c r="E20" s="25">
        <v>42620</v>
      </c>
      <c r="F20" s="23">
        <v>46445</v>
      </c>
      <c r="G20" s="46"/>
    </row>
    <row r="21" spans="1:9" x14ac:dyDescent="0.25">
      <c r="A21" s="26">
        <v>3445</v>
      </c>
      <c r="B21" s="21" t="s">
        <v>102</v>
      </c>
      <c r="C21" s="21" t="s">
        <v>422</v>
      </c>
      <c r="D21" s="21" t="s">
        <v>99</v>
      </c>
      <c r="E21" s="25">
        <v>40982</v>
      </c>
      <c r="F21" s="23">
        <v>48250</v>
      </c>
      <c r="G21" s="46"/>
    </row>
    <row r="22" spans="1:9" x14ac:dyDescent="0.25">
      <c r="A22" s="26">
        <v>4981</v>
      </c>
      <c r="B22" s="21" t="s">
        <v>101</v>
      </c>
      <c r="C22" s="21" t="s">
        <v>422</v>
      </c>
      <c r="D22" s="21" t="s">
        <v>99</v>
      </c>
      <c r="E22" s="25">
        <v>41669</v>
      </c>
      <c r="F22" s="23">
        <v>45750</v>
      </c>
      <c r="G22" s="46"/>
    </row>
    <row r="24" spans="1:9" ht="15.75" thickBot="1" x14ac:dyDescent="0.3">
      <c r="A24" s="9" t="s">
        <v>148</v>
      </c>
      <c r="H24" s="51" t="s">
        <v>147</v>
      </c>
      <c r="I24" s="50"/>
    </row>
    <row r="25" spans="1:9" ht="15.75" thickBot="1" x14ac:dyDescent="0.3">
      <c r="A25" s="36" t="s">
        <v>132</v>
      </c>
      <c r="B25" s="35" t="s">
        <v>131</v>
      </c>
      <c r="C25" s="35" t="s">
        <v>130</v>
      </c>
      <c r="D25" s="35" t="s">
        <v>129</v>
      </c>
      <c r="E25" s="35" t="s">
        <v>128</v>
      </c>
      <c r="F25" s="52" t="s">
        <v>126</v>
      </c>
      <c r="H25" s="49" t="s">
        <v>146</v>
      </c>
      <c r="I25" s="8">
        <f>DAVERAGE(A2:F22,F2,A25:F26)</f>
        <v>45710.714285714283</v>
      </c>
    </row>
    <row r="26" spans="1:9" x14ac:dyDescent="0.25">
      <c r="C26" s="125" t="s">
        <v>167</v>
      </c>
      <c r="D26" s="125" t="s">
        <v>99</v>
      </c>
      <c r="F26" s="4" t="s">
        <v>342</v>
      </c>
      <c r="H26" s="49" t="s">
        <v>145</v>
      </c>
      <c r="I26" s="8">
        <f>DMIN(A2:F22,F2,A25:F26)</f>
        <v>36350</v>
      </c>
    </row>
    <row r="27" spans="1:9" x14ac:dyDescent="0.25">
      <c r="H27" s="49" t="s">
        <v>144</v>
      </c>
      <c r="I27" s="8">
        <f>DMAX(A2:F22,F2,A25:F26)</f>
        <v>49240</v>
      </c>
    </row>
    <row r="28" spans="1:9" x14ac:dyDescent="0.25">
      <c r="H28" s="49" t="s">
        <v>143</v>
      </c>
      <c r="I28" s="7">
        <f>DCOUNTA(A2:F22,B2,A25:F26)</f>
        <v>7</v>
      </c>
    </row>
    <row r="33" spans="4:6" x14ac:dyDescent="0.25">
      <c r="D33" s="48"/>
      <c r="E33" s="47"/>
      <c r="F33" s="46"/>
    </row>
  </sheetData>
  <mergeCells count="1">
    <mergeCell ref="B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4" zoomScale="160" zoomScaleNormal="160" zoomScalePageLayoutView="160" workbookViewId="0">
      <selection activeCell="A28" sqref="A28"/>
    </sheetView>
  </sheetViews>
  <sheetFormatPr defaultColWidth="8.85546875" defaultRowHeight="15" x14ac:dyDescent="0.25"/>
  <cols>
    <col min="1" max="4" width="16.7109375" style="4" customWidth="1"/>
    <col min="5" max="5" width="12.7109375" style="4" customWidth="1"/>
    <col min="6" max="6" width="9.85546875" style="4" customWidth="1"/>
    <col min="7" max="16384" width="8.85546875" style="4"/>
  </cols>
  <sheetData>
    <row r="1" spans="1:7" ht="15.75" thickBot="1" x14ac:dyDescent="0.3">
      <c r="B1" s="133" t="s">
        <v>133</v>
      </c>
      <c r="C1" s="134"/>
      <c r="D1" s="135"/>
    </row>
    <row r="2" spans="1:7" ht="15.75" thickBot="1" x14ac:dyDescent="0.3">
      <c r="A2" s="36" t="s">
        <v>132</v>
      </c>
      <c r="B2" s="35" t="s">
        <v>131</v>
      </c>
      <c r="C2" s="35" t="s">
        <v>130</v>
      </c>
      <c r="D2" s="35" t="s">
        <v>129</v>
      </c>
      <c r="E2" s="35" t="s">
        <v>128</v>
      </c>
      <c r="F2" s="52" t="s">
        <v>126</v>
      </c>
    </row>
    <row r="3" spans="1:7" x14ac:dyDescent="0.25">
      <c r="A3" s="32">
        <v>1124</v>
      </c>
      <c r="B3" s="28" t="s">
        <v>123</v>
      </c>
      <c r="C3" s="28" t="s">
        <v>167</v>
      </c>
      <c r="D3" s="28" t="s">
        <v>110</v>
      </c>
      <c r="E3" s="31">
        <v>39329</v>
      </c>
      <c r="F3" s="29">
        <v>72750</v>
      </c>
      <c r="G3" s="46"/>
    </row>
    <row r="4" spans="1:7" x14ac:dyDescent="0.25">
      <c r="A4" s="26">
        <v>9355</v>
      </c>
      <c r="B4" s="21" t="s">
        <v>122</v>
      </c>
      <c r="C4" s="21" t="s">
        <v>422</v>
      </c>
      <c r="D4" s="21" t="s">
        <v>99</v>
      </c>
      <c r="E4" s="25">
        <v>43381</v>
      </c>
      <c r="F4" s="23">
        <v>48575</v>
      </c>
      <c r="G4" s="46"/>
    </row>
    <row r="5" spans="1:7" x14ac:dyDescent="0.25">
      <c r="A5" s="26">
        <v>5521</v>
      </c>
      <c r="B5" s="21" t="s">
        <v>121</v>
      </c>
      <c r="C5" s="21" t="s">
        <v>423</v>
      </c>
      <c r="D5" s="21" t="s">
        <v>99</v>
      </c>
      <c r="E5" s="25">
        <v>41840</v>
      </c>
      <c r="F5" s="23">
        <v>44000</v>
      </c>
      <c r="G5" s="46"/>
    </row>
    <row r="6" spans="1:7" x14ac:dyDescent="0.25">
      <c r="A6" s="26">
        <v>2253</v>
      </c>
      <c r="B6" s="21" t="s">
        <v>120</v>
      </c>
      <c r="C6" s="21" t="s">
        <v>423</v>
      </c>
      <c r="D6" s="21" t="s">
        <v>110</v>
      </c>
      <c r="E6" s="25">
        <v>39853</v>
      </c>
      <c r="F6" s="23">
        <v>85800</v>
      </c>
      <c r="G6" s="46"/>
    </row>
    <row r="7" spans="1:7" x14ac:dyDescent="0.25">
      <c r="A7" s="26">
        <v>5967</v>
      </c>
      <c r="B7" s="21" t="s">
        <v>119</v>
      </c>
      <c r="C7" s="21" t="s">
        <v>422</v>
      </c>
      <c r="D7" s="21" t="s">
        <v>99</v>
      </c>
      <c r="E7" s="25">
        <v>41993</v>
      </c>
      <c r="F7" s="23">
        <v>42695</v>
      </c>
      <c r="G7" s="46"/>
    </row>
    <row r="8" spans="1:7" x14ac:dyDescent="0.25">
      <c r="A8" s="26">
        <v>5245</v>
      </c>
      <c r="B8" s="21" t="s">
        <v>118</v>
      </c>
      <c r="C8" s="21" t="s">
        <v>167</v>
      </c>
      <c r="D8" s="21" t="s">
        <v>99</v>
      </c>
      <c r="E8" s="25">
        <v>41765</v>
      </c>
      <c r="F8" s="23">
        <v>41750</v>
      </c>
      <c r="G8" s="46"/>
    </row>
    <row r="9" spans="1:7" x14ac:dyDescent="0.25">
      <c r="A9" s="26">
        <v>6568</v>
      </c>
      <c r="B9" s="21" t="s">
        <v>117</v>
      </c>
      <c r="C9" s="21" t="s">
        <v>167</v>
      </c>
      <c r="D9" s="21" t="s">
        <v>99</v>
      </c>
      <c r="E9" s="25">
        <v>42220</v>
      </c>
      <c r="F9" s="23">
        <v>47350</v>
      </c>
      <c r="G9" s="46"/>
    </row>
    <row r="10" spans="1:7" x14ac:dyDescent="0.25">
      <c r="A10" s="26">
        <v>5058</v>
      </c>
      <c r="B10" s="21" t="s">
        <v>116</v>
      </c>
      <c r="C10" s="21" t="s">
        <v>167</v>
      </c>
      <c r="D10" s="21" t="s">
        <v>99</v>
      </c>
      <c r="E10" s="25">
        <v>41715</v>
      </c>
      <c r="F10" s="23">
        <v>49240</v>
      </c>
      <c r="G10" s="46"/>
    </row>
    <row r="11" spans="1:7" x14ac:dyDescent="0.25">
      <c r="A11" s="26">
        <v>5370</v>
      </c>
      <c r="B11" s="21" t="s">
        <v>115</v>
      </c>
      <c r="C11" s="21" t="s">
        <v>167</v>
      </c>
      <c r="D11" s="21" t="s">
        <v>99</v>
      </c>
      <c r="E11" s="25">
        <v>41836</v>
      </c>
      <c r="F11" s="23">
        <v>48735</v>
      </c>
      <c r="G11" s="46"/>
    </row>
    <row r="12" spans="1:7" x14ac:dyDescent="0.25">
      <c r="A12" s="26">
        <v>7848</v>
      </c>
      <c r="B12" s="21" t="s">
        <v>114</v>
      </c>
      <c r="C12" s="21" t="s">
        <v>423</v>
      </c>
      <c r="D12" s="21" t="s">
        <v>99</v>
      </c>
      <c r="E12" s="25">
        <v>42690</v>
      </c>
      <c r="F12" s="23">
        <v>47225</v>
      </c>
      <c r="G12" s="46"/>
    </row>
    <row r="13" spans="1:7" x14ac:dyDescent="0.25">
      <c r="A13" s="26">
        <v>6196</v>
      </c>
      <c r="B13" s="21" t="s">
        <v>113</v>
      </c>
      <c r="C13" s="21" t="s">
        <v>423</v>
      </c>
      <c r="D13" s="21" t="s">
        <v>99</v>
      </c>
      <c r="E13" s="25">
        <v>42145</v>
      </c>
      <c r="F13" s="23">
        <v>49000</v>
      </c>
      <c r="G13" s="46"/>
    </row>
    <row r="14" spans="1:7" x14ac:dyDescent="0.25">
      <c r="A14" s="26">
        <v>6370</v>
      </c>
      <c r="B14" s="21" t="s">
        <v>112</v>
      </c>
      <c r="C14" s="21" t="s">
        <v>422</v>
      </c>
      <c r="D14" s="21" t="s">
        <v>99</v>
      </c>
      <c r="E14" s="25">
        <v>42160</v>
      </c>
      <c r="F14" s="23">
        <v>46025</v>
      </c>
      <c r="G14" s="46"/>
    </row>
    <row r="15" spans="1:7" x14ac:dyDescent="0.25">
      <c r="A15" s="26">
        <v>2899</v>
      </c>
      <c r="B15" s="21" t="s">
        <v>111</v>
      </c>
      <c r="C15" s="21" t="s">
        <v>422</v>
      </c>
      <c r="D15" s="21" t="s">
        <v>110</v>
      </c>
      <c r="E15" s="25">
        <v>40624</v>
      </c>
      <c r="F15" s="23">
        <v>68500</v>
      </c>
      <c r="G15" s="46"/>
    </row>
    <row r="16" spans="1:7" x14ac:dyDescent="0.25">
      <c r="A16" s="26">
        <v>3698</v>
      </c>
      <c r="B16" s="21" t="s">
        <v>109</v>
      </c>
      <c r="C16" s="21" t="s">
        <v>167</v>
      </c>
      <c r="D16" s="21" t="s">
        <v>99</v>
      </c>
      <c r="E16" s="25">
        <v>41140</v>
      </c>
      <c r="F16" s="23">
        <v>48250</v>
      </c>
      <c r="G16" s="46"/>
    </row>
    <row r="17" spans="1:7" x14ac:dyDescent="0.25">
      <c r="A17" s="26">
        <v>8211</v>
      </c>
      <c r="B17" s="21" t="s">
        <v>108</v>
      </c>
      <c r="C17" s="21" t="s">
        <v>422</v>
      </c>
      <c r="D17" s="21" t="s">
        <v>99</v>
      </c>
      <c r="E17" s="25">
        <v>42999</v>
      </c>
      <c r="F17" s="23">
        <v>43000</v>
      </c>
      <c r="G17" s="46"/>
    </row>
    <row r="18" spans="1:7" x14ac:dyDescent="0.25">
      <c r="A18" s="26">
        <v>6656</v>
      </c>
      <c r="B18" s="21" t="s">
        <v>107</v>
      </c>
      <c r="C18" s="21" t="s">
        <v>167</v>
      </c>
      <c r="D18" s="21" t="s">
        <v>99</v>
      </c>
      <c r="E18" s="25">
        <v>42282</v>
      </c>
      <c r="F18" s="23">
        <v>48300</v>
      </c>
      <c r="G18" s="46"/>
    </row>
    <row r="19" spans="1:7" x14ac:dyDescent="0.25">
      <c r="A19" s="26">
        <v>7009</v>
      </c>
      <c r="B19" s="21" t="s">
        <v>106</v>
      </c>
      <c r="C19" s="21" t="s">
        <v>167</v>
      </c>
      <c r="D19" s="21" t="s">
        <v>99</v>
      </c>
      <c r="E19" s="25">
        <v>42435</v>
      </c>
      <c r="F19" s="23">
        <v>36350</v>
      </c>
      <c r="G19" s="46"/>
    </row>
    <row r="20" spans="1:7" x14ac:dyDescent="0.25">
      <c r="A20" s="26">
        <v>7428</v>
      </c>
      <c r="B20" s="21" t="s">
        <v>104</v>
      </c>
      <c r="C20" s="21" t="s">
        <v>423</v>
      </c>
      <c r="D20" s="21" t="s">
        <v>99</v>
      </c>
      <c r="E20" s="25">
        <v>42620</v>
      </c>
      <c r="F20" s="23">
        <v>46445</v>
      </c>
      <c r="G20" s="46"/>
    </row>
    <row r="21" spans="1:7" x14ac:dyDescent="0.25">
      <c r="A21" s="26">
        <v>3445</v>
      </c>
      <c r="B21" s="21" t="s">
        <v>102</v>
      </c>
      <c r="C21" s="21" t="s">
        <v>422</v>
      </c>
      <c r="D21" s="21" t="s">
        <v>99</v>
      </c>
      <c r="E21" s="25">
        <v>40982</v>
      </c>
      <c r="F21" s="23">
        <v>48250</v>
      </c>
      <c r="G21" s="46"/>
    </row>
    <row r="22" spans="1:7" x14ac:dyDescent="0.25">
      <c r="A22" s="26">
        <v>4981</v>
      </c>
      <c r="B22" s="21" t="s">
        <v>101</v>
      </c>
      <c r="C22" s="21" t="s">
        <v>422</v>
      </c>
      <c r="D22" s="21" t="s">
        <v>99</v>
      </c>
      <c r="E22" s="25">
        <v>41669</v>
      </c>
      <c r="F22" s="23">
        <v>45750</v>
      </c>
      <c r="G22" s="46"/>
    </row>
    <row r="24" spans="1:7" ht="15.75" thickBot="1" x14ac:dyDescent="0.3">
      <c r="A24" s="9" t="s">
        <v>148</v>
      </c>
    </row>
    <row r="25" spans="1:7" ht="15.75" thickBot="1" x14ac:dyDescent="0.3">
      <c r="A25" s="36" t="s">
        <v>132</v>
      </c>
      <c r="B25" s="35" t="s">
        <v>131</v>
      </c>
      <c r="C25" s="35" t="s">
        <v>130</v>
      </c>
      <c r="D25" s="35" t="s">
        <v>129</v>
      </c>
      <c r="E25" s="35" t="s">
        <v>128</v>
      </c>
      <c r="F25" s="52" t="s">
        <v>126</v>
      </c>
    </row>
    <row r="26" spans="1:7" x14ac:dyDescent="0.25">
      <c r="C26" s="125" t="s">
        <v>167</v>
      </c>
      <c r="D26" s="125" t="s">
        <v>99</v>
      </c>
      <c r="F26" s="4" t="s">
        <v>342</v>
      </c>
    </row>
    <row r="28" spans="1:7" ht="15.75" thickBot="1" x14ac:dyDescent="0.3"/>
    <row r="29" spans="1:7" customFormat="1" ht="15.75" thickBot="1" x14ac:dyDescent="0.3">
      <c r="A29" s="36" t="s">
        <v>132</v>
      </c>
      <c r="B29" s="35" t="s">
        <v>131</v>
      </c>
      <c r="C29" s="35" t="s">
        <v>130</v>
      </c>
      <c r="D29" s="35" t="s">
        <v>129</v>
      </c>
      <c r="E29" s="35" t="s">
        <v>128</v>
      </c>
      <c r="F29" s="52" t="s">
        <v>126</v>
      </c>
    </row>
    <row r="30" spans="1:7" customFormat="1" x14ac:dyDescent="0.25">
      <c r="A30" s="26">
        <v>5245</v>
      </c>
      <c r="B30" s="21" t="s">
        <v>118</v>
      </c>
      <c r="C30" s="21" t="s">
        <v>167</v>
      </c>
      <c r="D30" s="21" t="s">
        <v>99</v>
      </c>
      <c r="E30" s="25">
        <v>41765</v>
      </c>
      <c r="F30" s="23">
        <v>41750</v>
      </c>
    </row>
    <row r="31" spans="1:7" customFormat="1" x14ac:dyDescent="0.25">
      <c r="A31" s="26">
        <v>6568</v>
      </c>
      <c r="B31" s="21" t="s">
        <v>117</v>
      </c>
      <c r="C31" s="21" t="s">
        <v>167</v>
      </c>
      <c r="D31" s="21" t="s">
        <v>99</v>
      </c>
      <c r="E31" s="25">
        <v>42220</v>
      </c>
      <c r="F31" s="23">
        <v>47350</v>
      </c>
    </row>
    <row r="32" spans="1:7" customFormat="1" x14ac:dyDescent="0.25">
      <c r="A32" s="26">
        <v>5058</v>
      </c>
      <c r="B32" s="21" t="s">
        <v>116</v>
      </c>
      <c r="C32" s="21" t="s">
        <v>167</v>
      </c>
      <c r="D32" s="21" t="s">
        <v>99</v>
      </c>
      <c r="E32" s="25">
        <v>41715</v>
      </c>
      <c r="F32" s="23">
        <v>49240</v>
      </c>
    </row>
    <row r="33" spans="1:6" customFormat="1" x14ac:dyDescent="0.25">
      <c r="A33" s="26">
        <v>5370</v>
      </c>
      <c r="B33" s="21" t="s">
        <v>115</v>
      </c>
      <c r="C33" s="21" t="s">
        <v>167</v>
      </c>
      <c r="D33" s="21" t="s">
        <v>99</v>
      </c>
      <c r="E33" s="25">
        <v>41836</v>
      </c>
      <c r="F33" s="23">
        <v>48735</v>
      </c>
    </row>
    <row r="34" spans="1:6" customFormat="1" x14ac:dyDescent="0.25">
      <c r="A34" s="26">
        <v>3698</v>
      </c>
      <c r="B34" s="21" t="s">
        <v>109</v>
      </c>
      <c r="C34" s="21" t="s">
        <v>167</v>
      </c>
      <c r="D34" s="21" t="s">
        <v>99</v>
      </c>
      <c r="E34" s="25">
        <v>41140</v>
      </c>
      <c r="F34" s="23">
        <v>48250</v>
      </c>
    </row>
    <row r="35" spans="1:6" customFormat="1" x14ac:dyDescent="0.25">
      <c r="A35" s="26">
        <v>6656</v>
      </c>
      <c r="B35" s="21" t="s">
        <v>107</v>
      </c>
      <c r="C35" s="21" t="s">
        <v>167</v>
      </c>
      <c r="D35" s="21" t="s">
        <v>99</v>
      </c>
      <c r="E35" s="25">
        <v>42282</v>
      </c>
      <c r="F35" s="23">
        <v>48300</v>
      </c>
    </row>
    <row r="36" spans="1:6" customFormat="1" x14ac:dyDescent="0.25">
      <c r="A36" s="26">
        <v>7009</v>
      </c>
      <c r="B36" s="21" t="s">
        <v>106</v>
      </c>
      <c r="C36" s="21" t="s">
        <v>167</v>
      </c>
      <c r="D36" s="21" t="s">
        <v>99</v>
      </c>
      <c r="E36" s="25">
        <v>42435</v>
      </c>
      <c r="F36" s="23">
        <v>36350</v>
      </c>
    </row>
  </sheetData>
  <mergeCells count="1">
    <mergeCell ref="B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zoomScale="150" zoomScaleNormal="150" zoomScalePageLayoutView="150" workbookViewId="0">
      <selection activeCell="D8" sqref="D8"/>
    </sheetView>
  </sheetViews>
  <sheetFormatPr defaultColWidth="8.85546875" defaultRowHeight="15" x14ac:dyDescent="0.25"/>
  <cols>
    <col min="1" max="1" width="13.28515625" style="4" customWidth="1"/>
    <col min="2" max="2" width="12.42578125" style="4" customWidth="1"/>
    <col min="3" max="3" width="12.140625" style="4" customWidth="1"/>
    <col min="4" max="4" width="13" style="4" customWidth="1"/>
    <col min="5" max="6" width="12.140625" style="4" customWidth="1"/>
    <col min="7" max="7" width="8.85546875" style="4"/>
    <col min="8" max="8" width="14.28515625" style="4" customWidth="1"/>
    <col min="9" max="9" width="13.42578125" style="4" customWidth="1"/>
    <col min="10" max="16384" width="8.85546875" style="4"/>
  </cols>
  <sheetData>
    <row r="1" spans="1:9" x14ac:dyDescent="0.25">
      <c r="A1" s="58" t="s">
        <v>163</v>
      </c>
      <c r="B1" s="58"/>
      <c r="D1" s="58" t="s">
        <v>162</v>
      </c>
      <c r="E1" s="58"/>
      <c r="F1" s="57"/>
    </row>
    <row r="2" spans="1:9" x14ac:dyDescent="0.25">
      <c r="A2" s="4" t="s">
        <v>161</v>
      </c>
      <c r="B2" s="14">
        <v>550</v>
      </c>
      <c r="D2" s="4" t="s">
        <v>160</v>
      </c>
      <c r="E2" s="56">
        <f>-PV(B3/B5,B4*B5,B2)</f>
        <v>24238.580002972023</v>
      </c>
      <c r="F2" s="56"/>
    </row>
    <row r="3" spans="1:9" x14ac:dyDescent="0.25">
      <c r="A3" s="4" t="s">
        <v>89</v>
      </c>
      <c r="B3" s="18">
        <v>4.2500000000000003E-2</v>
      </c>
      <c r="D3" s="4" t="s">
        <v>84</v>
      </c>
      <c r="E3" s="55">
        <f>B3/B5</f>
        <v>3.5416666666666669E-3</v>
      </c>
      <c r="F3" s="55"/>
    </row>
    <row r="4" spans="1:9" x14ac:dyDescent="0.25">
      <c r="A4" s="4" t="s">
        <v>159</v>
      </c>
      <c r="B4" s="7">
        <v>4</v>
      </c>
      <c r="D4" s="4" t="s">
        <v>158</v>
      </c>
      <c r="E4" s="7">
        <f>B4*B5</f>
        <v>48</v>
      </c>
      <c r="F4" s="7"/>
    </row>
    <row r="5" spans="1:9" x14ac:dyDescent="0.25">
      <c r="A5" s="4" t="s">
        <v>157</v>
      </c>
      <c r="B5" s="7">
        <v>12</v>
      </c>
    </row>
    <row r="7" spans="1:9" ht="30" x14ac:dyDescent="0.25">
      <c r="A7" s="54" t="s">
        <v>156</v>
      </c>
      <c r="B7" s="54" t="s">
        <v>155</v>
      </c>
      <c r="C7" s="54" t="s">
        <v>82</v>
      </c>
      <c r="D7" s="54" t="s">
        <v>154</v>
      </c>
      <c r="E7" s="54" t="s">
        <v>153</v>
      </c>
      <c r="F7" s="54" t="s">
        <v>152</v>
      </c>
      <c r="H7" s="54" t="s">
        <v>151</v>
      </c>
      <c r="I7" s="54" t="s">
        <v>150</v>
      </c>
    </row>
    <row r="8" spans="1:9" x14ac:dyDescent="0.25">
      <c r="A8" s="5">
        <v>1</v>
      </c>
      <c r="B8" s="14">
        <f>E2</f>
        <v>24238.580002972023</v>
      </c>
      <c r="C8" s="14">
        <f>B$2</f>
        <v>550</v>
      </c>
      <c r="D8" s="14">
        <f>-IPMT(E$3,A8,E$4,E$2)</f>
        <v>85.844970843859244</v>
      </c>
      <c r="E8" s="14">
        <f>-PPMT(E$3,A8,E$4,E$2)</f>
        <v>464.15502915615775</v>
      </c>
      <c r="F8" s="14">
        <f>B8-E8</f>
        <v>23774.424973815865</v>
      </c>
      <c r="H8" s="14">
        <f>-CUMIPMT(E$3,E$4,E$2,A$8,A8,0)</f>
        <v>85.844970843859073</v>
      </c>
      <c r="I8" s="14">
        <f>-CUMPRINC(E$3,E$4,E$2,A$8,A8,0)</f>
        <v>464.15502915615787</v>
      </c>
    </row>
    <row r="9" spans="1:9" x14ac:dyDescent="0.25">
      <c r="A9" s="5">
        <v>2</v>
      </c>
      <c r="B9" s="14">
        <f>F8</f>
        <v>23774.424973815865</v>
      </c>
      <c r="C9" s="14">
        <f>B$2</f>
        <v>550</v>
      </c>
      <c r="D9" s="14">
        <f>-IPMT(E$3,A9,E$4,E$2)</f>
        <v>84.201088448931188</v>
      </c>
      <c r="E9" s="14">
        <f>-PPMT(E$3,A9,E$4,E$2)</f>
        <v>465.79891155108578</v>
      </c>
      <c r="F9" s="14">
        <f>B9-E9</f>
        <v>23308.626062264779</v>
      </c>
      <c r="H9" s="14">
        <f t="shared" ref="H9:H55" si="0">-CUMIPMT(E$3,E$4,E$2,A$8,A9,0)</f>
        <v>170.04605929279012</v>
      </c>
      <c r="I9" s="14">
        <f t="shared" ref="I9:I55" si="1">-CUMPRINC(E$3,E$4,E$2,A$8,A9,0)</f>
        <v>929.95394070724376</v>
      </c>
    </row>
    <row r="10" spans="1:9" x14ac:dyDescent="0.25">
      <c r="A10" s="5">
        <v>3</v>
      </c>
      <c r="B10" s="14">
        <f t="shared" ref="B10:B55" si="2">F9</f>
        <v>23308.626062264779</v>
      </c>
      <c r="C10" s="14">
        <f t="shared" ref="C10:C55" si="3">B$2</f>
        <v>550</v>
      </c>
      <c r="D10" s="14">
        <f t="shared" ref="D10:D55" si="4">-IPMT(E$3,A10,E$4,E$2)</f>
        <v>82.551383970521087</v>
      </c>
      <c r="E10" s="14">
        <f t="shared" ref="E10:E55" si="5">-PPMT(E$3,A10,E$4,E$2)</f>
        <v>467.44861602949584</v>
      </c>
      <c r="F10" s="14">
        <f t="shared" ref="F10:F55" si="6">B10-E10</f>
        <v>22841.177446235284</v>
      </c>
      <c r="H10" s="14">
        <f t="shared" si="0"/>
        <v>252.59744326331133</v>
      </c>
      <c r="I10" s="14">
        <f t="shared" si="1"/>
        <v>1397.4025567367396</v>
      </c>
    </row>
    <row r="11" spans="1:9" x14ac:dyDescent="0.25">
      <c r="A11" s="5">
        <v>4</v>
      </c>
      <c r="B11" s="14">
        <f t="shared" si="2"/>
        <v>22841.177446235284</v>
      </c>
      <c r="C11" s="14">
        <f t="shared" si="3"/>
        <v>550</v>
      </c>
      <c r="D11" s="14">
        <f t="shared" si="4"/>
        <v>80.895836788749961</v>
      </c>
      <c r="E11" s="14">
        <f t="shared" si="5"/>
        <v>469.10416321126695</v>
      </c>
      <c r="F11" s="14">
        <f t="shared" si="6"/>
        <v>22372.073283024016</v>
      </c>
      <c r="H11" s="14">
        <f t="shared" si="0"/>
        <v>333.49328005206098</v>
      </c>
      <c r="I11" s="14">
        <f t="shared" si="1"/>
        <v>1866.5067199480068</v>
      </c>
    </row>
    <row r="12" spans="1:9" x14ac:dyDescent="0.25">
      <c r="A12" s="5">
        <v>5</v>
      </c>
      <c r="B12" s="14">
        <f t="shared" si="2"/>
        <v>22372.073283024016</v>
      </c>
      <c r="C12" s="14">
        <f t="shared" si="3"/>
        <v>550</v>
      </c>
      <c r="D12" s="14">
        <f t="shared" si="4"/>
        <v>79.234426210710055</v>
      </c>
      <c r="E12" s="14">
        <f t="shared" si="5"/>
        <v>470.76557378930687</v>
      </c>
      <c r="F12" s="14">
        <f t="shared" si="6"/>
        <v>21901.307709234708</v>
      </c>
      <c r="H12" s="14">
        <f t="shared" si="0"/>
        <v>412.72770626277088</v>
      </c>
      <c r="I12" s="14">
        <f t="shared" si="1"/>
        <v>2337.2722937373137</v>
      </c>
    </row>
    <row r="13" spans="1:9" x14ac:dyDescent="0.25">
      <c r="A13" s="5">
        <v>6</v>
      </c>
      <c r="B13" s="14">
        <f t="shared" si="2"/>
        <v>21901.307709234708</v>
      </c>
      <c r="C13" s="14">
        <f t="shared" si="3"/>
        <v>550</v>
      </c>
      <c r="D13" s="14">
        <f t="shared" si="4"/>
        <v>77.567131470206249</v>
      </c>
      <c r="E13" s="14">
        <f t="shared" si="5"/>
        <v>472.43286852981066</v>
      </c>
      <c r="F13" s="14">
        <f t="shared" si="6"/>
        <v>21428.874840704899</v>
      </c>
      <c r="H13" s="14">
        <f t="shared" si="0"/>
        <v>490.29483773297761</v>
      </c>
      <c r="I13" s="14">
        <f t="shared" si="1"/>
        <v>2809.7051622671243</v>
      </c>
    </row>
    <row r="14" spans="1:9" x14ac:dyDescent="0.25">
      <c r="A14" s="5">
        <v>7</v>
      </c>
      <c r="B14" s="14">
        <f t="shared" si="2"/>
        <v>21428.874840704899</v>
      </c>
      <c r="C14" s="14">
        <f t="shared" si="3"/>
        <v>550</v>
      </c>
      <c r="D14" s="14">
        <f t="shared" si="4"/>
        <v>75.893931727496508</v>
      </c>
      <c r="E14" s="14">
        <f t="shared" si="5"/>
        <v>474.10606827252042</v>
      </c>
      <c r="F14" s="14">
        <f t="shared" si="6"/>
        <v>20954.768772432377</v>
      </c>
      <c r="H14" s="14">
        <f t="shared" si="0"/>
        <v>566.18876946047294</v>
      </c>
      <c r="I14" s="14">
        <f t="shared" si="1"/>
        <v>3283.8112305396457</v>
      </c>
    </row>
    <row r="15" spans="1:9" x14ac:dyDescent="0.25">
      <c r="A15" s="5">
        <v>8</v>
      </c>
      <c r="B15" s="14">
        <f t="shared" si="2"/>
        <v>20954.768772432377</v>
      </c>
      <c r="C15" s="14">
        <f t="shared" si="3"/>
        <v>550</v>
      </c>
      <c r="D15" s="14">
        <f t="shared" si="4"/>
        <v>74.214806069031326</v>
      </c>
      <c r="E15" s="14">
        <f t="shared" si="5"/>
        <v>475.7851939309856</v>
      </c>
      <c r="F15" s="14">
        <f t="shared" si="6"/>
        <v>20478.983578501393</v>
      </c>
      <c r="H15" s="14">
        <f t="shared" si="0"/>
        <v>640.40357552950491</v>
      </c>
      <c r="I15" s="14">
        <f t="shared" si="1"/>
        <v>3759.5964244706306</v>
      </c>
    </row>
    <row r="16" spans="1:9" x14ac:dyDescent="0.25">
      <c r="A16" s="5">
        <v>9</v>
      </c>
      <c r="B16" s="14">
        <f t="shared" si="2"/>
        <v>20478.983578501393</v>
      </c>
      <c r="C16" s="14">
        <f t="shared" si="3"/>
        <v>550</v>
      </c>
      <c r="D16" s="14">
        <f t="shared" si="4"/>
        <v>72.529733507192432</v>
      </c>
      <c r="E16" s="14">
        <f t="shared" si="5"/>
        <v>477.47026649282452</v>
      </c>
      <c r="F16" s="14">
        <f t="shared" si="6"/>
        <v>20001.513312008567</v>
      </c>
      <c r="H16" s="14">
        <f t="shared" si="0"/>
        <v>712.93330903669812</v>
      </c>
      <c r="I16" s="14">
        <f t="shared" si="1"/>
        <v>4237.0666909634547</v>
      </c>
    </row>
    <row r="17" spans="1:9" x14ac:dyDescent="0.25">
      <c r="A17" s="5">
        <v>10</v>
      </c>
      <c r="B17" s="14">
        <f t="shared" si="2"/>
        <v>20001.513312008567</v>
      </c>
      <c r="C17" s="14">
        <f t="shared" si="3"/>
        <v>550</v>
      </c>
      <c r="D17" s="14">
        <f t="shared" si="4"/>
        <v>70.838692980030345</v>
      </c>
      <c r="E17" s="14">
        <f t="shared" si="5"/>
        <v>479.16130701998668</v>
      </c>
      <c r="F17" s="14">
        <f t="shared" si="6"/>
        <v>19522.352004988581</v>
      </c>
      <c r="H17" s="14">
        <f t="shared" si="0"/>
        <v>783.77200201672713</v>
      </c>
      <c r="I17" s="14">
        <f t="shared" si="1"/>
        <v>4716.227997983442</v>
      </c>
    </row>
    <row r="18" spans="1:9" x14ac:dyDescent="0.25">
      <c r="A18" s="5">
        <v>11</v>
      </c>
      <c r="B18" s="14">
        <f t="shared" si="2"/>
        <v>19522.352004988581</v>
      </c>
      <c r="C18" s="14">
        <f t="shared" si="3"/>
        <v>550</v>
      </c>
      <c r="D18" s="14">
        <f t="shared" si="4"/>
        <v>69.141663351001228</v>
      </c>
      <c r="E18" s="14">
        <f t="shared" si="5"/>
        <v>480.85833664901571</v>
      </c>
      <c r="F18" s="14">
        <f t="shared" si="6"/>
        <v>19041.493668339564</v>
      </c>
      <c r="H18" s="14">
        <f t="shared" si="0"/>
        <v>852.91366536772875</v>
      </c>
      <c r="I18" s="14">
        <f t="shared" si="1"/>
        <v>5197.0863346324577</v>
      </c>
    </row>
    <row r="19" spans="1:9" x14ac:dyDescent="0.25">
      <c r="A19" s="5">
        <v>12</v>
      </c>
      <c r="B19" s="14">
        <f t="shared" si="2"/>
        <v>19041.493668339564</v>
      </c>
      <c r="C19" s="14">
        <f t="shared" si="3"/>
        <v>550</v>
      </c>
      <c r="D19" s="14">
        <f t="shared" si="4"/>
        <v>67.438623408702625</v>
      </c>
      <c r="E19" s="14">
        <f t="shared" si="5"/>
        <v>482.56137659131434</v>
      </c>
      <c r="F19" s="14">
        <f t="shared" si="6"/>
        <v>18558.93229174825</v>
      </c>
      <c r="H19" s="14">
        <f t="shared" si="0"/>
        <v>920.35228877643112</v>
      </c>
      <c r="I19" s="14">
        <f t="shared" si="1"/>
        <v>5679.6477112237726</v>
      </c>
    </row>
    <row r="20" spans="1:9" x14ac:dyDescent="0.25">
      <c r="A20" s="5">
        <v>13</v>
      </c>
      <c r="B20" s="14">
        <f t="shared" si="2"/>
        <v>18558.93229174825</v>
      </c>
      <c r="C20" s="14">
        <f t="shared" si="3"/>
        <v>550</v>
      </c>
      <c r="D20" s="14">
        <f t="shared" si="4"/>
        <v>65.729551866608389</v>
      </c>
      <c r="E20" s="14">
        <f t="shared" si="5"/>
        <v>484.27044813340854</v>
      </c>
      <c r="F20" s="14">
        <f t="shared" si="6"/>
        <v>18074.661843614842</v>
      </c>
      <c r="H20" s="14">
        <f t="shared" si="0"/>
        <v>986.08184064304078</v>
      </c>
      <c r="I20" s="14">
        <f t="shared" si="1"/>
        <v>6163.9181593571793</v>
      </c>
    </row>
    <row r="21" spans="1:9" x14ac:dyDescent="0.25">
      <c r="A21" s="5">
        <v>14</v>
      </c>
      <c r="B21" s="14">
        <f t="shared" si="2"/>
        <v>18074.661843614842</v>
      </c>
      <c r="C21" s="14">
        <f t="shared" si="3"/>
        <v>550</v>
      </c>
      <c r="D21" s="14">
        <f t="shared" si="4"/>
        <v>64.01442736280255</v>
      </c>
      <c r="E21" s="14">
        <f t="shared" si="5"/>
        <v>485.98557263721443</v>
      </c>
      <c r="F21" s="14">
        <f t="shared" si="6"/>
        <v>17588.676270977627</v>
      </c>
      <c r="H21" s="14">
        <f t="shared" si="0"/>
        <v>1050.0962680058419</v>
      </c>
      <c r="I21" s="14">
        <f t="shared" si="1"/>
        <v>6649.9037319943955</v>
      </c>
    </row>
    <row r="22" spans="1:9" x14ac:dyDescent="0.25">
      <c r="A22" s="5">
        <v>15</v>
      </c>
      <c r="B22" s="14">
        <f t="shared" si="2"/>
        <v>17588.676270977627</v>
      </c>
      <c r="C22" s="14">
        <f t="shared" si="3"/>
        <v>550</v>
      </c>
      <c r="D22" s="14">
        <f t="shared" si="4"/>
        <v>62.293228459712431</v>
      </c>
      <c r="E22" s="14">
        <f t="shared" si="5"/>
        <v>487.70677154030454</v>
      </c>
      <c r="F22" s="14">
        <f t="shared" si="6"/>
        <v>17100.96949943732</v>
      </c>
      <c r="H22" s="14">
        <f t="shared" si="0"/>
        <v>1112.3894964655547</v>
      </c>
      <c r="I22" s="14">
        <f t="shared" si="1"/>
        <v>7137.6105035347</v>
      </c>
    </row>
    <row r="23" spans="1:9" x14ac:dyDescent="0.25">
      <c r="A23" s="5">
        <v>16</v>
      </c>
      <c r="B23" s="14">
        <f t="shared" si="2"/>
        <v>17100.96949943732</v>
      </c>
      <c r="C23" s="14">
        <f t="shared" si="3"/>
        <v>550</v>
      </c>
      <c r="D23" s="14">
        <f t="shared" si="4"/>
        <v>60.565933643840523</v>
      </c>
      <c r="E23" s="14">
        <f t="shared" si="5"/>
        <v>489.43406635617646</v>
      </c>
      <c r="F23" s="14">
        <f t="shared" si="6"/>
        <v>16611.535433081142</v>
      </c>
      <c r="H23" s="14">
        <f t="shared" si="0"/>
        <v>1172.9554301093949</v>
      </c>
      <c r="I23" s="14">
        <f t="shared" si="1"/>
        <v>7627.0445698908761</v>
      </c>
    </row>
    <row r="24" spans="1:9" x14ac:dyDescent="0.25">
      <c r="A24" s="5">
        <v>17</v>
      </c>
      <c r="B24" s="14">
        <f t="shared" si="2"/>
        <v>16611.535433081142</v>
      </c>
      <c r="C24" s="14">
        <f t="shared" si="3"/>
        <v>550</v>
      </c>
      <c r="D24" s="14">
        <f t="shared" si="4"/>
        <v>58.832521325495733</v>
      </c>
      <c r="E24" s="14">
        <f t="shared" si="5"/>
        <v>491.16747867452119</v>
      </c>
      <c r="F24" s="14">
        <f t="shared" si="6"/>
        <v>16120.367954406622</v>
      </c>
      <c r="H24" s="14">
        <f t="shared" si="0"/>
        <v>1231.7879514348897</v>
      </c>
      <c r="I24" s="14">
        <f t="shared" si="1"/>
        <v>8118.2120485653977</v>
      </c>
    </row>
    <row r="25" spans="1:9" x14ac:dyDescent="0.25">
      <c r="A25" s="5">
        <v>18</v>
      </c>
      <c r="B25" s="14">
        <f t="shared" si="2"/>
        <v>16120.367954406622</v>
      </c>
      <c r="C25" s="14">
        <f t="shared" si="3"/>
        <v>550</v>
      </c>
      <c r="D25" s="14">
        <f t="shared" si="4"/>
        <v>57.092969838523466</v>
      </c>
      <c r="E25" s="14">
        <f t="shared" si="5"/>
        <v>492.90703016149348</v>
      </c>
      <c r="F25" s="14">
        <f t="shared" si="6"/>
        <v>15627.460924245128</v>
      </c>
      <c r="H25" s="14">
        <f t="shared" si="0"/>
        <v>1288.8809212734159</v>
      </c>
      <c r="I25" s="14">
        <f t="shared" si="1"/>
        <v>8611.1190787268897</v>
      </c>
    </row>
    <row r="26" spans="1:9" x14ac:dyDescent="0.25">
      <c r="A26" s="5">
        <v>19</v>
      </c>
      <c r="B26" s="14">
        <f t="shared" si="2"/>
        <v>15627.460924245128</v>
      </c>
      <c r="C26" s="14">
        <f t="shared" si="3"/>
        <v>550</v>
      </c>
      <c r="D26" s="14">
        <f t="shared" si="4"/>
        <v>55.347257440034838</v>
      </c>
      <c r="E26" s="14">
        <f t="shared" si="5"/>
        <v>494.65274255998213</v>
      </c>
      <c r="F26" s="14">
        <f t="shared" si="6"/>
        <v>15132.808181685146</v>
      </c>
      <c r="H26" s="14">
        <f t="shared" si="0"/>
        <v>1344.2281787134489</v>
      </c>
      <c r="I26" s="14">
        <f t="shared" si="1"/>
        <v>9105.7718212868731</v>
      </c>
    </row>
    <row r="27" spans="1:9" x14ac:dyDescent="0.25">
      <c r="A27" s="5">
        <v>20</v>
      </c>
      <c r="B27" s="14">
        <f t="shared" si="2"/>
        <v>15132.808181685146</v>
      </c>
      <c r="C27" s="14">
        <f t="shared" si="3"/>
        <v>550</v>
      </c>
      <c r="D27" s="14">
        <f t="shared" si="4"/>
        <v>53.595362310134902</v>
      </c>
      <c r="E27" s="14">
        <f t="shared" si="5"/>
        <v>496.40463768988201</v>
      </c>
      <c r="F27" s="14">
        <f t="shared" si="6"/>
        <v>14636.403543995264</v>
      </c>
      <c r="H27" s="14">
        <f t="shared" si="0"/>
        <v>1397.8235410235829</v>
      </c>
      <c r="I27" s="14">
        <f t="shared" si="1"/>
        <v>9602.1764589767554</v>
      </c>
    </row>
    <row r="28" spans="1:9" x14ac:dyDescent="0.25">
      <c r="A28" s="5">
        <v>21</v>
      </c>
      <c r="B28" s="14">
        <f t="shared" si="2"/>
        <v>14636.403543995264</v>
      </c>
      <c r="C28" s="14">
        <f t="shared" si="3"/>
        <v>550</v>
      </c>
      <c r="D28" s="14">
        <f t="shared" si="4"/>
        <v>51.837262551649907</v>
      </c>
      <c r="E28" s="14">
        <f t="shared" si="5"/>
        <v>498.16273744836707</v>
      </c>
      <c r="F28" s="14">
        <f t="shared" si="6"/>
        <v>14138.240806546897</v>
      </c>
      <c r="H28" s="14">
        <f t="shared" si="0"/>
        <v>1449.6608035752324</v>
      </c>
      <c r="I28" s="14">
        <f t="shared" si="1"/>
        <v>10100.339196425124</v>
      </c>
    </row>
    <row r="29" spans="1:9" x14ac:dyDescent="0.25">
      <c r="A29" s="5">
        <v>22</v>
      </c>
      <c r="B29" s="14">
        <f t="shared" si="2"/>
        <v>14138.240806546897</v>
      </c>
      <c r="C29" s="14">
        <f t="shared" si="3"/>
        <v>550</v>
      </c>
      <c r="D29" s="14">
        <f t="shared" si="4"/>
        <v>50.072936189853614</v>
      </c>
      <c r="E29" s="14">
        <f t="shared" si="5"/>
        <v>499.9270638101633</v>
      </c>
      <c r="F29" s="14">
        <f t="shared" si="6"/>
        <v>13638.313742736735</v>
      </c>
      <c r="H29" s="14">
        <f t="shared" si="0"/>
        <v>1499.7337397650863</v>
      </c>
      <c r="I29" s="14">
        <f t="shared" si="1"/>
        <v>10600.266260235287</v>
      </c>
    </row>
    <row r="30" spans="1:9" x14ac:dyDescent="0.25">
      <c r="A30" s="5">
        <v>23</v>
      </c>
      <c r="B30" s="14">
        <f t="shared" si="2"/>
        <v>13638.313742736735</v>
      </c>
      <c r="C30" s="14">
        <f t="shared" si="3"/>
        <v>550</v>
      </c>
      <c r="D30" s="14">
        <f t="shared" si="4"/>
        <v>48.302361172192604</v>
      </c>
      <c r="E30" s="14">
        <f t="shared" si="5"/>
        <v>501.69763882782433</v>
      </c>
      <c r="F30" s="14">
        <f t="shared" si="6"/>
        <v>13136.616103908911</v>
      </c>
      <c r="H30" s="14">
        <f t="shared" si="0"/>
        <v>1548.0361009372773</v>
      </c>
      <c r="I30" s="14">
        <f t="shared" si="1"/>
        <v>11101.963899063112</v>
      </c>
    </row>
    <row r="31" spans="1:9" x14ac:dyDescent="0.25">
      <c r="A31" s="5">
        <v>24</v>
      </c>
      <c r="B31" s="14">
        <f t="shared" si="2"/>
        <v>13136.616103908911</v>
      </c>
      <c r="C31" s="14">
        <f t="shared" si="3"/>
        <v>550</v>
      </c>
      <c r="D31" s="14">
        <f t="shared" si="4"/>
        <v>46.52551536801073</v>
      </c>
      <c r="E31" s="14">
        <f t="shared" si="5"/>
        <v>503.47448463200629</v>
      </c>
      <c r="F31" s="14">
        <f t="shared" si="6"/>
        <v>12633.141619276905</v>
      </c>
      <c r="H31" s="14">
        <f t="shared" si="0"/>
        <v>1594.561616305291</v>
      </c>
      <c r="I31" s="14">
        <f t="shared" si="1"/>
        <v>11605.438383695116</v>
      </c>
    </row>
    <row r="32" spans="1:9" x14ac:dyDescent="0.25">
      <c r="A32" s="5">
        <v>25</v>
      </c>
      <c r="B32" s="14">
        <f t="shared" si="2"/>
        <v>12633.141619276905</v>
      </c>
      <c r="C32" s="14">
        <f t="shared" si="3"/>
        <v>550</v>
      </c>
      <c r="D32" s="14">
        <f t="shared" si="4"/>
        <v>44.742376568272377</v>
      </c>
      <c r="E32" s="14">
        <f t="shared" si="5"/>
        <v>505.25762343174461</v>
      </c>
      <c r="F32" s="14">
        <f t="shared" si="6"/>
        <v>12127.883995845161</v>
      </c>
      <c r="H32" s="14">
        <f t="shared" si="0"/>
        <v>1639.3039928735616</v>
      </c>
      <c r="I32" s="14">
        <f t="shared" si="1"/>
        <v>12110.696007126862</v>
      </c>
    </row>
    <row r="33" spans="1:9" x14ac:dyDescent="0.25">
      <c r="A33" s="5">
        <v>26</v>
      </c>
      <c r="B33" s="14">
        <f t="shared" si="2"/>
        <v>12127.883995845161</v>
      </c>
      <c r="C33" s="14">
        <f t="shared" si="3"/>
        <v>550</v>
      </c>
      <c r="D33" s="14">
        <f t="shared" si="4"/>
        <v>42.952922485284951</v>
      </c>
      <c r="E33" s="14">
        <f t="shared" si="5"/>
        <v>507.047077514732</v>
      </c>
      <c r="F33" s="14">
        <f t="shared" si="6"/>
        <v>11620.836918330429</v>
      </c>
      <c r="H33" s="14">
        <f t="shared" si="0"/>
        <v>1682.2569153588465</v>
      </c>
      <c r="I33" s="14">
        <f t="shared" si="1"/>
        <v>12617.743084641594</v>
      </c>
    </row>
    <row r="34" spans="1:9" x14ac:dyDescent="0.25">
      <c r="A34" s="5">
        <v>27</v>
      </c>
      <c r="B34" s="14">
        <f t="shared" si="2"/>
        <v>11620.836918330429</v>
      </c>
      <c r="C34" s="14">
        <f t="shared" si="3"/>
        <v>550</v>
      </c>
      <c r="D34" s="14">
        <f t="shared" si="4"/>
        <v>41.157130752420272</v>
      </c>
      <c r="E34" s="14">
        <f t="shared" si="5"/>
        <v>508.8428692475967</v>
      </c>
      <c r="F34" s="14">
        <f t="shared" si="6"/>
        <v>11111.994049082832</v>
      </c>
      <c r="H34" s="14">
        <f t="shared" si="0"/>
        <v>1723.4140461112638</v>
      </c>
      <c r="I34" s="14">
        <f t="shared" si="1"/>
        <v>13126.585953889193</v>
      </c>
    </row>
    <row r="35" spans="1:9" x14ac:dyDescent="0.25">
      <c r="A35" s="5">
        <v>28</v>
      </c>
      <c r="B35" s="14">
        <f t="shared" si="2"/>
        <v>11111.994049082832</v>
      </c>
      <c r="C35" s="14">
        <f t="shared" si="3"/>
        <v>550</v>
      </c>
      <c r="D35" s="14">
        <f t="shared" si="4"/>
        <v>39.354978923835034</v>
      </c>
      <c r="E35" s="14">
        <f t="shared" si="5"/>
        <v>510.64502107618193</v>
      </c>
      <c r="F35" s="14">
        <f t="shared" si="6"/>
        <v>10601.349028006651</v>
      </c>
      <c r="H35" s="14">
        <f t="shared" si="0"/>
        <v>1762.7690250351025</v>
      </c>
      <c r="I35" s="14">
        <f t="shared" si="1"/>
        <v>13637.230974965372</v>
      </c>
    </row>
    <row r="36" spans="1:9" x14ac:dyDescent="0.25">
      <c r="A36" s="5">
        <v>29</v>
      </c>
      <c r="B36" s="14">
        <f t="shared" si="2"/>
        <v>10601.349028006651</v>
      </c>
      <c r="C36" s="14">
        <f t="shared" si="3"/>
        <v>550</v>
      </c>
      <c r="D36" s="14">
        <f t="shared" si="4"/>
        <v>37.546444474190217</v>
      </c>
      <c r="E36" s="14">
        <f t="shared" si="5"/>
        <v>512.45355552582669</v>
      </c>
      <c r="F36" s="14">
        <f t="shared" si="6"/>
        <v>10088.895472480825</v>
      </c>
      <c r="H36" s="14">
        <f t="shared" si="0"/>
        <v>1800.3154695092908</v>
      </c>
      <c r="I36" s="14">
        <f t="shared" si="1"/>
        <v>14149.6845304912</v>
      </c>
    </row>
    <row r="37" spans="1:9" x14ac:dyDescent="0.25">
      <c r="A37" s="5">
        <v>30</v>
      </c>
      <c r="B37" s="14">
        <f t="shared" si="2"/>
        <v>10088.895472480825</v>
      </c>
      <c r="C37" s="14">
        <f t="shared" si="3"/>
        <v>550</v>
      </c>
      <c r="D37" s="14">
        <f t="shared" si="4"/>
        <v>35.731504798369578</v>
      </c>
      <c r="E37" s="14">
        <f t="shared" si="5"/>
        <v>514.2684952016474</v>
      </c>
      <c r="F37" s="14">
        <f t="shared" si="6"/>
        <v>9574.6269772791766</v>
      </c>
      <c r="H37" s="14">
        <f t="shared" si="0"/>
        <v>1836.0469743076628</v>
      </c>
      <c r="I37" s="14">
        <f t="shared" si="1"/>
        <v>14663.953025692846</v>
      </c>
    </row>
    <row r="38" spans="1:9" x14ac:dyDescent="0.25">
      <c r="A38" s="5">
        <v>31</v>
      </c>
      <c r="B38" s="14">
        <f t="shared" si="2"/>
        <v>9574.6269772791766</v>
      </c>
      <c r="C38" s="14">
        <f t="shared" si="3"/>
        <v>550</v>
      </c>
      <c r="D38" s="14">
        <f t="shared" si="4"/>
        <v>33.910137211197082</v>
      </c>
      <c r="E38" s="14">
        <f t="shared" si="5"/>
        <v>516.08986278881991</v>
      </c>
      <c r="F38" s="14">
        <f t="shared" si="6"/>
        <v>9058.5371144903565</v>
      </c>
      <c r="H38" s="14">
        <f t="shared" si="0"/>
        <v>1869.9571115188555</v>
      </c>
      <c r="I38" s="14">
        <f t="shared" si="1"/>
        <v>15180.042888481668</v>
      </c>
    </row>
    <row r="39" spans="1:9" x14ac:dyDescent="0.25">
      <c r="A39" s="5">
        <v>32</v>
      </c>
      <c r="B39" s="14">
        <f t="shared" si="2"/>
        <v>9058.5371144903565</v>
      </c>
      <c r="C39" s="14">
        <f t="shared" si="3"/>
        <v>550</v>
      </c>
      <c r="D39" s="14">
        <f t="shared" si="4"/>
        <v>32.082318947153347</v>
      </c>
      <c r="E39" s="14">
        <f t="shared" si="5"/>
        <v>517.9176810528636</v>
      </c>
      <c r="F39" s="14">
        <f t="shared" si="6"/>
        <v>8540.6194334374923</v>
      </c>
      <c r="H39" s="14">
        <f t="shared" si="0"/>
        <v>1902.0394304660113</v>
      </c>
      <c r="I39" s="14">
        <f t="shared" si="1"/>
        <v>15697.960569534531</v>
      </c>
    </row>
    <row r="40" spans="1:9" x14ac:dyDescent="0.25">
      <c r="A40" s="5">
        <v>33</v>
      </c>
      <c r="B40" s="14">
        <f t="shared" si="2"/>
        <v>8540.6194334374923</v>
      </c>
      <c r="C40" s="14">
        <f t="shared" si="3"/>
        <v>550</v>
      </c>
      <c r="D40" s="14">
        <f t="shared" si="4"/>
        <v>30.248027160091119</v>
      </c>
      <c r="E40" s="14">
        <f t="shared" si="5"/>
        <v>519.75197283992577</v>
      </c>
      <c r="F40" s="14">
        <f t="shared" si="6"/>
        <v>8020.8674605975666</v>
      </c>
      <c r="H40" s="14">
        <f t="shared" si="0"/>
        <v>1932.2874576261038</v>
      </c>
      <c r="I40" s="14">
        <f t="shared" si="1"/>
        <v>16217.712542374456</v>
      </c>
    </row>
    <row r="41" spans="1:9" x14ac:dyDescent="0.25">
      <c r="A41" s="5">
        <v>34</v>
      </c>
      <c r="B41" s="14">
        <f t="shared" si="2"/>
        <v>8020.8674605975666</v>
      </c>
      <c r="C41" s="14">
        <f t="shared" si="3"/>
        <v>550</v>
      </c>
      <c r="D41" s="14">
        <f t="shared" si="4"/>
        <v>28.407238922949716</v>
      </c>
      <c r="E41" s="14">
        <f t="shared" si="5"/>
        <v>521.59276107706728</v>
      </c>
      <c r="F41" s="14">
        <f t="shared" si="6"/>
        <v>7499.2746995204998</v>
      </c>
      <c r="H41" s="14">
        <f t="shared" si="0"/>
        <v>1960.6946965490533</v>
      </c>
      <c r="I41" s="14">
        <f t="shared" si="1"/>
        <v>16739.305303451521</v>
      </c>
    </row>
    <row r="42" spans="1:9" x14ac:dyDescent="0.25">
      <c r="A42" s="5">
        <v>35</v>
      </c>
      <c r="B42" s="14">
        <f t="shared" si="2"/>
        <v>7499.2746995204998</v>
      </c>
      <c r="C42" s="14">
        <f t="shared" si="3"/>
        <v>550</v>
      </c>
      <c r="D42" s="14">
        <f t="shared" si="4"/>
        <v>26.559931227468432</v>
      </c>
      <c r="E42" s="14">
        <f t="shared" si="5"/>
        <v>523.44006877254856</v>
      </c>
      <c r="F42" s="14">
        <f t="shared" si="6"/>
        <v>6975.8346307479515</v>
      </c>
      <c r="H42" s="14">
        <f t="shared" si="0"/>
        <v>1987.254627776525</v>
      </c>
      <c r="I42" s="14">
        <f t="shared" si="1"/>
        <v>17262.745372224068</v>
      </c>
    </row>
    <row r="43" spans="1:9" x14ac:dyDescent="0.25">
      <c r="A43" s="5">
        <v>36</v>
      </c>
      <c r="B43" s="14">
        <f t="shared" si="2"/>
        <v>6975.8346307479515</v>
      </c>
      <c r="C43" s="14">
        <f t="shared" si="3"/>
        <v>550</v>
      </c>
      <c r="D43" s="14">
        <f t="shared" si="4"/>
        <v>24.706080983898989</v>
      </c>
      <c r="E43" s="14">
        <f t="shared" si="5"/>
        <v>525.29391901611802</v>
      </c>
      <c r="F43" s="14">
        <f t="shared" si="6"/>
        <v>6450.5407117318337</v>
      </c>
      <c r="H43" s="14">
        <f t="shared" si="0"/>
        <v>2011.9607087604163</v>
      </c>
      <c r="I43" s="14">
        <f t="shared" si="1"/>
        <v>17788.039291240195</v>
      </c>
    </row>
    <row r="44" spans="1:9" x14ac:dyDescent="0.25">
      <c r="A44" s="5">
        <v>37</v>
      </c>
      <c r="B44" s="14">
        <f t="shared" si="2"/>
        <v>6450.5407117318337</v>
      </c>
      <c r="C44" s="14">
        <f t="shared" si="3"/>
        <v>550</v>
      </c>
      <c r="D44" s="14">
        <f t="shared" si="4"/>
        <v>22.845665020716908</v>
      </c>
      <c r="E44" s="14">
        <f t="shared" si="5"/>
        <v>527.15433497930007</v>
      </c>
      <c r="F44" s="14">
        <f t="shared" si="6"/>
        <v>5923.3863767525336</v>
      </c>
      <c r="H44" s="14">
        <f t="shared" si="0"/>
        <v>2034.8063737811353</v>
      </c>
      <c r="I44" s="14">
        <f t="shared" si="1"/>
        <v>18315.19362621949</v>
      </c>
    </row>
    <row r="45" spans="1:9" x14ac:dyDescent="0.25">
      <c r="A45" s="5">
        <v>38</v>
      </c>
      <c r="B45" s="14">
        <f t="shared" si="2"/>
        <v>5923.3863767525336</v>
      </c>
      <c r="C45" s="14">
        <f t="shared" si="3"/>
        <v>550</v>
      </c>
      <c r="D45" s="14">
        <f t="shared" si="4"/>
        <v>20.978660084331889</v>
      </c>
      <c r="E45" s="14">
        <f t="shared" si="5"/>
        <v>529.02133991568508</v>
      </c>
      <c r="F45" s="14">
        <f t="shared" si="6"/>
        <v>5394.365036836849</v>
      </c>
      <c r="H45" s="14">
        <f t="shared" si="0"/>
        <v>2055.7850338654644</v>
      </c>
      <c r="I45" s="14">
        <f t="shared" si="1"/>
        <v>18844.21496613518</v>
      </c>
    </row>
    <row r="46" spans="1:9" x14ac:dyDescent="0.25">
      <c r="A46" s="5">
        <v>39</v>
      </c>
      <c r="B46" s="14">
        <f t="shared" si="2"/>
        <v>5394.365036836849</v>
      </c>
      <c r="C46" s="14">
        <f t="shared" si="3"/>
        <v>550</v>
      </c>
      <c r="D46" s="14">
        <f t="shared" si="4"/>
        <v>19.105042838797168</v>
      </c>
      <c r="E46" s="14">
        <f t="shared" si="5"/>
        <v>530.89495716121974</v>
      </c>
      <c r="F46" s="14">
        <f t="shared" si="6"/>
        <v>4863.4700796756297</v>
      </c>
      <c r="H46" s="14">
        <f t="shared" si="0"/>
        <v>2074.8900767042651</v>
      </c>
      <c r="I46" s="14">
        <f t="shared" si="1"/>
        <v>19375.109923296397</v>
      </c>
    </row>
    <row r="47" spans="1:9" x14ac:dyDescent="0.25">
      <c r="A47" s="5">
        <v>40</v>
      </c>
      <c r="B47" s="14">
        <f t="shared" si="2"/>
        <v>4863.4700796756297</v>
      </c>
      <c r="C47" s="14">
        <f t="shared" si="3"/>
        <v>550</v>
      </c>
      <c r="D47" s="14">
        <f t="shared" si="4"/>
        <v>17.224789865517845</v>
      </c>
      <c r="E47" s="14">
        <f t="shared" si="5"/>
        <v>532.77521013449916</v>
      </c>
      <c r="F47" s="14">
        <f t="shared" si="6"/>
        <v>4330.6948695411302</v>
      </c>
      <c r="H47" s="14">
        <f t="shared" si="0"/>
        <v>2092.1148665697801</v>
      </c>
      <c r="I47" s="14">
        <f t="shared" si="1"/>
        <v>19907.885133430897</v>
      </c>
    </row>
    <row r="48" spans="1:9" x14ac:dyDescent="0.25">
      <c r="A48" s="5">
        <v>41</v>
      </c>
      <c r="B48" s="14">
        <f t="shared" si="2"/>
        <v>4330.6948695411302</v>
      </c>
      <c r="C48" s="14">
        <f t="shared" si="3"/>
        <v>550</v>
      </c>
      <c r="D48" s="14">
        <f t="shared" si="4"/>
        <v>15.337877662958164</v>
      </c>
      <c r="E48" s="14">
        <f t="shared" si="5"/>
        <v>534.6621223370588</v>
      </c>
      <c r="F48" s="14">
        <f t="shared" si="6"/>
        <v>3796.0327472040713</v>
      </c>
      <c r="H48" s="14">
        <f t="shared" si="0"/>
        <v>2107.4527442327417</v>
      </c>
      <c r="I48" s="14">
        <f t="shared" si="1"/>
        <v>20442.547255767953</v>
      </c>
    </row>
    <row r="49" spans="1:9" x14ac:dyDescent="0.25">
      <c r="A49" s="5">
        <v>42</v>
      </c>
      <c r="B49" s="14">
        <f t="shared" si="2"/>
        <v>3796.0327472040713</v>
      </c>
      <c r="C49" s="14">
        <f t="shared" si="3"/>
        <v>550</v>
      </c>
      <c r="D49" s="14">
        <f t="shared" si="4"/>
        <v>13.444282646347748</v>
      </c>
      <c r="E49" s="14">
        <f t="shared" si="5"/>
        <v>536.55571735366925</v>
      </c>
      <c r="F49" s="14">
        <f t="shared" si="6"/>
        <v>3259.4770298504018</v>
      </c>
      <c r="H49" s="14">
        <f t="shared" si="0"/>
        <v>2120.8970268790908</v>
      </c>
      <c r="I49" s="14">
        <f t="shared" si="1"/>
        <v>20979.102973121622</v>
      </c>
    </row>
    <row r="50" spans="1:9" x14ac:dyDescent="0.25">
      <c r="A50" s="5">
        <v>43</v>
      </c>
      <c r="B50" s="14">
        <f t="shared" si="2"/>
        <v>3259.4770298504018</v>
      </c>
      <c r="C50" s="14">
        <f t="shared" si="3"/>
        <v>550</v>
      </c>
      <c r="D50" s="14">
        <f t="shared" si="4"/>
        <v>11.543981147386834</v>
      </c>
      <c r="E50" s="14">
        <f t="shared" si="5"/>
        <v>538.45601885263011</v>
      </c>
      <c r="F50" s="14">
        <f t="shared" si="6"/>
        <v>2721.0210109977716</v>
      </c>
      <c r="H50" s="14">
        <f t="shared" si="0"/>
        <v>2132.4410080264788</v>
      </c>
      <c r="I50" s="14">
        <f t="shared" si="1"/>
        <v>21517.558991974249</v>
      </c>
    </row>
    <row r="51" spans="1:9" x14ac:dyDescent="0.25">
      <c r="A51" s="5">
        <v>44</v>
      </c>
      <c r="B51" s="14">
        <f t="shared" si="2"/>
        <v>2721.0210109977716</v>
      </c>
      <c r="C51" s="14">
        <f t="shared" si="3"/>
        <v>550</v>
      </c>
      <c r="D51" s="14">
        <f t="shared" si="4"/>
        <v>9.6369494139504361</v>
      </c>
      <c r="E51" s="14">
        <f t="shared" si="5"/>
        <v>540.36305058606649</v>
      </c>
      <c r="F51" s="14">
        <f t="shared" si="6"/>
        <v>2180.6579604117051</v>
      </c>
      <c r="H51" s="14">
        <f t="shared" si="0"/>
        <v>2142.077957440426</v>
      </c>
      <c r="I51" s="14">
        <f t="shared" si="1"/>
        <v>22057.92204256032</v>
      </c>
    </row>
    <row r="52" spans="1:9" x14ac:dyDescent="0.25">
      <c r="A52" s="5">
        <v>45</v>
      </c>
      <c r="B52" s="14">
        <f t="shared" si="2"/>
        <v>2180.6579604117051</v>
      </c>
      <c r="C52" s="14">
        <f t="shared" si="3"/>
        <v>550</v>
      </c>
      <c r="D52" s="14">
        <f t="shared" si="4"/>
        <v>7.7231636097914498</v>
      </c>
      <c r="E52" s="14">
        <f t="shared" si="5"/>
        <v>542.27683639022553</v>
      </c>
      <c r="F52" s="14">
        <f t="shared" si="6"/>
        <v>1638.3811240214795</v>
      </c>
      <c r="H52" s="14">
        <f t="shared" si="0"/>
        <v>2149.8011210502227</v>
      </c>
      <c r="I52" s="14">
        <f t="shared" si="1"/>
        <v>22600.198878950541</v>
      </c>
    </row>
    <row r="53" spans="1:9" x14ac:dyDescent="0.25">
      <c r="A53" s="5">
        <v>46</v>
      </c>
      <c r="B53" s="14">
        <f t="shared" si="2"/>
        <v>1638.3811240214795</v>
      </c>
      <c r="C53" s="14">
        <f t="shared" si="3"/>
        <v>550</v>
      </c>
      <c r="D53" s="14">
        <f t="shared" si="4"/>
        <v>5.8025998142427344</v>
      </c>
      <c r="E53" s="14">
        <f t="shared" si="5"/>
        <v>544.19740018577431</v>
      </c>
      <c r="F53" s="14">
        <f t="shared" si="6"/>
        <v>1094.1837238357052</v>
      </c>
      <c r="H53" s="14">
        <f t="shared" si="0"/>
        <v>2155.6037208644593</v>
      </c>
      <c r="I53" s="14">
        <f t="shared" si="1"/>
        <v>23144.396279136319</v>
      </c>
    </row>
    <row r="54" spans="1:9" x14ac:dyDescent="0.25">
      <c r="A54" s="5">
        <v>47</v>
      </c>
      <c r="B54" s="14">
        <f t="shared" si="2"/>
        <v>1094.1837238357052</v>
      </c>
      <c r="C54" s="14">
        <f t="shared" si="3"/>
        <v>550</v>
      </c>
      <c r="D54" s="14">
        <f t="shared" si="4"/>
        <v>3.8752340219181174</v>
      </c>
      <c r="E54" s="14">
        <f t="shared" si="5"/>
        <v>546.12476597809894</v>
      </c>
      <c r="F54" s="14">
        <f t="shared" si="6"/>
        <v>548.05895785760629</v>
      </c>
      <c r="H54" s="14">
        <f t="shared" si="0"/>
        <v>2159.4789548863773</v>
      </c>
      <c r="I54" s="14">
        <f t="shared" si="1"/>
        <v>23690.521045114419</v>
      </c>
    </row>
    <row r="55" spans="1:9" ht="17.25" x14ac:dyDescent="0.4">
      <c r="A55" s="5">
        <v>48</v>
      </c>
      <c r="B55" s="14">
        <f t="shared" si="2"/>
        <v>548.05895785760629</v>
      </c>
      <c r="C55" s="14">
        <f t="shared" si="3"/>
        <v>550</v>
      </c>
      <c r="D55" s="14">
        <f t="shared" si="4"/>
        <v>1.9410421424123501</v>
      </c>
      <c r="E55" s="14">
        <f t="shared" si="5"/>
        <v>548.05895785760458</v>
      </c>
      <c r="F55" s="103">
        <f t="shared" si="6"/>
        <v>1.7053025658242404E-12</v>
      </c>
      <c r="H55" s="126">
        <f t="shared" si="0"/>
        <v>2161.4199970287918</v>
      </c>
      <c r="I55" s="126">
        <f t="shared" si="1"/>
        <v>24238.580002972023</v>
      </c>
    </row>
    <row r="56" spans="1:9" ht="17.25" x14ac:dyDescent="0.4">
      <c r="A56" s="5" t="s">
        <v>149</v>
      </c>
      <c r="B56" s="14"/>
      <c r="C56" s="127">
        <f t="shared" ref="C56:E56" si="7">SUM(C8:C55)</f>
        <v>26400</v>
      </c>
      <c r="D56" s="126">
        <f t="shared" si="7"/>
        <v>2161.4199970287946</v>
      </c>
      <c r="E56" s="126">
        <f t="shared" si="7"/>
        <v>24238.580002972023</v>
      </c>
      <c r="F56" s="53"/>
      <c r="H56" s="128">
        <f>H55+I55</f>
        <v>26400.000000000815</v>
      </c>
    </row>
    <row r="57" spans="1:9" ht="17.25" x14ac:dyDescent="0.4">
      <c r="D57" s="128">
        <f>D56+E56</f>
        <v>26400.000000000819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244" zoomScaleNormal="244" workbookViewId="0">
      <selection activeCell="B2" sqref="B2:D4"/>
    </sheetView>
  </sheetViews>
  <sheetFormatPr defaultRowHeight="15" x14ac:dyDescent="0.25"/>
  <cols>
    <col min="1" max="1" width="10.42578125" bestFit="1" customWidth="1"/>
    <col min="2" max="4" width="13.7109375" customWidth="1"/>
  </cols>
  <sheetData>
    <row r="1" spans="1:4" x14ac:dyDescent="0.25">
      <c r="B1" t="s">
        <v>164</v>
      </c>
      <c r="C1" s="4" t="s">
        <v>165</v>
      </c>
      <c r="D1" s="4" t="s">
        <v>166</v>
      </c>
    </row>
    <row r="2" spans="1:4" x14ac:dyDescent="0.25">
      <c r="A2" t="s">
        <v>167</v>
      </c>
      <c r="B2" s="7">
        <v>55000</v>
      </c>
      <c r="C2" s="7">
        <v>52500</v>
      </c>
      <c r="D2" s="7">
        <v>30000</v>
      </c>
    </row>
    <row r="3" spans="1:4" x14ac:dyDescent="0.25">
      <c r="A3" t="s">
        <v>169</v>
      </c>
      <c r="B3" s="7">
        <v>65000</v>
      </c>
      <c r="C3" s="7">
        <v>60000</v>
      </c>
      <c r="D3" s="7">
        <v>45000</v>
      </c>
    </row>
    <row r="4" spans="1:4" x14ac:dyDescent="0.25">
      <c r="A4" t="s">
        <v>168</v>
      </c>
      <c r="B4" s="7">
        <v>40000</v>
      </c>
      <c r="C4" s="7">
        <v>75000</v>
      </c>
      <c r="D4" s="7">
        <v>90000</v>
      </c>
    </row>
    <row r="10" spans="1:4" x14ac:dyDescent="0.25">
      <c r="D10" t="s">
        <v>343</v>
      </c>
    </row>
  </sheetData>
  <dataValidations count="1">
    <dataValidation type="whole" allowBlank="1" showInputMessage="1" showErrorMessage="1" sqref="A1:D4">
      <formula1>45000</formula1>
      <formula2>65000</formula2>
    </dataValidation>
  </dataValidation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6" sqref="N36"/>
    </sheetView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11"/>
  <sheetViews>
    <sheetView workbookViewId="0">
      <selection activeCell="E25" sqref="E25"/>
    </sheetView>
  </sheetViews>
  <sheetFormatPr defaultColWidth="8.85546875" defaultRowHeight="15" x14ac:dyDescent="0.25"/>
  <cols>
    <col min="1" max="1" width="18.7109375" style="4" customWidth="1"/>
    <col min="2" max="5" width="14.7109375" style="4" customWidth="1"/>
    <col min="6" max="16384" width="8.85546875" style="4"/>
  </cols>
  <sheetData>
    <row r="1" spans="1:5" ht="18.75" x14ac:dyDescent="0.3">
      <c r="A1" s="136" t="s">
        <v>179</v>
      </c>
      <c r="B1" s="137"/>
      <c r="C1" s="137"/>
      <c r="D1" s="137"/>
      <c r="E1" s="137"/>
    </row>
    <row r="2" spans="1:5" x14ac:dyDescent="0.25">
      <c r="A2" s="65" t="s">
        <v>178</v>
      </c>
      <c r="B2" s="64" t="s">
        <v>164</v>
      </c>
      <c r="C2" s="64" t="s">
        <v>165</v>
      </c>
      <c r="D2" s="64" t="s">
        <v>166</v>
      </c>
      <c r="E2" s="64" t="s">
        <v>149</v>
      </c>
    </row>
    <row r="3" spans="1:5" x14ac:dyDescent="0.25">
      <c r="A3" s="62" t="s">
        <v>177</v>
      </c>
      <c r="B3" s="60">
        <v>135202.56</v>
      </c>
      <c r="C3" s="60">
        <v>173538.77</v>
      </c>
      <c r="D3" s="60">
        <v>51552.99</v>
      </c>
      <c r="E3" s="60">
        <f t="shared" ref="E3:E10" si="0">SUM(B3:D3)</f>
        <v>360294.31999999995</v>
      </c>
    </row>
    <row r="4" spans="1:5" x14ac:dyDescent="0.25">
      <c r="A4" s="62" t="s">
        <v>176</v>
      </c>
      <c r="B4" s="60">
        <v>109141.06</v>
      </c>
      <c r="C4" s="60">
        <v>145219.35999999999</v>
      </c>
      <c r="D4" s="60">
        <v>72074.22</v>
      </c>
      <c r="E4" s="60">
        <f t="shared" si="0"/>
        <v>326434.64</v>
      </c>
    </row>
    <row r="5" spans="1:5" x14ac:dyDescent="0.25">
      <c r="A5" s="62" t="s">
        <v>175</v>
      </c>
      <c r="B5" s="60">
        <v>47924.66</v>
      </c>
      <c r="C5" s="60">
        <v>43132.2</v>
      </c>
      <c r="D5" s="60">
        <v>38339.730000000003</v>
      </c>
      <c r="E5" s="60">
        <f t="shared" si="0"/>
        <v>129396.59</v>
      </c>
    </row>
    <row r="6" spans="1:5" x14ac:dyDescent="0.25">
      <c r="A6" s="62" t="s">
        <v>174</v>
      </c>
      <c r="B6" s="60">
        <v>78130.28</v>
      </c>
      <c r="C6" s="60">
        <v>83699.02</v>
      </c>
      <c r="D6" s="60">
        <v>88045.57</v>
      </c>
      <c r="E6" s="60">
        <f t="shared" si="0"/>
        <v>249874.87</v>
      </c>
    </row>
    <row r="7" spans="1:5" x14ac:dyDescent="0.25">
      <c r="A7" s="62" t="s">
        <v>173</v>
      </c>
      <c r="B7" s="60">
        <v>102466.88</v>
      </c>
      <c r="C7" s="60">
        <v>63705.49</v>
      </c>
      <c r="D7" s="60">
        <v>137926.1</v>
      </c>
      <c r="E7" s="60">
        <f t="shared" si="0"/>
        <v>304098.46999999997</v>
      </c>
    </row>
    <row r="8" spans="1:5" x14ac:dyDescent="0.25">
      <c r="A8" s="62" t="s">
        <v>172</v>
      </c>
      <c r="B8" s="60">
        <v>74849.81</v>
      </c>
      <c r="C8" s="63">
        <v>125634.9</v>
      </c>
      <c r="D8" s="60">
        <v>46936.17</v>
      </c>
      <c r="E8" s="60">
        <f t="shared" si="0"/>
        <v>247420.88</v>
      </c>
    </row>
    <row r="9" spans="1:5" x14ac:dyDescent="0.25">
      <c r="A9" s="62" t="s">
        <v>171</v>
      </c>
      <c r="B9" s="60">
        <v>167349.29</v>
      </c>
      <c r="C9" s="60">
        <v>50926.39</v>
      </c>
      <c r="D9" s="60">
        <v>111380.65</v>
      </c>
      <c r="E9" s="60">
        <f t="shared" si="0"/>
        <v>329656.32999999996</v>
      </c>
    </row>
    <row r="10" spans="1:5" x14ac:dyDescent="0.25">
      <c r="A10" s="62" t="s">
        <v>170</v>
      </c>
      <c r="B10" s="61">
        <v>69825.55</v>
      </c>
      <c r="C10" s="61">
        <v>178718.5</v>
      </c>
      <c r="D10" s="61">
        <v>174345.25</v>
      </c>
      <c r="E10" s="60">
        <f t="shared" si="0"/>
        <v>422889.3</v>
      </c>
    </row>
    <row r="11" spans="1:5" x14ac:dyDescent="0.25">
      <c r="A11" s="59"/>
    </row>
  </sheetData>
  <mergeCells count="1">
    <mergeCell ref="A1:E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10"/>
  <sheetViews>
    <sheetView workbookViewId="0">
      <selection activeCell="E25" sqref="E25"/>
    </sheetView>
  </sheetViews>
  <sheetFormatPr defaultColWidth="8.85546875" defaultRowHeight="15" x14ac:dyDescent="0.25"/>
  <cols>
    <col min="1" max="1" width="13.7109375" style="4" customWidth="1"/>
    <col min="2" max="5" width="14.7109375" style="4" customWidth="1"/>
    <col min="6" max="16384" width="8.85546875" style="4"/>
  </cols>
  <sheetData>
    <row r="1" spans="1:5" ht="18.75" x14ac:dyDescent="0.3">
      <c r="A1" s="136" t="s">
        <v>179</v>
      </c>
      <c r="B1" s="137"/>
      <c r="C1" s="137"/>
      <c r="D1" s="137"/>
      <c r="E1" s="137"/>
    </row>
    <row r="2" spans="1:5" x14ac:dyDescent="0.25">
      <c r="A2" s="65" t="s">
        <v>178</v>
      </c>
      <c r="B2" s="64" t="s">
        <v>182</v>
      </c>
      <c r="C2" s="64" t="s">
        <v>181</v>
      </c>
      <c r="D2" s="64" t="s">
        <v>180</v>
      </c>
      <c r="E2" s="64" t="s">
        <v>149</v>
      </c>
    </row>
    <row r="3" spans="1:5" x14ac:dyDescent="0.25">
      <c r="A3" s="62" t="s">
        <v>177</v>
      </c>
      <c r="B3" s="60">
        <v>50231.91</v>
      </c>
      <c r="C3" s="60">
        <v>54346.400000000001</v>
      </c>
      <c r="D3" s="60">
        <v>55508.19</v>
      </c>
      <c r="E3" s="60">
        <f t="shared" ref="E3:E10" si="0">SUM(B3:D3)</f>
        <v>160086.5</v>
      </c>
    </row>
    <row r="4" spans="1:5" x14ac:dyDescent="0.25">
      <c r="A4" s="62" t="s">
        <v>176</v>
      </c>
      <c r="B4" s="60">
        <v>185295.87</v>
      </c>
      <c r="C4" s="60">
        <v>40382.6</v>
      </c>
      <c r="D4" s="60">
        <v>164196.79999999999</v>
      </c>
      <c r="E4" s="60">
        <f t="shared" si="0"/>
        <v>389875.27</v>
      </c>
    </row>
    <row r="5" spans="1:5" x14ac:dyDescent="0.25">
      <c r="A5" s="62" t="s">
        <v>175</v>
      </c>
      <c r="B5" s="60">
        <v>34505.760000000002</v>
      </c>
      <c r="C5" s="60">
        <v>30671.79</v>
      </c>
      <c r="D5" s="60">
        <v>27604.61</v>
      </c>
      <c r="E5" s="60">
        <f t="shared" si="0"/>
        <v>92782.16</v>
      </c>
    </row>
    <row r="6" spans="1:5" x14ac:dyDescent="0.25">
      <c r="A6" s="62" t="s">
        <v>174</v>
      </c>
      <c r="B6" s="60">
        <v>136063.26</v>
      </c>
      <c r="C6" s="60">
        <v>126704.43500000001</v>
      </c>
      <c r="D6" s="60">
        <v>122698.24000000001</v>
      </c>
      <c r="E6" s="60">
        <f t="shared" si="0"/>
        <v>385465.935</v>
      </c>
    </row>
    <row r="7" spans="1:5" x14ac:dyDescent="0.25">
      <c r="A7" s="62" t="s">
        <v>173</v>
      </c>
      <c r="B7" s="60">
        <v>79807.08</v>
      </c>
      <c r="C7" s="60">
        <v>60344.108</v>
      </c>
      <c r="D7" s="60">
        <v>103592.85</v>
      </c>
      <c r="E7" s="60">
        <f t="shared" si="0"/>
        <v>243744.038</v>
      </c>
    </row>
    <row r="8" spans="1:5" x14ac:dyDescent="0.25">
      <c r="A8" s="62" t="s">
        <v>172</v>
      </c>
      <c r="B8" s="60">
        <v>75987.58</v>
      </c>
      <c r="C8" s="63">
        <v>91827.03</v>
      </c>
      <c r="D8" s="60">
        <v>78188.28</v>
      </c>
      <c r="E8" s="60">
        <f t="shared" si="0"/>
        <v>246002.88999999998</v>
      </c>
    </row>
    <row r="9" spans="1:5" x14ac:dyDescent="0.25">
      <c r="A9" s="62" t="s">
        <v>171</v>
      </c>
      <c r="B9" s="60">
        <v>154406.54</v>
      </c>
      <c r="C9" s="60">
        <v>86743.76</v>
      </c>
      <c r="D9" s="60">
        <v>158378.79</v>
      </c>
      <c r="E9" s="60">
        <f t="shared" si="0"/>
        <v>399529.08999999997</v>
      </c>
    </row>
    <row r="10" spans="1:5" x14ac:dyDescent="0.25">
      <c r="A10" s="62" t="s">
        <v>170</v>
      </c>
      <c r="B10" s="61">
        <v>64588.25</v>
      </c>
      <c r="C10" s="61">
        <v>72989.350000000006</v>
      </c>
      <c r="D10" s="61">
        <v>110254.25</v>
      </c>
      <c r="E10" s="60">
        <f t="shared" si="0"/>
        <v>247831.85</v>
      </c>
    </row>
  </sheetData>
  <mergeCells count="1">
    <mergeCell ref="A1:E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0"/>
  <sheetViews>
    <sheetView workbookViewId="0">
      <selection activeCell="E25" sqref="E25"/>
    </sheetView>
  </sheetViews>
  <sheetFormatPr defaultColWidth="8.85546875" defaultRowHeight="15" x14ac:dyDescent="0.25"/>
  <cols>
    <col min="1" max="1" width="13.7109375" style="4" customWidth="1"/>
    <col min="2" max="5" width="14.7109375" style="4" customWidth="1"/>
    <col min="6" max="16384" width="8.85546875" style="4"/>
  </cols>
  <sheetData>
    <row r="1" spans="1:5" ht="18.75" x14ac:dyDescent="0.3">
      <c r="A1" s="136" t="s">
        <v>179</v>
      </c>
      <c r="B1" s="137"/>
      <c r="C1" s="137"/>
      <c r="D1" s="137"/>
      <c r="E1" s="137"/>
    </row>
    <row r="2" spans="1:5" x14ac:dyDescent="0.25">
      <c r="A2" s="65" t="s">
        <v>178</v>
      </c>
      <c r="B2" s="66" t="s">
        <v>185</v>
      </c>
      <c r="C2" s="66" t="s">
        <v>184</v>
      </c>
      <c r="D2" s="66" t="s">
        <v>183</v>
      </c>
      <c r="E2" s="66" t="s">
        <v>149</v>
      </c>
    </row>
    <row r="3" spans="1:5" x14ac:dyDescent="0.25">
      <c r="A3" s="62" t="s">
        <v>177</v>
      </c>
      <c r="B3" s="60">
        <v>64486.42</v>
      </c>
      <c r="C3" s="60">
        <v>182190.06</v>
      </c>
      <c r="D3" s="60">
        <v>183934.58</v>
      </c>
      <c r="E3" s="60">
        <f t="shared" ref="E3:E10" si="0">SUM(B3:D3)</f>
        <v>430611.05999999994</v>
      </c>
    </row>
    <row r="4" spans="1:5" x14ac:dyDescent="0.25">
      <c r="A4" s="62" t="s">
        <v>176</v>
      </c>
      <c r="B4" s="60">
        <v>63426.54</v>
      </c>
      <c r="C4" s="60">
        <v>183860.82</v>
      </c>
      <c r="D4" s="60">
        <v>75165.48</v>
      </c>
      <c r="E4" s="60">
        <f t="shared" si="0"/>
        <v>322452.84000000003</v>
      </c>
    </row>
    <row r="5" spans="1:5" x14ac:dyDescent="0.25">
      <c r="A5" s="62" t="s">
        <v>175</v>
      </c>
      <c r="B5" s="60">
        <v>24537.43</v>
      </c>
      <c r="C5" s="60">
        <v>22083.69</v>
      </c>
      <c r="D5" s="60">
        <v>19629.939999999999</v>
      </c>
      <c r="E5" s="60">
        <f t="shared" si="0"/>
        <v>66251.06</v>
      </c>
    </row>
    <row r="6" spans="1:5" x14ac:dyDescent="0.25">
      <c r="A6" s="62" t="s">
        <v>174</v>
      </c>
      <c r="B6" s="60">
        <v>53242.43</v>
      </c>
      <c r="C6" s="60">
        <v>50246.79</v>
      </c>
      <c r="D6" s="60">
        <v>136267.49</v>
      </c>
      <c r="E6" s="60">
        <f t="shared" si="0"/>
        <v>239756.71</v>
      </c>
    </row>
    <row r="7" spans="1:5" x14ac:dyDescent="0.25">
      <c r="A7" s="62" t="s">
        <v>173</v>
      </c>
      <c r="B7" s="60">
        <v>69383.679999999993</v>
      </c>
      <c r="C7" s="60">
        <v>148292.71</v>
      </c>
      <c r="D7" s="60">
        <v>105034.94</v>
      </c>
      <c r="E7" s="60">
        <f t="shared" si="0"/>
        <v>322711.32999999996</v>
      </c>
    </row>
    <row r="8" spans="1:5" x14ac:dyDescent="0.25">
      <c r="A8" s="62" t="s">
        <v>172</v>
      </c>
      <c r="B8" s="60">
        <v>99594.559999999998</v>
      </c>
      <c r="C8" s="63">
        <v>43673.919999999998</v>
      </c>
      <c r="D8" s="60">
        <v>184105.22</v>
      </c>
      <c r="E8" s="60">
        <f t="shared" si="0"/>
        <v>327373.69999999995</v>
      </c>
    </row>
    <row r="9" spans="1:5" x14ac:dyDescent="0.25">
      <c r="A9" s="62" t="s">
        <v>171</v>
      </c>
      <c r="B9" s="60">
        <v>69825.55</v>
      </c>
      <c r="C9" s="60">
        <v>178718.6</v>
      </c>
      <c r="D9" s="60">
        <v>174334.04</v>
      </c>
      <c r="E9" s="60">
        <f t="shared" si="0"/>
        <v>422878.19000000006</v>
      </c>
    </row>
    <row r="10" spans="1:5" x14ac:dyDescent="0.25">
      <c r="A10" s="62" t="s">
        <v>170</v>
      </c>
      <c r="B10" s="61">
        <v>99594.25</v>
      </c>
      <c r="C10" s="61">
        <v>43673.25</v>
      </c>
      <c r="D10" s="61">
        <v>184105.22</v>
      </c>
      <c r="E10" s="60">
        <f t="shared" si="0"/>
        <v>327372.71999999997</v>
      </c>
    </row>
  </sheetData>
  <mergeCells count="1">
    <mergeCell ref="A1:E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11"/>
  <sheetViews>
    <sheetView workbookViewId="0">
      <selection activeCell="E25" sqref="E25"/>
    </sheetView>
  </sheetViews>
  <sheetFormatPr defaultColWidth="8.85546875" defaultRowHeight="15" x14ac:dyDescent="0.25"/>
  <cols>
    <col min="1" max="1" width="13.7109375" style="4" customWidth="1"/>
    <col min="2" max="5" width="14.7109375" style="4" customWidth="1"/>
    <col min="6" max="16384" width="8.85546875" style="4"/>
  </cols>
  <sheetData>
    <row r="1" spans="1:5" ht="18.75" x14ac:dyDescent="0.3">
      <c r="A1" s="136" t="s">
        <v>179</v>
      </c>
      <c r="B1" s="137"/>
      <c r="C1" s="137"/>
      <c r="D1" s="137"/>
      <c r="E1" s="137"/>
    </row>
    <row r="2" spans="1:5" x14ac:dyDescent="0.25">
      <c r="A2" s="65" t="s">
        <v>178</v>
      </c>
      <c r="B2" s="66" t="s">
        <v>188</v>
      </c>
      <c r="C2" s="66" t="s">
        <v>187</v>
      </c>
      <c r="D2" s="66" t="s">
        <v>186</v>
      </c>
      <c r="E2" s="66" t="s">
        <v>149</v>
      </c>
    </row>
    <row r="3" spans="1:5" x14ac:dyDescent="0.25">
      <c r="A3" s="62" t="s">
        <v>177</v>
      </c>
      <c r="B3" s="60">
        <v>121414.35</v>
      </c>
      <c r="C3" s="60">
        <v>154184.9</v>
      </c>
      <c r="D3" s="60">
        <v>80357.960000000006</v>
      </c>
      <c r="E3" s="60">
        <f t="shared" ref="E3:E10" si="0">SUM(B3:D3)</f>
        <v>355957.21</v>
      </c>
    </row>
    <row r="4" spans="1:5" x14ac:dyDescent="0.25">
      <c r="A4" s="62" t="s">
        <v>176</v>
      </c>
      <c r="B4" s="60">
        <v>95279.1</v>
      </c>
      <c r="C4" s="60">
        <v>44864.99</v>
      </c>
      <c r="D4" s="60">
        <v>47180.43</v>
      </c>
      <c r="E4" s="60">
        <f t="shared" si="0"/>
        <v>187324.52</v>
      </c>
    </row>
    <row r="5" spans="1:5" x14ac:dyDescent="0.25">
      <c r="A5" s="62" t="s">
        <v>175</v>
      </c>
      <c r="B5" s="60">
        <v>17666.95</v>
      </c>
      <c r="C5" s="60">
        <v>15703.96</v>
      </c>
      <c r="D5" s="60">
        <v>14133.56</v>
      </c>
      <c r="E5" s="60">
        <f t="shared" si="0"/>
        <v>47504.47</v>
      </c>
    </row>
    <row r="6" spans="1:5" x14ac:dyDescent="0.25">
      <c r="A6" s="62" t="s">
        <v>174</v>
      </c>
      <c r="B6" s="60">
        <v>167081.16</v>
      </c>
      <c r="C6" s="60">
        <v>132765.22</v>
      </c>
      <c r="D6" s="60">
        <v>137815.4</v>
      </c>
      <c r="E6" s="60">
        <f t="shared" si="0"/>
        <v>437661.78</v>
      </c>
    </row>
    <row r="7" spans="1:5" x14ac:dyDescent="0.25">
      <c r="A7" s="62" t="s">
        <v>173</v>
      </c>
      <c r="B7" s="60">
        <v>101435.31</v>
      </c>
      <c r="C7" s="60">
        <v>167057.75</v>
      </c>
      <c r="D7" s="60">
        <v>146396.9</v>
      </c>
      <c r="E7" s="60">
        <f t="shared" si="0"/>
        <v>414889.95999999996</v>
      </c>
    </row>
    <row r="8" spans="1:5" x14ac:dyDescent="0.25">
      <c r="A8" s="62" t="s">
        <v>172</v>
      </c>
      <c r="B8" s="60">
        <v>39469.68</v>
      </c>
      <c r="C8" s="63">
        <v>165291.4</v>
      </c>
      <c r="D8" s="60">
        <v>100645.81999999999</v>
      </c>
      <c r="E8" s="60">
        <f t="shared" si="0"/>
        <v>305406.89999999997</v>
      </c>
    </row>
    <row r="9" spans="1:5" x14ac:dyDescent="0.25">
      <c r="A9" s="62" t="s">
        <v>171</v>
      </c>
      <c r="B9" s="60">
        <v>43242.61</v>
      </c>
      <c r="C9" s="60">
        <v>142457.03999999998</v>
      </c>
      <c r="D9" s="60">
        <v>167377.64000000001</v>
      </c>
      <c r="E9" s="60">
        <f t="shared" si="0"/>
        <v>353077.29</v>
      </c>
    </row>
    <row r="10" spans="1:5" x14ac:dyDescent="0.25">
      <c r="A10" s="62" t="s">
        <v>170</v>
      </c>
      <c r="B10" s="61">
        <v>72588.12</v>
      </c>
      <c r="C10" s="61">
        <v>145258.35</v>
      </c>
      <c r="D10" s="61">
        <v>110145.23</v>
      </c>
      <c r="E10" s="60">
        <f t="shared" si="0"/>
        <v>327991.7</v>
      </c>
    </row>
    <row r="11" spans="1:5" x14ac:dyDescent="0.25">
      <c r="A11" s="59"/>
    </row>
  </sheetData>
  <mergeCells count="1">
    <mergeCell ref="A1:E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1"/>
  <sheetViews>
    <sheetView workbookViewId="0">
      <selection activeCell="B3" sqref="B3"/>
    </sheetView>
  </sheetViews>
  <sheetFormatPr defaultColWidth="8.85546875" defaultRowHeight="15" x14ac:dyDescent="0.25"/>
  <cols>
    <col min="1" max="1" width="18" style="4" bestFit="1" customWidth="1"/>
    <col min="2" max="6" width="14.7109375" style="4" customWidth="1"/>
    <col min="7" max="16384" width="8.85546875" style="4"/>
  </cols>
  <sheetData>
    <row r="1" spans="1:6" ht="18.75" x14ac:dyDescent="0.3">
      <c r="A1" s="136" t="s">
        <v>179</v>
      </c>
      <c r="B1" s="137"/>
      <c r="C1" s="137"/>
      <c r="D1" s="137"/>
      <c r="E1" s="137"/>
    </row>
    <row r="2" spans="1:6" ht="15" customHeight="1" x14ac:dyDescent="0.25">
      <c r="A2" s="65" t="s">
        <v>178</v>
      </c>
      <c r="B2" s="69" t="s">
        <v>149</v>
      </c>
      <c r="C2" s="69"/>
      <c r="D2" s="69"/>
      <c r="E2" s="69"/>
      <c r="F2" s="68"/>
    </row>
    <row r="3" spans="1:6" x14ac:dyDescent="0.25">
      <c r="A3" s="62" t="s">
        <v>177</v>
      </c>
      <c r="B3" s="129">
        <f>SUM('Qtr1:Qtr4'!E3)</f>
        <v>1306949.0899999999</v>
      </c>
      <c r="C3" s="15"/>
      <c r="D3" s="15"/>
      <c r="E3" s="15"/>
      <c r="F3" s="15"/>
    </row>
    <row r="4" spans="1:6" x14ac:dyDescent="0.25">
      <c r="A4" s="62" t="s">
        <v>176</v>
      </c>
      <c r="B4" s="129">
        <f>SUM('Qtr1:Qtr4'!E4)</f>
        <v>1226087.27</v>
      </c>
    </row>
    <row r="5" spans="1:6" x14ac:dyDescent="0.25">
      <c r="A5" s="62" t="s">
        <v>175</v>
      </c>
      <c r="B5" s="129">
        <f>SUM('Qtr1:Qtr4'!E5)</f>
        <v>335934.28</v>
      </c>
    </row>
    <row r="6" spans="1:6" x14ac:dyDescent="0.25">
      <c r="A6" s="62" t="s">
        <v>174</v>
      </c>
      <c r="B6" s="129">
        <f>SUM('Qtr1:Qtr4'!E6)</f>
        <v>1312759.2949999999</v>
      </c>
    </row>
    <row r="7" spans="1:6" x14ac:dyDescent="0.25">
      <c r="A7" s="62" t="s">
        <v>173</v>
      </c>
      <c r="B7" s="129">
        <f>SUM('Qtr1:Qtr4'!E7)</f>
        <v>1285443.798</v>
      </c>
    </row>
    <row r="8" spans="1:6" x14ac:dyDescent="0.25">
      <c r="A8" s="62" t="s">
        <v>172</v>
      </c>
      <c r="B8" s="129">
        <f>SUM('Qtr1:Qtr4'!E8)</f>
        <v>1126204.3699999999</v>
      </c>
    </row>
    <row r="9" spans="1:6" x14ac:dyDescent="0.25">
      <c r="A9" s="62" t="s">
        <v>171</v>
      </c>
      <c r="B9" s="129">
        <f>SUM('Qtr1:Qtr4'!E9)</f>
        <v>1505140.9</v>
      </c>
    </row>
    <row r="10" spans="1:6" x14ac:dyDescent="0.25">
      <c r="A10" s="62" t="s">
        <v>170</v>
      </c>
      <c r="B10" s="129">
        <f>SUM('Qtr1:Qtr4'!E10)</f>
        <v>1326085.57</v>
      </c>
    </row>
    <row r="11" spans="1:6" x14ac:dyDescent="0.25">
      <c r="A11" s="67"/>
      <c r="B11" s="15"/>
      <c r="C11" s="15"/>
      <c r="D11" s="15"/>
      <c r="E11" s="15"/>
      <c r="F11" s="1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19</vt:i4>
      </vt:variant>
    </vt:vector>
  </HeadingPairs>
  <TitlesOfParts>
    <vt:vector size="60" baseType="lpstr">
      <vt:lpstr>NestedIF-vlookup</vt:lpstr>
      <vt:lpstr>Source</vt:lpstr>
      <vt:lpstr>IFS</vt:lpstr>
      <vt:lpstr>NestedIF_Vlookup</vt:lpstr>
      <vt:lpstr>NestedIF_Vlookup complete</vt:lpstr>
      <vt:lpstr>Grades</vt:lpstr>
      <vt:lpstr>Grades complete</vt:lpstr>
      <vt:lpstr>Sort</vt:lpstr>
      <vt:lpstr>Sort complete</vt:lpstr>
      <vt:lpstr>Filter</vt:lpstr>
      <vt:lpstr>Filter complete</vt:lpstr>
      <vt:lpstr>Subtotaling</vt:lpstr>
      <vt:lpstr>Subtotaling two</vt:lpstr>
      <vt:lpstr>PivotTable</vt:lpstr>
      <vt:lpstr>PivotTable complete</vt:lpstr>
      <vt:lpstr>Range Names</vt:lpstr>
      <vt:lpstr>Range Names complete</vt:lpstr>
      <vt:lpstr>One-variable</vt:lpstr>
      <vt:lpstr>One-variable complete</vt:lpstr>
      <vt:lpstr>Two-variable</vt:lpstr>
      <vt:lpstr>Two-variable complete</vt:lpstr>
      <vt:lpstr>Goal Seek</vt:lpstr>
      <vt:lpstr>Goal Seek complete</vt:lpstr>
      <vt:lpstr>Solver</vt:lpstr>
      <vt:lpstr>Solver complete</vt:lpstr>
      <vt:lpstr>Scenario Manager</vt:lpstr>
      <vt:lpstr>Scenario Manager complete</vt:lpstr>
      <vt:lpstr>Scenario Summary</vt:lpstr>
      <vt:lpstr>Logic-Lookup</vt:lpstr>
      <vt:lpstr>Logic-Lookup complete</vt:lpstr>
      <vt:lpstr>Database</vt:lpstr>
      <vt:lpstr>Database complete</vt:lpstr>
      <vt:lpstr>Advanced Filtering complete</vt:lpstr>
      <vt:lpstr>Finance</vt:lpstr>
      <vt:lpstr>Data Validation</vt:lpstr>
      <vt:lpstr>3D Formulas </vt:lpstr>
      <vt:lpstr>Qtr1</vt:lpstr>
      <vt:lpstr>Qtr2</vt:lpstr>
      <vt:lpstr>Qtr3</vt:lpstr>
      <vt:lpstr>Qtr4</vt:lpstr>
      <vt:lpstr>Yearly Totals</vt:lpstr>
      <vt:lpstr>'Advanced Filtering complete'!Criteria</vt:lpstr>
      <vt:lpstr>'Range Names complete'!Deluxe</vt:lpstr>
      <vt:lpstr>DeluxeCost</vt:lpstr>
      <vt:lpstr>DeluxeDownPayment</vt:lpstr>
      <vt:lpstr>'Advanced Filtering complete'!Extract</vt:lpstr>
      <vt:lpstr>'Range Names complete'!Family</vt:lpstr>
      <vt:lpstr>FamilyCost</vt:lpstr>
      <vt:lpstr>FamilyDownPayment</vt:lpstr>
      <vt:lpstr>'Range Names complete'!Individual</vt:lpstr>
      <vt:lpstr>IndividualCost</vt:lpstr>
      <vt:lpstr>IndividualDownPayment</vt:lpstr>
      <vt:lpstr>Filter!RetailRate</vt:lpstr>
      <vt:lpstr>'Filter complete'!RetailRate</vt:lpstr>
      <vt:lpstr>PivotTable!RetailRate</vt:lpstr>
      <vt:lpstr>'PivotTable complete'!RetailRate</vt:lpstr>
      <vt:lpstr>Sort!RetailRate</vt:lpstr>
      <vt:lpstr>'Sort complete'!RetailRate</vt:lpstr>
      <vt:lpstr>Subtotaling!RetailRate</vt:lpstr>
      <vt:lpstr>'Subtotaling two'!RetailRate</vt:lpstr>
    </vt:vector>
  </TitlesOfParts>
  <Company>BCIT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Atha</dc:creator>
  <cp:lastModifiedBy>Joanne Atha</cp:lastModifiedBy>
  <dcterms:created xsi:type="dcterms:W3CDTF">2016-10-19T16:53:25Z</dcterms:created>
  <dcterms:modified xsi:type="dcterms:W3CDTF">2018-12-05T21:29:11Z</dcterms:modified>
</cp:coreProperties>
</file>