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na/Desktop/ML_OSC/"/>
    </mc:Choice>
  </mc:AlternateContent>
  <xr:revisionPtr revIDLastSave="0" documentId="13_ncr:1_{1858E46E-694E-AD45-B7C9-2816E548FE8E}" xr6:coauthVersionLast="47" xr6:coauthVersionMax="47" xr10:uidLastSave="{00000000-0000-0000-0000-000000000000}"/>
  <bookViews>
    <workbookView xWindow="1180" yWindow="1500" windowWidth="27240" windowHeight="15560" xr2:uid="{CD1C363E-0577-3649-983D-1DED6FC91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C31" i="1"/>
  <c r="C29" i="1"/>
  <c r="Q19" i="1"/>
  <c r="Q20" i="1"/>
  <c r="Q21" i="1"/>
  <c r="P21" i="1"/>
  <c r="L21" i="1"/>
  <c r="Q28" i="1"/>
  <c r="Q27" i="1"/>
  <c r="Q24" i="1"/>
  <c r="Q23" i="1"/>
  <c r="R24" i="1"/>
  <c r="R23" i="1"/>
  <c r="G32" i="1"/>
  <c r="F32" i="1"/>
  <c r="E32" i="1"/>
  <c r="D32" i="1"/>
  <c r="C32" i="1"/>
  <c r="B32" i="1"/>
  <c r="G31" i="1"/>
  <c r="H31" i="1" s="1"/>
  <c r="F31" i="1"/>
  <c r="E31" i="1"/>
  <c r="D31" i="1"/>
  <c r="B31" i="1"/>
  <c r="G30" i="1"/>
  <c r="F30" i="1"/>
  <c r="E30" i="1"/>
  <c r="D30" i="1"/>
  <c r="C30" i="1"/>
  <c r="B30" i="1"/>
  <c r="G29" i="1"/>
  <c r="F29" i="1"/>
  <c r="E29" i="1"/>
  <c r="D29" i="1"/>
  <c r="B29" i="1"/>
  <c r="P28" i="1"/>
  <c r="O28" i="1"/>
  <c r="N28" i="1"/>
  <c r="M28" i="1"/>
  <c r="L28" i="1"/>
  <c r="H28" i="1"/>
  <c r="G28" i="1"/>
  <c r="F28" i="1"/>
  <c r="E28" i="1"/>
  <c r="D28" i="1"/>
  <c r="C28" i="1"/>
  <c r="B28" i="1"/>
  <c r="P27" i="1"/>
  <c r="O27" i="1"/>
  <c r="N27" i="1"/>
  <c r="M27" i="1"/>
  <c r="L27" i="1"/>
  <c r="G27" i="1"/>
  <c r="F27" i="1"/>
  <c r="H27" i="1" s="1"/>
  <c r="E27" i="1"/>
  <c r="D27" i="1"/>
  <c r="C27" i="1"/>
  <c r="B27" i="1"/>
  <c r="Q26" i="1"/>
  <c r="P26" i="1"/>
  <c r="O26" i="1"/>
  <c r="N26" i="1"/>
  <c r="M26" i="1"/>
  <c r="L26" i="1"/>
  <c r="G26" i="1"/>
  <c r="H26" i="1" s="1"/>
  <c r="F26" i="1"/>
  <c r="E26" i="1"/>
  <c r="D26" i="1"/>
  <c r="C26" i="1"/>
  <c r="B26" i="1"/>
  <c r="Q25" i="1"/>
  <c r="R25" i="1" s="1"/>
  <c r="P25" i="1"/>
  <c r="O25" i="1"/>
  <c r="N25" i="1"/>
  <c r="M25" i="1"/>
  <c r="L25" i="1"/>
  <c r="G25" i="1"/>
  <c r="F25" i="1"/>
  <c r="H25" i="1" s="1"/>
  <c r="E25" i="1"/>
  <c r="D25" i="1"/>
  <c r="C25" i="1"/>
  <c r="B25" i="1"/>
  <c r="P24" i="1"/>
  <c r="O24" i="1"/>
  <c r="N24" i="1"/>
  <c r="M24" i="1"/>
  <c r="L24" i="1"/>
  <c r="G24" i="1"/>
  <c r="H24" i="1" s="1"/>
  <c r="F24" i="1"/>
  <c r="E24" i="1"/>
  <c r="D24" i="1"/>
  <c r="C24" i="1"/>
  <c r="B24" i="1"/>
  <c r="P23" i="1"/>
  <c r="O23" i="1"/>
  <c r="N23" i="1"/>
  <c r="M23" i="1"/>
  <c r="L23" i="1"/>
  <c r="G23" i="1"/>
  <c r="F23" i="1"/>
  <c r="H23" i="1" s="1"/>
  <c r="E23" i="1"/>
  <c r="D23" i="1"/>
  <c r="C23" i="1"/>
  <c r="B23" i="1"/>
  <c r="G22" i="1"/>
  <c r="F22" i="1"/>
  <c r="H22" i="1" s="1"/>
  <c r="E22" i="1"/>
  <c r="D22" i="1"/>
  <c r="C22" i="1"/>
  <c r="B22" i="1"/>
  <c r="O21" i="1"/>
  <c r="N21" i="1"/>
  <c r="M21" i="1"/>
  <c r="G21" i="1"/>
  <c r="H21" i="1" s="1"/>
  <c r="F21" i="1"/>
  <c r="E21" i="1"/>
  <c r="D21" i="1"/>
  <c r="C21" i="1"/>
  <c r="B21" i="1"/>
  <c r="P20" i="1"/>
  <c r="O20" i="1"/>
  <c r="N20" i="1"/>
  <c r="M20" i="1"/>
  <c r="L20" i="1"/>
  <c r="G20" i="1"/>
  <c r="F20" i="1"/>
  <c r="H20" i="1" s="1"/>
  <c r="E20" i="1"/>
  <c r="D20" i="1"/>
  <c r="C20" i="1"/>
  <c r="B20" i="1"/>
  <c r="P19" i="1"/>
  <c r="O19" i="1"/>
  <c r="N19" i="1"/>
  <c r="M19" i="1"/>
  <c r="L19" i="1"/>
  <c r="G19" i="1"/>
  <c r="H19" i="1" s="1"/>
  <c r="F19" i="1"/>
  <c r="E19" i="1"/>
  <c r="D19" i="1"/>
  <c r="C19" i="1"/>
  <c r="B19" i="1"/>
  <c r="Q18" i="1"/>
  <c r="P18" i="1"/>
  <c r="O18" i="1"/>
  <c r="N18" i="1"/>
  <c r="M18" i="1"/>
  <c r="L18" i="1"/>
  <c r="G18" i="1"/>
  <c r="F18" i="1"/>
  <c r="E18" i="1"/>
  <c r="D18" i="1"/>
  <c r="C18" i="1"/>
  <c r="B18" i="1"/>
  <c r="Q17" i="1"/>
  <c r="P17" i="1"/>
  <c r="O17" i="1"/>
  <c r="N17" i="1"/>
  <c r="M17" i="1"/>
  <c r="L17" i="1"/>
  <c r="H17" i="1"/>
  <c r="G17" i="1"/>
  <c r="F17" i="1"/>
  <c r="E17" i="1"/>
  <c r="D17" i="1"/>
  <c r="C17" i="1"/>
  <c r="B17" i="1"/>
  <c r="Q16" i="1"/>
  <c r="P16" i="1"/>
  <c r="O16" i="1"/>
  <c r="N16" i="1"/>
  <c r="M16" i="1"/>
  <c r="L16" i="1"/>
  <c r="G16" i="1"/>
  <c r="F16" i="1"/>
  <c r="H16" i="1" s="1"/>
  <c r="E16" i="1"/>
  <c r="D16" i="1"/>
  <c r="C16" i="1"/>
  <c r="B16" i="1"/>
  <c r="Q15" i="1"/>
  <c r="P15" i="1"/>
  <c r="O15" i="1"/>
  <c r="N15" i="1"/>
  <c r="M15" i="1"/>
  <c r="L15" i="1"/>
  <c r="G15" i="1"/>
  <c r="H15" i="1" s="1"/>
  <c r="F15" i="1"/>
  <c r="E15" i="1"/>
  <c r="D15" i="1"/>
  <c r="C15" i="1"/>
  <c r="B15" i="1"/>
  <c r="Q14" i="1"/>
  <c r="R14" i="1" s="1"/>
  <c r="P14" i="1"/>
  <c r="O14" i="1"/>
  <c r="N14" i="1"/>
  <c r="M14" i="1"/>
  <c r="L14" i="1"/>
  <c r="G14" i="1"/>
  <c r="F14" i="1"/>
  <c r="H14" i="1" s="1"/>
  <c r="E14" i="1"/>
  <c r="D14" i="1"/>
  <c r="C14" i="1"/>
  <c r="B14" i="1"/>
  <c r="Q13" i="1"/>
  <c r="R13" i="1" s="1"/>
  <c r="P13" i="1"/>
  <c r="O13" i="1"/>
  <c r="M13" i="1"/>
  <c r="L13" i="1"/>
  <c r="G13" i="1"/>
  <c r="H13" i="1" s="1"/>
  <c r="F13" i="1"/>
  <c r="E13" i="1"/>
  <c r="D13" i="1"/>
  <c r="C13" i="1"/>
  <c r="B13" i="1"/>
  <c r="Q12" i="1"/>
  <c r="P12" i="1"/>
  <c r="O12" i="1"/>
  <c r="N12" i="1"/>
  <c r="M12" i="1"/>
  <c r="L12" i="1"/>
  <c r="G12" i="1"/>
  <c r="F12" i="1"/>
  <c r="H12" i="1" s="1"/>
  <c r="E12" i="1"/>
  <c r="D12" i="1"/>
  <c r="C12" i="1"/>
  <c r="B12" i="1"/>
  <c r="G11" i="1"/>
  <c r="F11" i="1"/>
  <c r="H11" i="1" s="1"/>
  <c r="E11" i="1"/>
  <c r="D11" i="1"/>
  <c r="C11" i="1"/>
  <c r="B11" i="1"/>
  <c r="Q10" i="1"/>
  <c r="R10" i="1" s="1"/>
  <c r="P10" i="1"/>
  <c r="O10" i="1"/>
  <c r="N10" i="1"/>
  <c r="M10" i="1"/>
  <c r="L10" i="1"/>
  <c r="G10" i="1"/>
  <c r="H10" i="1" s="1"/>
  <c r="F10" i="1"/>
  <c r="E10" i="1"/>
  <c r="D10" i="1"/>
  <c r="C10" i="1"/>
  <c r="B10" i="1"/>
  <c r="Q9" i="1"/>
  <c r="P9" i="1"/>
  <c r="O9" i="1"/>
  <c r="N9" i="1"/>
  <c r="M9" i="1"/>
  <c r="L9" i="1"/>
  <c r="G9" i="1"/>
  <c r="F9" i="1"/>
  <c r="H9" i="1" s="1"/>
  <c r="E9" i="1"/>
  <c r="D9" i="1"/>
  <c r="C9" i="1"/>
  <c r="B9" i="1"/>
  <c r="Q8" i="1"/>
  <c r="P8" i="1"/>
  <c r="O8" i="1"/>
  <c r="N8" i="1"/>
  <c r="M8" i="1"/>
  <c r="L8" i="1"/>
  <c r="G8" i="1"/>
  <c r="H8" i="1" s="1"/>
  <c r="F8" i="1"/>
  <c r="E8" i="1"/>
  <c r="D8" i="1"/>
  <c r="C8" i="1"/>
  <c r="B8" i="1"/>
  <c r="Q7" i="1"/>
  <c r="P7" i="1"/>
  <c r="O7" i="1"/>
  <c r="N7" i="1"/>
  <c r="M7" i="1"/>
  <c r="L7" i="1"/>
  <c r="G7" i="1"/>
  <c r="F7" i="1"/>
  <c r="E7" i="1"/>
  <c r="D7" i="1"/>
  <c r="C7" i="1"/>
  <c r="B7" i="1"/>
  <c r="Q6" i="1"/>
  <c r="P6" i="1"/>
  <c r="O6" i="1"/>
  <c r="N6" i="1"/>
  <c r="M6" i="1"/>
  <c r="L6" i="1"/>
  <c r="H6" i="1"/>
  <c r="G6" i="1"/>
  <c r="F6" i="1"/>
  <c r="E6" i="1"/>
  <c r="D6" i="1"/>
  <c r="C6" i="1"/>
  <c r="B6" i="1"/>
  <c r="Q5" i="1"/>
  <c r="P5" i="1"/>
  <c r="O5" i="1"/>
  <c r="N5" i="1"/>
  <c r="M5" i="1"/>
  <c r="L5" i="1"/>
  <c r="G5" i="1"/>
  <c r="F5" i="1"/>
  <c r="H5" i="1" s="1"/>
  <c r="E5" i="1"/>
  <c r="D5" i="1"/>
  <c r="C5" i="1"/>
  <c r="B5" i="1"/>
  <c r="Q4" i="1"/>
  <c r="P4" i="1"/>
  <c r="O4" i="1"/>
  <c r="N4" i="1"/>
  <c r="M4" i="1"/>
  <c r="L4" i="1"/>
  <c r="G4" i="1"/>
  <c r="H4" i="1" s="1"/>
  <c r="F4" i="1"/>
  <c r="E4" i="1"/>
  <c r="D4" i="1"/>
  <c r="C4" i="1"/>
  <c r="B4" i="1"/>
  <c r="Q3" i="1"/>
  <c r="R3" i="1" s="1"/>
  <c r="P3" i="1"/>
  <c r="O3" i="1"/>
  <c r="N3" i="1"/>
  <c r="M3" i="1"/>
  <c r="L3" i="1"/>
  <c r="G3" i="1"/>
  <c r="F3" i="1"/>
  <c r="H3" i="1" s="1"/>
  <c r="E3" i="1"/>
  <c r="D3" i="1"/>
  <c r="C3" i="1"/>
  <c r="B3" i="1"/>
  <c r="R21" i="1" l="1"/>
  <c r="R15" i="1"/>
  <c r="R16" i="1"/>
  <c r="R26" i="1"/>
  <c r="R27" i="1"/>
  <c r="R6" i="1"/>
  <c r="R7" i="1"/>
  <c r="R17" i="1"/>
  <c r="R18" i="1"/>
  <c r="R28" i="1"/>
  <c r="H30" i="1"/>
  <c r="R4" i="1"/>
  <c r="R5" i="1"/>
  <c r="H7" i="1"/>
  <c r="R8" i="1"/>
  <c r="R9" i="1"/>
  <c r="R12" i="1"/>
  <c r="H18" i="1"/>
  <c r="R19" i="1"/>
  <c r="R20" i="1"/>
  <c r="H29" i="1"/>
  <c r="H32" i="1"/>
</calcChain>
</file>

<file path=xl/sharedStrings.xml><?xml version="1.0" encoding="utf-8"?>
<sst xmlns="http://schemas.openxmlformats.org/spreadsheetml/2006/main" count="80" uniqueCount="70">
  <si>
    <t>From SPE</t>
  </si>
  <si>
    <t>Donors</t>
  </si>
  <si>
    <t>HOMO</t>
  </si>
  <si>
    <t>HOMO-1</t>
  </si>
  <si>
    <t>LUMO</t>
  </si>
  <si>
    <t>LUMO+1</t>
  </si>
  <si>
    <t>ES</t>
  </si>
  <si>
    <t>ET</t>
  </si>
  <si>
    <t>DET1</t>
  </si>
  <si>
    <t>Acceptors</t>
  </si>
  <si>
    <t>1DTP-1D</t>
  </si>
  <si>
    <t>C70</t>
  </si>
  <si>
    <t>2DTP-1D</t>
  </si>
  <si>
    <t>DTz-R1</t>
  </si>
  <si>
    <t>BDT-1T-ID</t>
  </si>
  <si>
    <t>DTz-R3</t>
  </si>
  <si>
    <t>BDT-2T-ID</t>
  </si>
  <si>
    <t>F-BTA3</t>
  </si>
  <si>
    <t>BTR</t>
  </si>
  <si>
    <t>FCC-Cl-4Ph</t>
  </si>
  <si>
    <t>CD1</t>
  </si>
  <si>
    <t>FCC-Cl-6Ph</t>
  </si>
  <si>
    <t>D18</t>
  </si>
  <si>
    <t>FCC-Cl</t>
  </si>
  <si>
    <t>DTCPB</t>
  </si>
  <si>
    <t>FTCC-Br</t>
  </si>
  <si>
    <t>P1</t>
  </si>
  <si>
    <t>FTCC-Cl</t>
  </si>
  <si>
    <t>doesn't exist in the main excel</t>
  </si>
  <si>
    <t>P3HT</t>
  </si>
  <si>
    <t>FTTB-PDI4</t>
  </si>
  <si>
    <t>P3TEA</t>
  </si>
  <si>
    <t>HD-4Cl</t>
  </si>
  <si>
    <t>PB2</t>
  </si>
  <si>
    <t>HDO-4Cl</t>
  </si>
  <si>
    <t>PBDB-T</t>
  </si>
  <si>
    <t>ICBA</t>
  </si>
  <si>
    <t>PBDB-TF(PM6)</t>
  </si>
  <si>
    <t>IDIC-Br</t>
  </si>
  <si>
    <t>PBDB-TS-4Cl</t>
  </si>
  <si>
    <t>IDIC-S</t>
  </si>
  <si>
    <t>PBDB-TS</t>
  </si>
  <si>
    <t>IDIC</t>
  </si>
  <si>
    <t>PBDB-TSCl</t>
  </si>
  <si>
    <t>IO-4Cl</t>
  </si>
  <si>
    <t>PBQx-TCl</t>
  </si>
  <si>
    <t>IT-4F</t>
  </si>
  <si>
    <t>PCDTBT</t>
  </si>
  <si>
    <t>ITCC</t>
  </si>
  <si>
    <t>PDTBTBz-2Fanti</t>
  </si>
  <si>
    <t>ITIC-F</t>
  </si>
  <si>
    <t>same as IT-4F (same smiles)</t>
  </si>
  <si>
    <t>PPDT2FBT</t>
  </si>
  <si>
    <t>ITIC-M</t>
  </si>
  <si>
    <t>PTB7-Th(PCE10)</t>
  </si>
  <si>
    <t>N2200</t>
  </si>
  <si>
    <t>PTB7</t>
  </si>
  <si>
    <t>PNB-10</t>
  </si>
  <si>
    <t>PTQ10</t>
  </si>
  <si>
    <t>PNP</t>
  </si>
  <si>
    <t>PTVT-T</t>
  </si>
  <si>
    <t>tPDI2N-EH</t>
  </si>
  <si>
    <t>PTVT-V</t>
  </si>
  <si>
    <t>Y6O</t>
  </si>
  <si>
    <t>TPD-3F</t>
  </si>
  <si>
    <t>WF3</t>
  </si>
  <si>
    <t>WF3F</t>
  </si>
  <si>
    <t>WF3S</t>
  </si>
  <si>
    <t>E in eV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</si>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</sst>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8CDB-724D-4845-AB23-5F6049B1B8BB}">
  <dimension ref="A1:S32"/>
  <sheetViews>
    <sheetView tabSelected="1" workbookViewId="0">
      <selection activeCell="L11" sqref="L11:P11"/>
    </sheetView>
  </sheetViews>
  <sheetFormatPr baseColWidth="10" defaultRowHeight="16" x14ac:dyDescent="0.2"/>
  <sheetData>
    <row r="1" spans="1:19" ht="18" x14ac:dyDescent="0.2">
      <c r="A1" s="6" t="s">
        <v>0</v>
      </c>
      <c r="B1" s="1"/>
      <c r="C1" s="5" t="s">
        <v>68</v>
      </c>
      <c r="K1" s="6" t="s">
        <v>0</v>
      </c>
      <c r="M1" s="5" t="s">
        <v>68</v>
      </c>
    </row>
    <row r="2" spans="1:19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69</v>
      </c>
      <c r="K2" s="6" t="s">
        <v>9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69</v>
      </c>
    </row>
    <row r="3" spans="1:19" x14ac:dyDescent="0.2">
      <c r="A3" s="6" t="s">
        <v>10</v>
      </c>
      <c r="B3" s="2">
        <f>-0.09633*27.2114</f>
        <v>-2.6212741620000002</v>
      </c>
      <c r="C3" s="2">
        <f>-0.17772*27.2114</f>
        <v>-4.8360100079999997</v>
      </c>
      <c r="D3" s="2">
        <f>-0.08379*27.2114</f>
        <v>-2.2800432060000002</v>
      </c>
      <c r="E3" s="2">
        <f xml:space="preserve"> -0.08172*27.2114</f>
        <v>-2.223715608</v>
      </c>
      <c r="F3" s="2">
        <f xml:space="preserve">  -6276.31002036 *27.2114</f>
        <v>-170787.18248802409</v>
      </c>
      <c r="G3" s="2">
        <f xml:space="preserve">   -6276.32598701  *27.2114</f>
        <v>-170787.61696292393</v>
      </c>
      <c r="H3">
        <f>G3-F3</f>
        <v>-0.43447489984100685</v>
      </c>
      <c r="I3">
        <v>57</v>
      </c>
      <c r="K3" s="6" t="s">
        <v>11</v>
      </c>
      <c r="L3" s="2">
        <f xml:space="preserve"> -0.21814*27.2114</f>
        <v>-5.9358947960000004</v>
      </c>
      <c r="M3" s="2">
        <f>-0.22007*27.2114</f>
        <v>-5.9884127979999997</v>
      </c>
      <c r="N3" s="2">
        <f xml:space="preserve"> -0.11492 *27.2114</f>
        <v>-3.127134088</v>
      </c>
      <c r="O3" s="2">
        <f xml:space="preserve">  -0.1124 *27.2114</f>
        <v>-3.0585613600000001</v>
      </c>
      <c r="P3" s="2">
        <f xml:space="preserve">  -2667.21262297  *27.2114</f>
        <v>-72578.589568685871</v>
      </c>
      <c r="Q3" s="2">
        <f xml:space="preserve"> -2667.14007529 *27.2114</f>
        <v>-72576.615444746305</v>
      </c>
      <c r="R3">
        <f>Q3-P3</f>
        <v>1.9741239395661978</v>
      </c>
      <c r="S3">
        <v>70</v>
      </c>
    </row>
    <row r="4" spans="1:19" x14ac:dyDescent="0.2">
      <c r="A4" s="6" t="s">
        <v>12</v>
      </c>
      <c r="B4" s="2">
        <f xml:space="preserve"> -0.09318*27.2114</f>
        <v>-2.535558252</v>
      </c>
      <c r="C4" s="2">
        <f>-0.10196 *27.2114</f>
        <v>-2.7744743440000001</v>
      </c>
      <c r="D4" s="2">
        <f>-0.08381 *27.2114</f>
        <v>-2.2805874340000001</v>
      </c>
      <c r="E4" s="2">
        <f xml:space="preserve"> -0.07962*27.2114</f>
        <v>-2.166571668</v>
      </c>
      <c r="F4" s="2">
        <f xml:space="preserve">  -8370.45343442  *27.2114</f>
        <v>-227771.7565853764</v>
      </c>
      <c r="G4" s="2">
        <f xml:space="preserve"> -8370.46644004   *27.2114</f>
        <v>-227772.11048650445</v>
      </c>
      <c r="H4">
        <f t="shared" ref="H4:H8" si="0">G4-F4</f>
        <v>-0.35390112805180252</v>
      </c>
      <c r="I4">
        <v>70</v>
      </c>
      <c r="K4" s="6" t="s">
        <v>13</v>
      </c>
      <c r="L4" s="2">
        <f xml:space="preserve"> -0.14689*27.2114</f>
        <v>-3.9970825460000001</v>
      </c>
      <c r="M4" s="2">
        <f xml:space="preserve"> -0.15822 *27.2114</f>
        <v>-4.3053877080000005</v>
      </c>
      <c r="N4" s="2">
        <f xml:space="preserve"> -0.1361  *27.2114</f>
        <v>-3.7034715400000002</v>
      </c>
      <c r="O4" s="2">
        <f xml:space="preserve">   -0.12251*27.2114</f>
        <v>-3.333668614</v>
      </c>
      <c r="P4" s="2">
        <f xml:space="preserve">   -6583.20302838  *27.2114</f>
        <v>-179138.17088645956</v>
      </c>
      <c r="Q4" s="2">
        <f xml:space="preserve">  -6583.19669482 *27.2114</f>
        <v>-179137.99854142495</v>
      </c>
      <c r="R4">
        <f t="shared" ref="R4:R10" si="1">Q4-P4</f>
        <v>0.17234503460349515</v>
      </c>
      <c r="S4">
        <v>84</v>
      </c>
    </row>
    <row r="5" spans="1:19" x14ac:dyDescent="0.2">
      <c r="A5" s="6" t="s">
        <v>14</v>
      </c>
      <c r="B5" s="2">
        <f>-0.10003*27.2114</f>
        <v>-2.7219563419999999</v>
      </c>
      <c r="C5" s="2">
        <f>-0.10369*27.2114</f>
        <v>-2.8215500660000004</v>
      </c>
      <c r="D5" s="2">
        <f xml:space="preserve"> -0.08369 *27.2114</f>
        <v>-2.277322066</v>
      </c>
      <c r="E5" s="2">
        <f>-0.08036*27.2114</f>
        <v>-2.186708104</v>
      </c>
      <c r="F5" s="2">
        <f xml:space="preserve">   -5554.11036892  *27.2114</f>
        <v>-151135.11889282969</v>
      </c>
      <c r="G5" s="2">
        <f xml:space="preserve">  -5554.12703716  *27.2114</f>
        <v>-151135.57245897563</v>
      </c>
      <c r="H5">
        <f t="shared" si="0"/>
        <v>-0.45356614593765698</v>
      </c>
      <c r="I5">
        <v>56</v>
      </c>
      <c r="K5" s="6" t="s">
        <v>15</v>
      </c>
      <c r="L5" s="2">
        <f xml:space="preserve"> -0.17981*27.2114</f>
        <v>-4.8928818339999998</v>
      </c>
      <c r="M5" s="2">
        <f>-0.18961*27.2114</f>
        <v>-5.1595535540000004</v>
      </c>
      <c r="N5" s="2">
        <f>-0.14171  *27.2114</f>
        <v>-3.8561274940000003</v>
      </c>
      <c r="O5" s="2">
        <f>-0.13456 *27.2114</f>
        <v>-3.6615659840000006</v>
      </c>
      <c r="P5" s="2">
        <f xml:space="preserve">  -6782.44278412     *27.2114</f>
        <v>-184559.76357580299</v>
      </c>
      <c r="Q5" s="2">
        <f xml:space="preserve"> -6782.41184976   *27.2114</f>
        <v>-184558.92180855927</v>
      </c>
      <c r="R5">
        <f t="shared" si="1"/>
        <v>0.8417672437208239</v>
      </c>
      <c r="S5">
        <v>84</v>
      </c>
    </row>
    <row r="6" spans="1:19" x14ac:dyDescent="0.2">
      <c r="A6" s="6" t="s">
        <v>16</v>
      </c>
      <c r="B6" s="2">
        <f xml:space="preserve"> -0.16975*27.2114</f>
        <v>-4.6191351500000009</v>
      </c>
      <c r="C6" s="2">
        <f>-0.19747 *27.2114</f>
        <v>-5.3734351580000004</v>
      </c>
      <c r="D6" s="2">
        <f>-0.09411 *27.2114</f>
        <v>-2.5608648540000001</v>
      </c>
      <c r="E6" s="2">
        <f>-0.09197*27.2114</f>
        <v>-2.5026324579999999</v>
      </c>
      <c r="F6" s="2">
        <f xml:space="preserve">   -7131.37883536  *27.2114</f>
        <v>-194054.80204051512</v>
      </c>
      <c r="G6" s="2">
        <f xml:space="preserve">   -7131.31815759 *27.2114</f>
        <v>-194053.15091344452</v>
      </c>
      <c r="H6">
        <f t="shared" si="0"/>
        <v>1.651127070595976</v>
      </c>
      <c r="I6">
        <v>66</v>
      </c>
      <c r="K6" s="6" t="s">
        <v>17</v>
      </c>
      <c r="L6" s="2">
        <f xml:space="preserve">  -0.14679*27.2114</f>
        <v>-3.9943614060000003</v>
      </c>
      <c r="M6" s="2">
        <f xml:space="preserve"> -0.16543 *27.2114</f>
        <v>-4.5015819019999999</v>
      </c>
      <c r="N6" s="2">
        <f>-0.13637   *27.2114</f>
        <v>-3.7108186179999998</v>
      </c>
      <c r="O6" s="2">
        <f xml:space="preserve"> -0.13044 *27.2114</f>
        <v>-3.549455016</v>
      </c>
      <c r="P6" s="2">
        <f xml:space="preserve">  -6860.62979228   *27.2114</f>
        <v>-186687.34152964802</v>
      </c>
      <c r="Q6" s="2">
        <f xml:space="preserve"> -6860.63674541   *27.2114</f>
        <v>-186687.53073404968</v>
      </c>
      <c r="R6">
        <f t="shared" si="1"/>
        <v>-0.18920440165675245</v>
      </c>
      <c r="S6">
        <v>84</v>
      </c>
    </row>
    <row r="7" spans="1:19" x14ac:dyDescent="0.2">
      <c r="A7" s="6" t="s">
        <v>18</v>
      </c>
      <c r="B7" s="2">
        <f xml:space="preserve"> -0.09924*27.2114</f>
        <v>-2.7004593359999998</v>
      </c>
      <c r="C7" s="2">
        <f xml:space="preserve"> -0.1123*27.2114</f>
        <v>-3.0558402199999999</v>
      </c>
      <c r="D7" s="2">
        <f xml:space="preserve"> -0.09195 *27.2114</f>
        <v>-2.50208823</v>
      </c>
      <c r="E7" s="2">
        <f>-0.08705*27.2114</f>
        <v>-2.3687523700000002</v>
      </c>
      <c r="F7" s="2">
        <f xml:space="preserve">    -10265.1958847  *27.2114</f>
        <v>-279330.35129692563</v>
      </c>
      <c r="G7" s="2">
        <f xml:space="preserve">  -10265.2000201  *27.2114</f>
        <v>-279330.46382694913</v>
      </c>
      <c r="H7">
        <f t="shared" si="0"/>
        <v>-0.11253002349985763</v>
      </c>
      <c r="I7">
        <v>68</v>
      </c>
      <c r="K7" s="6" t="s">
        <v>19</v>
      </c>
      <c r="L7" s="2">
        <f xml:space="preserve"> -0.19184*27.2114</f>
        <v>-5.2202349760000004</v>
      </c>
      <c r="M7" s="2">
        <f xml:space="preserve">  -0.20803*27.2114</f>
        <v>-5.6607875420000004</v>
      </c>
      <c r="N7" s="2">
        <f xml:space="preserve"> -0.15013 *27.2114</f>
        <v>-4.0852474820000007</v>
      </c>
      <c r="O7" s="2">
        <f>-0.14371 *27.2114</f>
        <v>-3.9105502940000001</v>
      </c>
      <c r="P7" s="2">
        <f xml:space="preserve">   -7102.65017477   *27.2114</f>
        <v>-193273.0549657364</v>
      </c>
      <c r="Q7" s="2">
        <f xml:space="preserve"> -7102.65227778     *27.2114</f>
        <v>-193273.11219158271</v>
      </c>
      <c r="R7">
        <f t="shared" si="1"/>
        <v>-5.7225846307119355E-2</v>
      </c>
      <c r="S7">
        <v>79</v>
      </c>
    </row>
    <row r="8" spans="1:19" x14ac:dyDescent="0.2">
      <c r="A8" s="6" t="s">
        <v>20</v>
      </c>
      <c r="B8" s="2">
        <f>-0.11918*27.2114</f>
        <v>-3.2430546520000001</v>
      </c>
      <c r="C8" s="2">
        <f>-0.16216*27.2114</f>
        <v>-4.4126006240000004</v>
      </c>
      <c r="D8" s="2">
        <f>-0.08326 *27.2114</f>
        <v>-2.2656211640000001</v>
      </c>
      <c r="E8" s="2">
        <f xml:space="preserve"> -0.05842*27.2114</f>
        <v>-1.5896899880000002</v>
      </c>
      <c r="F8" s="2">
        <f xml:space="preserve">  -6427.44329444  *27.2114</f>
        <v>-174899.7304623246</v>
      </c>
      <c r="G8" s="2">
        <f xml:space="preserve">  -6427.46215251  *27.2114</f>
        <v>-174900.24361681062</v>
      </c>
      <c r="H8">
        <f t="shared" si="0"/>
        <v>-0.51315448601962999</v>
      </c>
      <c r="I8">
        <v>41</v>
      </c>
      <c r="K8" s="6" t="s">
        <v>21</v>
      </c>
      <c r="L8" s="2">
        <f xml:space="preserve"> -0.16729*27.2114</f>
        <v>-4.5521951060000001</v>
      </c>
      <c r="M8" s="2">
        <f>-0.17486 *27.2114</f>
        <v>-4.7581854039999998</v>
      </c>
      <c r="N8" s="2">
        <f>-0.12923 *27.2114</f>
        <v>-3.5165292220000004</v>
      </c>
      <c r="O8" s="2">
        <f xml:space="preserve"> -0.11935  *27.2114</f>
        <v>-3.2476805899999999</v>
      </c>
      <c r="P8" s="2">
        <f>-7406.83093719     *27.2114</f>
        <v>-201550.23936425199</v>
      </c>
      <c r="Q8" s="2">
        <f xml:space="preserve"> -7406.80005195  *27.2114</f>
        <v>-201549.39893363224</v>
      </c>
      <c r="R8">
        <f t="shared" si="1"/>
        <v>0.84043061974807642</v>
      </c>
      <c r="S8">
        <v>91</v>
      </c>
    </row>
    <row r="9" spans="1:19" x14ac:dyDescent="0.2">
      <c r="A9" s="6" t="s">
        <v>22</v>
      </c>
      <c r="B9" s="2">
        <f xml:space="preserve"> -0.17567*27.2114</f>
        <v>-4.7802266380000002</v>
      </c>
      <c r="C9" s="2">
        <f>-0.18583*27.2114</f>
        <v>-5.0566944620000003</v>
      </c>
      <c r="D9" s="2">
        <f>-0.06565 *27.2114</f>
        <v>-1.7864284100000001</v>
      </c>
      <c r="E9" s="2">
        <f>-0.0609 *27.2114</f>
        <v>-1.6571742600000001</v>
      </c>
      <c r="F9" s="2">
        <f xml:space="preserve"> -6922.97499723  *27.2114</f>
        <v>-188383.84183962442</v>
      </c>
      <c r="G9" s="2">
        <f xml:space="preserve"> -6922.90182846   *27.2114</f>
        <v>-188381.85081495644</v>
      </c>
      <c r="H9">
        <f>G9-F9</f>
        <v>1.9910246679792181</v>
      </c>
      <c r="I9">
        <v>47</v>
      </c>
      <c r="K9" s="6" t="s">
        <v>23</v>
      </c>
      <c r="L9" s="2">
        <f xml:space="preserve"> -0.18748*27.2114</f>
        <v>-5.1015932720000006</v>
      </c>
      <c r="M9" s="2">
        <f>-0.22288*27.2114</f>
        <v>-6.0648768320000004</v>
      </c>
      <c r="N9" s="2">
        <f xml:space="preserve"> -0.13723*27.2114</f>
        <v>-3.7342204219999999</v>
      </c>
      <c r="O9" s="2">
        <f>-0.13381 *27.2114</f>
        <v>-3.6411574340000006</v>
      </c>
      <c r="P9" s="2">
        <f xml:space="preserve">   -6493.13550863  *27.2114</f>
        <v>-176687.30757953439</v>
      </c>
      <c r="Q9" s="2">
        <f xml:space="preserve">  -6493.10876326   *27.2114</f>
        <v>-176686.57980057318</v>
      </c>
      <c r="R9">
        <f t="shared" si="1"/>
        <v>0.7277789612126071</v>
      </c>
      <c r="S9">
        <v>55</v>
      </c>
    </row>
    <row r="10" spans="1:19" x14ac:dyDescent="0.2">
      <c r="A10" s="6" t="s">
        <v>24</v>
      </c>
      <c r="B10" s="2">
        <f xml:space="preserve"> -0.18658*27.2114</f>
        <v>-5.0771030120000002</v>
      </c>
      <c r="C10" s="2">
        <f>-0.23709  *27.2114</f>
        <v>-6.4515508260000001</v>
      </c>
      <c r="D10" s="2">
        <f xml:space="preserve"> -0.12011  *27.2114</f>
        <v>-3.2683612539999998</v>
      </c>
      <c r="E10" s="2">
        <f>-0.0526  *27.2114</f>
        <v>-1.4313196400000001</v>
      </c>
      <c r="F10" s="2">
        <f xml:space="preserve"> -1658.021224    *27.2114</f>
        <v>-45117.078734753602</v>
      </c>
      <c r="G10" s="2">
        <f xml:space="preserve">  -1657.9651035   *27.2114</f>
        <v>-45115.551617379897</v>
      </c>
      <c r="H10">
        <f>G10-F10</f>
        <v>1.5271173737055506</v>
      </c>
      <c r="I10">
        <v>29</v>
      </c>
      <c r="K10" s="6" t="s">
        <v>25</v>
      </c>
      <c r="L10" s="2">
        <f xml:space="preserve"> -0.18423*27.2114</f>
        <v>-5.0131562220000001</v>
      </c>
      <c r="M10" s="2">
        <f>-0.20088*27.2114</f>
        <v>-5.4662260320000007</v>
      </c>
      <c r="N10" s="2">
        <f>-0.15457*27.2114</f>
        <v>-4.2060660980000009</v>
      </c>
      <c r="O10" s="2">
        <f>-0.15275*27.2114</f>
        <v>-4.1565413500000004</v>
      </c>
      <c r="P10" s="2">
        <f xml:space="preserve">  -10401.4984288  *27.2114</f>
        <v>-283039.3343454483</v>
      </c>
      <c r="Q10" s="2">
        <f xml:space="preserve">  -10401.5206117   *27.2114</f>
        <v>-283039.93797321338</v>
      </c>
      <c r="R10">
        <f t="shared" si="1"/>
        <v>-0.60362776508554816</v>
      </c>
      <c r="S10">
        <v>55</v>
      </c>
    </row>
    <row r="11" spans="1:19" x14ac:dyDescent="0.2">
      <c r="A11" s="6" t="s">
        <v>26</v>
      </c>
      <c r="B11" s="2">
        <f xml:space="preserve"> -0.22875*27.2114</f>
        <v>-6.2246077500000006</v>
      </c>
      <c r="C11" s="2">
        <f xml:space="preserve">  -0.2386*27.2114</f>
        <v>-6.4926400400000004</v>
      </c>
      <c r="D11" s="2">
        <f xml:space="preserve"> -0.19019 *27.2114</f>
        <v>-5.1753361660000001</v>
      </c>
      <c r="E11" s="2">
        <f xml:space="preserve"> -0.17307 *27.2114</f>
        <v>-4.7094769980000004</v>
      </c>
      <c r="F11" s="2">
        <f xml:space="preserve">  -6405.96090881   *27.2114</f>
        <v>-174315.16467399243</v>
      </c>
      <c r="G11" s="2">
        <f xml:space="preserve"> -6405.991603   *27.2114</f>
        <v>-174315.99990587423</v>
      </c>
      <c r="H11">
        <f t="shared" ref="H11:H30" si="2">G11-F11</f>
        <v>-0.83523188179242425</v>
      </c>
      <c r="I11">
        <v>53</v>
      </c>
      <c r="K11" s="7" t="s">
        <v>27</v>
      </c>
      <c r="L11" s="4"/>
      <c r="M11" s="4"/>
      <c r="N11" s="4"/>
      <c r="O11" s="4"/>
      <c r="P11" s="4"/>
      <c r="Q11" s="3"/>
      <c r="R11" s="3" t="s">
        <v>28</v>
      </c>
    </row>
    <row r="12" spans="1:19" x14ac:dyDescent="0.2">
      <c r="A12" s="6" t="s">
        <v>29</v>
      </c>
      <c r="B12" s="2">
        <f xml:space="preserve"> -0.19355*27.2114</f>
        <v>-5.2667664700000003</v>
      </c>
      <c r="C12" s="2">
        <f xml:space="preserve"> -0.23936*27.2114</f>
        <v>-6.5133207039999998</v>
      </c>
      <c r="D12" s="2">
        <f xml:space="preserve"> -0.00862 *27.2114</f>
        <v>-0.23456226799999999</v>
      </c>
      <c r="E12" s="2">
        <f>0.02743 *27.2114</f>
        <v>0.74640870199999998</v>
      </c>
      <c r="F12" s="2">
        <f xml:space="preserve">  -867.473064013    *27.2114</f>
        <v>-23605.156534083348</v>
      </c>
      <c r="G12" s="2">
        <f xml:space="preserve"> -867.366122226   *27.2114</f>
        <v>-23602.246498340577</v>
      </c>
      <c r="H12">
        <f t="shared" si="2"/>
        <v>2.9100357427705603</v>
      </c>
      <c r="I12">
        <v>5</v>
      </c>
      <c r="K12" s="6" t="s">
        <v>30</v>
      </c>
      <c r="L12" s="2">
        <f xml:space="preserve"> -0.1528*27.2114</f>
        <v>-4.1579019199999996</v>
      </c>
      <c r="M12" s="2">
        <f xml:space="preserve">  -0.16852*27.2114</f>
        <v>-4.5856651280000005</v>
      </c>
      <c r="N12" s="2">
        <f>-0.14261  *27.2114</f>
        <v>-3.8806177539999998</v>
      </c>
      <c r="O12" s="2">
        <f>-0.12285  *27.2114</f>
        <v>-3.34292049</v>
      </c>
      <c r="P12" s="2">
        <f xml:space="preserve">   -7988.64009193   *27.2114</f>
        <v>-217382.08099754402</v>
      </c>
      <c r="Q12" s="2">
        <f xml:space="preserve"> -7988.65489122  *27.2114</f>
        <v>-217382.48370694389</v>
      </c>
      <c r="R12">
        <f t="shared" ref="R12:R21" si="3">Q12-P12</f>
        <v>-0.40270939987385646</v>
      </c>
      <c r="S12">
        <v>146</v>
      </c>
    </row>
    <row r="13" spans="1:19" x14ac:dyDescent="0.2">
      <c r="A13" s="6" t="s">
        <v>31</v>
      </c>
      <c r="B13" s="2">
        <f>-0.1475*27.2114</f>
        <v>-4.0136814999999997</v>
      </c>
      <c r="C13" s="2">
        <f>-0.1865*27.2114</f>
        <v>-5.0749260999999999</v>
      </c>
      <c r="D13" s="2">
        <f>-0.10751 *27.2114</f>
        <v>-2.9254976140000002</v>
      </c>
      <c r="E13" s="2">
        <f>-0.09217 *27.2114</f>
        <v>-2.5080747380000004</v>
      </c>
      <c r="F13" s="2">
        <f xml:space="preserve">  -8390.49073609  *27.2114</f>
        <v>-228316.99961603942</v>
      </c>
      <c r="G13" s="2">
        <f xml:space="preserve">  -8390.46095463  *27.2114</f>
        <v>-228316.18922081878</v>
      </c>
      <c r="H13">
        <f t="shared" si="2"/>
        <v>0.81039522064384073</v>
      </c>
      <c r="I13">
        <v>52</v>
      </c>
      <c r="K13" s="6" t="s">
        <v>32</v>
      </c>
      <c r="L13" s="2">
        <f>-0.14463*27.2114</f>
        <v>-3.9355847820000003</v>
      </c>
      <c r="M13" s="2">
        <f xml:space="preserve"> -0.15209*27.2114</f>
        <v>-4.1385818260000002</v>
      </c>
      <c r="N13" s="2">
        <f xml:space="preserve"> -0.1171 *27.2114</f>
        <v>-3.18645494</v>
      </c>
      <c r="O13" s="2">
        <f xml:space="preserve"> -0.11016 *27.2114</f>
        <v>-2.9976078240000001</v>
      </c>
      <c r="P13" s="2">
        <f xml:space="preserve">  -8221.6302247    *27.2114</f>
        <v>-223722.06869640161</v>
      </c>
      <c r="Q13" s="2">
        <f xml:space="preserve"> -8221.643424    *27.2114</f>
        <v>-223722.42786783361</v>
      </c>
      <c r="R13">
        <f t="shared" si="3"/>
        <v>-0.35917143200640567</v>
      </c>
      <c r="S13">
        <v>59</v>
      </c>
    </row>
    <row r="14" spans="1:19" x14ac:dyDescent="0.2">
      <c r="A14" s="6" t="s">
        <v>33</v>
      </c>
      <c r="B14" s="2">
        <f xml:space="preserve"> -0.18129*27.2114</f>
        <v>-4.9331547060000007</v>
      </c>
      <c r="C14" s="2">
        <f xml:space="preserve"> -0.21175*27.2114</f>
        <v>-5.7620139500000001</v>
      </c>
      <c r="D14" s="2">
        <f xml:space="preserve"> -0.08602 *27.2114</f>
        <v>-2.3407246280000003</v>
      </c>
      <c r="E14" s="2">
        <f>-0.06808 *27.2114</f>
        <v>-1.8525521120000001</v>
      </c>
      <c r="F14" s="2">
        <f xml:space="preserve">   -5308.41920652 *27.2114</f>
        <v>-144449.51839629834</v>
      </c>
      <c r="G14" s="2">
        <f xml:space="preserve"> -5308.35665716  *27.2114</f>
        <v>-144447.81634064365</v>
      </c>
      <c r="H14">
        <f t="shared" si="2"/>
        <v>1.7020556546922307</v>
      </c>
      <c r="I14">
        <v>37</v>
      </c>
      <c r="K14" s="6" t="s">
        <v>34</v>
      </c>
      <c r="L14" s="2">
        <f xml:space="preserve"> -0.14694*27.2114</f>
        <v>-3.9984431159999998</v>
      </c>
      <c r="M14" s="2">
        <f xml:space="preserve"> -0.16045 *27.2114</f>
        <v>-4.3660691300000005</v>
      </c>
      <c r="N14" s="2">
        <f xml:space="preserve"> -0.10184 *27.2114</f>
        <v>-2.771208976</v>
      </c>
      <c r="O14" s="2">
        <f xml:space="preserve">  -0.09722*27.2114</f>
        <v>-2.6454923080000001</v>
      </c>
      <c r="P14" s="2">
        <f xml:space="preserve">  -8296.85114354*27.2114</f>
        <v>-225768.93520732436</v>
      </c>
      <c r="Q14" s="2">
        <f xml:space="preserve"> -8296.83556295  *27.2114</f>
        <v>-225768.51123765766</v>
      </c>
      <c r="R14">
        <f t="shared" si="3"/>
        <v>0.42396966670639813</v>
      </c>
      <c r="S14">
        <v>59</v>
      </c>
    </row>
    <row r="15" spans="1:19" x14ac:dyDescent="0.2">
      <c r="A15" s="6" t="s">
        <v>35</v>
      </c>
      <c r="B15" s="2">
        <f>-0.1813*27.2114</f>
        <v>-4.9334268200000002</v>
      </c>
      <c r="C15" s="2">
        <f xml:space="preserve"> -0.19826*27.2114</f>
        <v>-5.3949321640000001</v>
      </c>
      <c r="D15" s="2">
        <f xml:space="preserve"> -0.09546 *27.2114</f>
        <v>-2.5976002440000001</v>
      </c>
      <c r="E15" s="2">
        <f xml:space="preserve"> -0.07704 *27.2114</f>
        <v>-2.096366256</v>
      </c>
      <c r="F15" s="2">
        <f xml:space="preserve"> -6053.55633206  *27.2114</f>
        <v>-164725.74277421751</v>
      </c>
      <c r="G15" s="2">
        <f xml:space="preserve">   -6053.49587087  *27.2114</f>
        <v>-164724.0975405919</v>
      </c>
      <c r="H15">
        <f t="shared" si="2"/>
        <v>1.6452336256043054</v>
      </c>
      <c r="I15">
        <v>46</v>
      </c>
      <c r="K15" s="6" t="s">
        <v>36</v>
      </c>
      <c r="L15" s="2">
        <f>-0.18414*27.2114</f>
        <v>-5.0107071960000003</v>
      </c>
      <c r="M15" s="2">
        <f xml:space="preserve"> -0.19799 *27.2114</f>
        <v>-5.3875850860000005</v>
      </c>
      <c r="N15" s="2">
        <f xml:space="preserve"> -0.1252   *27.2114</f>
        <v>-3.4068672800000002</v>
      </c>
      <c r="O15" s="2">
        <f xml:space="preserve"> -0.10465 *27.2114</f>
        <v>-2.8476730100000003</v>
      </c>
      <c r="P15" s="2">
        <f xml:space="preserve"> -2981.56753389   *27.2114</f>
        <v>-81132.626791694347</v>
      </c>
      <c r="Q15" s="2">
        <f xml:space="preserve"> -2981.53942177  *27.2114</f>
        <v>-81131.861821552186</v>
      </c>
      <c r="R15">
        <f>Q15-P15</f>
        <v>0.76497014216147363</v>
      </c>
      <c r="S15">
        <v>78</v>
      </c>
    </row>
    <row r="16" spans="1:19" x14ac:dyDescent="0.2">
      <c r="A16" s="6" t="s">
        <v>37</v>
      </c>
      <c r="B16" s="2">
        <f>-0.18592*27.2114</f>
        <v>-5.0591434880000001</v>
      </c>
      <c r="C16" s="2">
        <f>-0.20146*27.2114</f>
        <v>-5.4820086440000004</v>
      </c>
      <c r="D16" s="2">
        <f>-0.09418*27.2114</f>
        <v>-2.5627696520000001</v>
      </c>
      <c r="E16" s="2">
        <f>-0.07825 *27.2114</f>
        <v>-2.1292920500000001</v>
      </c>
      <c r="F16" s="2">
        <f xml:space="preserve">   -6094.91178724 *27.2114</f>
        <v>-165851.08260730255</v>
      </c>
      <c r="G16" s="2">
        <f xml:space="preserve">   -6094.84993955  *27.2114</f>
        <v>-165849.39964507089</v>
      </c>
      <c r="H16">
        <f t="shared" si="2"/>
        <v>1.6829622316581663</v>
      </c>
      <c r="I16">
        <v>46</v>
      </c>
      <c r="K16" s="6" t="s">
        <v>38</v>
      </c>
      <c r="L16" s="2">
        <f xml:space="preserve"> -0.15264*27.2114</f>
        <v>-4.1535480959999997</v>
      </c>
      <c r="M16" s="2">
        <f>-0.18373 *27.2114</f>
        <v>-4.9995505220000007</v>
      </c>
      <c r="N16" s="2">
        <f xml:space="preserve"> -0.12309  *27.2114</f>
        <v>-3.3494512260000002</v>
      </c>
      <c r="O16" s="2">
        <f>-0.11022  *27.2114</f>
        <v>-2.9992405080000002</v>
      </c>
      <c r="P16" s="2">
        <f xml:space="preserve">   -9175.58500938    *27.2114</f>
        <v>-249680.51392424293</v>
      </c>
      <c r="Q16" s="2">
        <f xml:space="preserve">  -9175.54990276  *27.2114</f>
        <v>-249679.55862396347</v>
      </c>
      <c r="R16">
        <f t="shared" si="3"/>
        <v>0.9553002794564236</v>
      </c>
      <c r="S16">
        <v>50</v>
      </c>
    </row>
    <row r="17" spans="1:19" x14ac:dyDescent="0.2">
      <c r="A17" s="6" t="s">
        <v>39</v>
      </c>
      <c r="B17" s="2">
        <f xml:space="preserve"> -0.18061*27.2114</f>
        <v>-4.9146509539999998</v>
      </c>
      <c r="C17" s="2">
        <f xml:space="preserve"> -0.19574*27.2114</f>
        <v>-5.3263594359999997</v>
      </c>
      <c r="D17" s="2">
        <f xml:space="preserve">  -0.09493*27.2114</f>
        <v>-2.583178202</v>
      </c>
      <c r="E17" s="2">
        <f xml:space="preserve"> -0.08296 *27.2114</f>
        <v>-2.2574577440000003</v>
      </c>
      <c r="F17" s="2">
        <f xml:space="preserve"> -7769.08929195  *27.2114</f>
        <v>-211407.79635896825</v>
      </c>
      <c r="G17" s="2">
        <f xml:space="preserve">   -7769.03544353   *27.2114</f>
        <v>-211406.33106807224</v>
      </c>
      <c r="H17">
        <f t="shared" si="2"/>
        <v>1.4652908960124478</v>
      </c>
      <c r="I17">
        <v>46</v>
      </c>
      <c r="K17" s="6" t="s">
        <v>40</v>
      </c>
      <c r="L17" s="2">
        <f xml:space="preserve">  -0.13446*27.2114</f>
        <v>-3.6588448439999999</v>
      </c>
      <c r="M17" s="2">
        <f xml:space="preserve"> -0.14712  *27.2114</f>
        <v>-4.0033411680000004</v>
      </c>
      <c r="N17" s="2">
        <f xml:space="preserve"> -0.10762  *27.2114</f>
        <v>-2.9284908679999999</v>
      </c>
      <c r="O17" s="2">
        <f xml:space="preserve"> -0.08973*27.2114</f>
        <v>-2.4416789220000004</v>
      </c>
      <c r="P17" s="2">
        <f xml:space="preserve"> -5300.87194022   *27.2114</f>
        <v>-144244.14671410254</v>
      </c>
      <c r="Q17" s="2">
        <f xml:space="preserve"> -5300.86901707  *27.2114</f>
        <v>-144244.06717109861</v>
      </c>
      <c r="R17">
        <f t="shared" si="3"/>
        <v>7.9543003928847611E-2</v>
      </c>
      <c r="S17">
        <v>50</v>
      </c>
    </row>
    <row r="18" spans="1:19" x14ac:dyDescent="0.2">
      <c r="A18" s="6" t="s">
        <v>41</v>
      </c>
      <c r="B18" s="2">
        <f xml:space="preserve"> -0.11199*27.2114</f>
        <v>-3.0474046860000001</v>
      </c>
      <c r="C18" s="2">
        <f>-0.16108*27.2114</f>
        <v>-4.3832123120000004</v>
      </c>
      <c r="D18" s="2">
        <f>-0.07951 *27.2114</f>
        <v>-2.1635784139999998</v>
      </c>
      <c r="E18" s="2">
        <f>-0.06364*27.2114</f>
        <v>-1.7317334960000001</v>
      </c>
      <c r="F18" s="2">
        <f xml:space="preserve">  -6848.92568331 *27.2114</f>
        <v>-186368.85633882173</v>
      </c>
      <c r="G18" s="2">
        <f xml:space="preserve"> -6848.92737848    *27.2114</f>
        <v>-186368.90246677067</v>
      </c>
      <c r="H18">
        <f t="shared" si="2"/>
        <v>-4.6127948939101771E-2</v>
      </c>
      <c r="I18">
        <v>46</v>
      </c>
      <c r="K18" s="6" t="s">
        <v>42</v>
      </c>
      <c r="L18" s="2">
        <f xml:space="preserve">  -0.18318*27.2114</f>
        <v>-4.9845842520000003</v>
      </c>
      <c r="M18" s="2">
        <f>-0.19335*27.2114</f>
        <v>-5.2613241899999998</v>
      </c>
      <c r="N18" s="2">
        <f>-0.13075 *27.2114</f>
        <v>-3.5578905500000002</v>
      </c>
      <c r="O18" s="2">
        <f>-0.11043 *27.2114</f>
        <v>-3.0049549020000001</v>
      </c>
      <c r="P18" s="2">
        <f xml:space="preserve">   -4033.75918922    *27.2114</f>
        <v>-109764.23480154111</v>
      </c>
      <c r="Q18" s="2">
        <f xml:space="preserve">  -4033.73180682  *27.2114</f>
        <v>-109763.48968810176</v>
      </c>
      <c r="R18">
        <f t="shared" si="3"/>
        <v>0.74511343934864271</v>
      </c>
      <c r="S18">
        <v>50</v>
      </c>
    </row>
    <row r="19" spans="1:19" x14ac:dyDescent="0.2">
      <c r="A19" s="6" t="s">
        <v>43</v>
      </c>
      <c r="B19" s="2">
        <f xml:space="preserve"> -0.17459*27.2114</f>
        <v>-4.7508383260000002</v>
      </c>
      <c r="C19" s="2">
        <f xml:space="preserve"> -0.19466*27.2114</f>
        <v>-5.2969711240000006</v>
      </c>
      <c r="D19" s="2">
        <f xml:space="preserve"> -0.08998 *27.2114</f>
        <v>-2.4484817720000001</v>
      </c>
      <c r="E19" s="2">
        <f>-0.07162*27.2114</f>
        <v>-1.9488804680000003</v>
      </c>
      <c r="F19" s="2">
        <f xml:space="preserve">   -7769.06194739  *27.2114</f>
        <v>-211407.05227520823</v>
      </c>
      <c r="G19" s="2">
        <f xml:space="preserve"> -7768.99575807 *27.2114</f>
        <v>-211405.25117114602</v>
      </c>
      <c r="H19">
        <f t="shared" si="2"/>
        <v>1.8011040622077417</v>
      </c>
      <c r="I19">
        <v>46</v>
      </c>
      <c r="K19" s="6" t="s">
        <v>44</v>
      </c>
      <c r="L19" s="2">
        <f xml:space="preserve"> -0.16903*27.2114</f>
        <v>-4.5995429420000002</v>
      </c>
      <c r="M19" s="2">
        <f xml:space="preserve"> -0.19495*27.2114</f>
        <v>-5.3048624300000009</v>
      </c>
      <c r="N19" s="2">
        <f xml:space="preserve">  -0.15628 *27.2114</f>
        <v>-4.2525975919999999</v>
      </c>
      <c r="O19" s="2">
        <f>--0.1545*27.2114</f>
        <v>4.2041613</v>
      </c>
      <c r="P19" s="2">
        <f xml:space="preserve"> -7429.08933924   *27.2114</f>
        <v>-202155.92164579534</v>
      </c>
      <c r="Q19" s="2">
        <f xml:space="preserve"> -7429.10210403    *27.2114</f>
        <v>-202156.26899360196</v>
      </c>
      <c r="R19">
        <f t="shared" si="3"/>
        <v>-0.3473478066152893</v>
      </c>
      <c r="S19">
        <v>80</v>
      </c>
    </row>
    <row r="20" spans="1:19" x14ac:dyDescent="0.2">
      <c r="A20" s="6" t="s">
        <v>45</v>
      </c>
      <c r="B20" s="2">
        <f>-0.17895*27.2114</f>
        <v>-4.8694800300000001</v>
      </c>
      <c r="C20" s="2">
        <f>-0.18881 *27.2114</f>
        <v>-5.1377844340000003</v>
      </c>
      <c r="D20" s="2">
        <f>-0.06848  *27.2114</f>
        <v>-1.863436672</v>
      </c>
      <c r="E20" s="2">
        <f>-0.06206 *27.2114</f>
        <v>-1.6887394840000001</v>
      </c>
      <c r="F20" s="2">
        <f xml:space="preserve">  -7323.52075921  *27.2114</f>
        <v>-199283.252787167</v>
      </c>
      <c r="G20" s="2">
        <f xml:space="preserve"> -7323.44928436  *27.2114</f>
        <v>-199281.3078564337</v>
      </c>
      <c r="H20">
        <f t="shared" si="2"/>
        <v>1.9449307332979515</v>
      </c>
      <c r="I20">
        <v>48</v>
      </c>
      <c r="K20" s="6" t="s">
        <v>46</v>
      </c>
      <c r="L20" s="2">
        <f>-0.16776*27.2114</f>
        <v>-4.5649844640000001</v>
      </c>
      <c r="M20" s="2">
        <f xml:space="preserve">  -0.194 *27.2114</f>
        <v>-5.2790116000000005</v>
      </c>
      <c r="N20" s="2">
        <f xml:space="preserve"> -0.15337*27.2114</f>
        <v>-4.1734124180000007</v>
      </c>
      <c r="O20" s="2">
        <f xml:space="preserve"> -0.15155 *27.2114</f>
        <v>-4.1238876700000002</v>
      </c>
      <c r="P20" s="2">
        <f xml:space="preserve"> -5987.62009616     *27.2114</f>
        <v>-162931.52548464821</v>
      </c>
      <c r="Q20" s="2">
        <f xml:space="preserve">  -5987.62609646 *27.2114</f>
        <v>-162931.68876121164</v>
      </c>
      <c r="R20">
        <f t="shared" si="3"/>
        <v>-0.16327656342764385</v>
      </c>
      <c r="S20">
        <v>80</v>
      </c>
    </row>
    <row r="21" spans="1:19" x14ac:dyDescent="0.2">
      <c r="A21" s="6" t="s">
        <v>47</v>
      </c>
      <c r="B21" s="2">
        <f xml:space="preserve"> -0.1788*27.2114</f>
        <v>-4.8653983199999997</v>
      </c>
      <c r="C21" s="2">
        <f xml:space="preserve"> -0.20139*27.2114</f>
        <v>-5.4801038460000004</v>
      </c>
      <c r="D21" s="2">
        <f>-0.10779*27.2114</f>
        <v>-2.9331168060000001</v>
      </c>
      <c r="E21" s="2">
        <f>-0.05512 *27.2114</f>
        <v>-1.499892368</v>
      </c>
      <c r="F21" s="2">
        <f xml:space="preserve">  -3105.41065136  *27.2114</f>
        <v>-84502.571398417509</v>
      </c>
      <c r="G21" s="2">
        <f xml:space="preserve">  -3105.36609351    *27.2114</f>
        <v>-84501.358916938028</v>
      </c>
      <c r="H21">
        <f t="shared" si="2"/>
        <v>1.2124814794806298</v>
      </c>
      <c r="I21">
        <v>32</v>
      </c>
      <c r="K21" s="6" t="s">
        <v>48</v>
      </c>
      <c r="L21" s="2">
        <f xml:space="preserve"> -0.17902*27.2114</f>
        <v>-4.8713848280000009</v>
      </c>
      <c r="M21" s="2">
        <f xml:space="preserve"> -0.20566 *27.2114</f>
        <v>-5.5962965240000004</v>
      </c>
      <c r="N21" s="2">
        <f xml:space="preserve">   -0.15066*27.2114</f>
        <v>-4.0996695240000003</v>
      </c>
      <c r="O21" s="2">
        <f xml:space="preserve"> -0.13765  *27.2114</f>
        <v>-3.7456492099999998</v>
      </c>
      <c r="P21" s="2">
        <f xml:space="preserve"> -6231.47978248   *27.2114</f>
        <v>-169567.28895297626</v>
      </c>
      <c r="Q21" s="2">
        <f xml:space="preserve">  -6231.47974728  *27.2114</f>
        <v>-169567.287995135</v>
      </c>
      <c r="R21">
        <f t="shared" si="3"/>
        <v>9.5784125733189285E-4</v>
      </c>
      <c r="S21">
        <v>78</v>
      </c>
    </row>
    <row r="22" spans="1:19" x14ac:dyDescent="0.2">
      <c r="A22" s="6" t="s">
        <v>49</v>
      </c>
      <c r="B22" s="2">
        <f xml:space="preserve"> -0.15562*27.2114</f>
        <v>-4.2346380680000006</v>
      </c>
      <c r="C22" s="2">
        <f>-0.19267 *27.2114</f>
        <v>-5.2428204380000007</v>
      </c>
      <c r="D22" s="2">
        <f xml:space="preserve"> -0.08751 *27.2114</f>
        <v>-2.3812696140000003</v>
      </c>
      <c r="E22" s="2">
        <f>-0.04303*27.2114</f>
        <v>-1.170906542</v>
      </c>
      <c r="F22" s="2">
        <f xml:space="preserve">  -3836.7703973  *27.2114</f>
        <v>-104403.89398908922</v>
      </c>
      <c r="G22" s="2">
        <f xml:space="preserve">  -3836.70738322  *27.2114</f>
        <v>-104402.1792877527</v>
      </c>
      <c r="H22">
        <f t="shared" si="2"/>
        <v>1.7147013365174644</v>
      </c>
      <c r="I22">
        <v>25</v>
      </c>
      <c r="K22" s="7" t="s">
        <v>50</v>
      </c>
      <c r="L22" s="4"/>
      <c r="M22" s="4"/>
      <c r="N22" s="4"/>
      <c r="O22" s="4"/>
      <c r="P22" s="4"/>
      <c r="Q22" s="3" t="s">
        <v>51</v>
      </c>
    </row>
    <row r="23" spans="1:19" x14ac:dyDescent="0.2">
      <c r="A23" s="6" t="s">
        <v>52</v>
      </c>
      <c r="B23" s="2">
        <f xml:space="preserve"> -0.18806*27.2114</f>
        <v>-5.1173758840000003</v>
      </c>
      <c r="C23" s="2">
        <f>-0.2162*27.2114</f>
        <v>-5.8831046800000006</v>
      </c>
      <c r="D23" s="2">
        <f xml:space="preserve"> -0.08826 *27.2114</f>
        <v>-2.4016781640000002</v>
      </c>
      <c r="E23" s="2">
        <f>-0.0408 *27.2114</f>
        <v>-1.1102251200000002</v>
      </c>
      <c r="F23" s="2">
        <f xml:space="preserve">   -3758.57762404  *27.2114</f>
        <v>-102276.15915880207</v>
      </c>
      <c r="G23" s="2">
        <f xml:space="preserve">   -3758.49910766    *27.2114</f>
        <v>-102274.02261817933</v>
      </c>
      <c r="H23">
        <f t="shared" si="2"/>
        <v>2.1365406227414496</v>
      </c>
      <c r="I23">
        <v>25</v>
      </c>
      <c r="K23" s="6" t="s">
        <v>53</v>
      </c>
      <c r="L23" s="2">
        <f xml:space="preserve"> -0.17087*27.2114</f>
        <v>-4.6496119179999997</v>
      </c>
      <c r="M23" s="2">
        <f xml:space="preserve"> -0.19173*27.2114</f>
        <v>-5.2172417220000007</v>
      </c>
      <c r="N23" s="2">
        <f xml:space="preserve">  -0.13487 *27.2114</f>
        <v>-3.6700015179999999</v>
      </c>
      <c r="O23" s="2">
        <f xml:space="preserve">  -0.11888 *27.2114</f>
        <v>-3.2348912320000003</v>
      </c>
      <c r="P23" s="2">
        <f xml:space="preserve">  -5591.15329781  *27.2114</f>
        <v>-152143.10884802704</v>
      </c>
      <c r="Q23" s="2">
        <f xml:space="preserve">  -5591.15348955   *27.2114</f>
        <v>-152143.11406554087</v>
      </c>
      <c r="R23">
        <f>Q23-P23</f>
        <v>-5.2175138262100518E-3</v>
      </c>
      <c r="S23">
        <v>80</v>
      </c>
    </row>
    <row r="24" spans="1:19" x14ac:dyDescent="0.2">
      <c r="A24" s="6" t="s">
        <v>54</v>
      </c>
      <c r="B24" s="2">
        <f xml:space="preserve"> -0.17205*27.2114</f>
        <v>-4.68172137</v>
      </c>
      <c r="C24" s="2">
        <f>-0.20084*27.2114</f>
        <v>-5.4651375760000001</v>
      </c>
      <c r="D24" s="2">
        <f xml:space="preserve"> -0.08702*27.2114</f>
        <v>-2.3679360279999999</v>
      </c>
      <c r="E24" s="2">
        <f>-0.06891 *27.2114</f>
        <v>-1.875137574</v>
      </c>
      <c r="F24" s="2">
        <f xml:space="preserve">  -4620.52839437    *27.2114</f>
        <v>-125731.04635055982</v>
      </c>
      <c r="G24" s="2">
        <f>-4620.47518815   *27.2114</f>
        <v>-125729.59853482491</v>
      </c>
      <c r="H24">
        <f t="shared" si="2"/>
        <v>1.4478157349076355</v>
      </c>
      <c r="I24">
        <v>32</v>
      </c>
      <c r="K24" s="6" t="s">
        <v>55</v>
      </c>
      <c r="L24" s="2">
        <f xml:space="preserve"> -0.2078*27.2114</f>
        <v>-5.6545289200000006</v>
      </c>
      <c r="M24" s="2">
        <f xml:space="preserve"> -0.24574 *27.2114</f>
        <v>-6.6869294359999998</v>
      </c>
      <c r="N24" s="2">
        <f xml:space="preserve"> -0.12086 *27.2114</f>
        <v>-3.2887698040000002</v>
      </c>
      <c r="O24" s="2">
        <f xml:space="preserve"> -0.06777*27.2114</f>
        <v>-1.844116578</v>
      </c>
      <c r="P24" s="2">
        <f xml:space="preserve"> -3702.11811006   *27.2114</f>
        <v>-100739.8167400867</v>
      </c>
      <c r="Q24" s="2">
        <f xml:space="preserve">  -3702.04879763  *27.2114</f>
        <v>-100737.93065182898</v>
      </c>
      <c r="R24">
        <f t="shared" ref="R24:R28" si="4">Q24-P24</f>
        <v>1.886088257713709</v>
      </c>
      <c r="S24">
        <v>46</v>
      </c>
    </row>
    <row r="25" spans="1:19" x14ac:dyDescent="0.2">
      <c r="A25" s="6" t="s">
        <v>56</v>
      </c>
      <c r="B25" s="2">
        <f xml:space="preserve"> -0.18022*27.2114</f>
        <v>-4.9040385080000002</v>
      </c>
      <c r="C25" s="2">
        <f xml:space="preserve"> -0.2059*27.2114</f>
        <v>-5.6028272600000006</v>
      </c>
      <c r="D25" s="2">
        <f xml:space="preserve"> -0.08777 *27.2114</f>
        <v>-2.3883445780000003</v>
      </c>
      <c r="E25" s="2">
        <f xml:space="preserve"> -0.05671 *27.2114</f>
        <v>-1.5431584940000003</v>
      </c>
      <c r="F25" s="2">
        <f xml:space="preserve"> -3667.40491148  *27.2114</f>
        <v>-99795.22200824687</v>
      </c>
      <c r="G25" s="2">
        <f xml:space="preserve"> -3667.35215767  *27.2114</f>
        <v>-99793.786503221447</v>
      </c>
      <c r="H25">
        <f t="shared" si="2"/>
        <v>1.4355050254234811</v>
      </c>
      <c r="I25">
        <v>22</v>
      </c>
      <c r="K25" s="6" t="s">
        <v>57</v>
      </c>
      <c r="L25" s="2">
        <f xml:space="preserve"> -0.19155*27.2114</f>
        <v>-5.2123436700000001</v>
      </c>
      <c r="M25" s="2">
        <f xml:space="preserve"> -0.2122 *27.2114</f>
        <v>-5.7742590800000002</v>
      </c>
      <c r="N25" s="2">
        <f>-0.08881 *27.2114</f>
        <v>-2.4166444340000002</v>
      </c>
      <c r="O25" s="2">
        <f>-0.06398   *27.2114</f>
        <v>-1.7409853719999999</v>
      </c>
      <c r="P25" s="2">
        <f xml:space="preserve">  -4473.90320486   *27.2114</f>
        <v>-121741.16966872741</v>
      </c>
      <c r="Q25" s="2">
        <f xml:space="preserve"> -4473.83739603  *27.2114</f>
        <v>-121739.37891833074</v>
      </c>
      <c r="R25">
        <f t="shared" si="4"/>
        <v>1.7907503966707736</v>
      </c>
      <c r="S25">
        <v>41</v>
      </c>
    </row>
    <row r="26" spans="1:19" x14ac:dyDescent="0.2">
      <c r="A26" s="6" t="s">
        <v>58</v>
      </c>
      <c r="B26" s="2">
        <f xml:space="preserve">  -0.20247*27.2114</f>
        <v>-5.5094921580000005</v>
      </c>
      <c r="C26" s="2">
        <f xml:space="preserve"> -0.2391*27.2114</f>
        <v>-6.5062457400000007</v>
      </c>
      <c r="D26" s="2">
        <f xml:space="preserve"> -0.0813 *27.2114</f>
        <v>-2.2122868200000001</v>
      </c>
      <c r="E26" s="2">
        <f>-0.02574*27.2114</f>
        <v>-0.70042143599999995</v>
      </c>
      <c r="F26" s="2">
        <f xml:space="preserve">  -1951.01652449   *27.2114</f>
        <v>-53089.891054507185</v>
      </c>
      <c r="G26" s="2">
        <f xml:space="preserve">   -1950.93301378 *27.2114</f>
        <v>-53087.618611173093</v>
      </c>
      <c r="H26">
        <f t="shared" si="2"/>
        <v>2.272443334091804</v>
      </c>
      <c r="I26">
        <v>15</v>
      </c>
      <c r="K26" s="6" t="s">
        <v>59</v>
      </c>
      <c r="L26" s="2">
        <f xml:space="preserve">  -0.20281*27.2114</f>
        <v>-5.518744034</v>
      </c>
      <c r="M26" s="2">
        <f xml:space="preserve">  -0.21202 *27.2114</f>
        <v>-5.7693610279999996</v>
      </c>
      <c r="N26" s="2">
        <f xml:space="preserve">  -0.09821  *27.2114</f>
        <v>-2.6724315940000003</v>
      </c>
      <c r="O26" s="2">
        <f>-0.08573 *27.2114</f>
        <v>-2.3328333219999999</v>
      </c>
      <c r="P26" s="2">
        <f xml:space="preserve">  -2881.63878307    *27.2114</f>
        <v>-78413.425581631003</v>
      </c>
      <c r="Q26" s="2">
        <f>-2881.5544796     *27.2114</f>
        <v>-78411.13156618744</v>
      </c>
      <c r="R26">
        <f t="shared" si="4"/>
        <v>2.2940154435636941</v>
      </c>
      <c r="S26">
        <v>75</v>
      </c>
    </row>
    <row r="27" spans="1:19" x14ac:dyDescent="0.2">
      <c r="A27" s="6" t="s">
        <v>60</v>
      </c>
      <c r="B27" s="2">
        <f xml:space="preserve"> -0.1994*27.2114</f>
        <v>-5.4259531599999997</v>
      </c>
      <c r="C27" s="2">
        <f xml:space="preserve">  -0.23226 *27.2114</f>
        <v>-6.3201197640000002</v>
      </c>
      <c r="D27" s="2">
        <f xml:space="preserve">  -0.08786*27.2114</f>
        <v>-2.3907936039999997</v>
      </c>
      <c r="E27" s="2">
        <f xml:space="preserve">  -0.04253 *27.2114</f>
        <v>-1.1573008419999999</v>
      </c>
      <c r="F27" s="2">
        <f xml:space="preserve">  -3133.05439723 *27.2114</f>
        <v>-85254.796424784436</v>
      </c>
      <c r="G27" s="2">
        <f xml:space="preserve">  -3132.9819301  *27.2114</f>
        <v>-85252.824492723143</v>
      </c>
      <c r="H27">
        <f t="shared" si="2"/>
        <v>1.971932061293046</v>
      </c>
      <c r="I27">
        <v>21</v>
      </c>
      <c r="K27" s="6" t="s">
        <v>61</v>
      </c>
      <c r="L27" s="2">
        <f>-0.2123*27.2114</f>
        <v>-5.7769802199999996</v>
      </c>
      <c r="M27" s="2">
        <f xml:space="preserve"> -0.21379 *27.2114</f>
        <v>-5.8175252060000009</v>
      </c>
      <c r="N27" s="2">
        <f xml:space="preserve"> -0.12433*27.2114</f>
        <v>-3.3831933620000001</v>
      </c>
      <c r="O27" s="2">
        <f>-0.12387  *27.2114</f>
        <v>-3.370676118</v>
      </c>
      <c r="P27" s="2">
        <f xml:space="preserve">  -4184.14844042   *27.2114</f>
        <v>-113856.5368716448</v>
      </c>
      <c r="Q27" s="2">
        <f xml:space="preserve"> -4184.09679374   *27.2114</f>
        <v>-113855.13149317664</v>
      </c>
      <c r="R27">
        <f t="shared" si="4"/>
        <v>1.4053784681600519</v>
      </c>
      <c r="S27">
        <v>62</v>
      </c>
    </row>
    <row r="28" spans="1:19" x14ac:dyDescent="0.2">
      <c r="A28" s="6" t="s">
        <v>62</v>
      </c>
      <c r="B28" s="2">
        <f xml:space="preserve"> -0.19452*27.2114</f>
        <v>-5.2931615280000006</v>
      </c>
      <c r="C28" s="2">
        <f xml:space="preserve"> -0.23886 *27.2114</f>
        <v>-6.4997150039999996</v>
      </c>
      <c r="D28" s="2">
        <f>-0.08097 *27.2114</f>
        <v>-2.203307058</v>
      </c>
      <c r="E28" s="2">
        <f xml:space="preserve"> -0.02753 *27.2114</f>
        <v>-0.74912984199999999</v>
      </c>
      <c r="F28" s="2">
        <f xml:space="preserve">   -2658.72033443   *27.2114</f>
        <v>-72347.502508308506</v>
      </c>
      <c r="G28" s="2">
        <f xml:space="preserve"> -2658.649159  *27.2114</f>
        <v>-72345.565725212611</v>
      </c>
      <c r="H28">
        <f t="shared" si="2"/>
        <v>1.9367830958944978</v>
      </c>
      <c r="I28">
        <v>18</v>
      </c>
      <c r="K28" s="6" t="s">
        <v>63</v>
      </c>
      <c r="L28" s="2">
        <f xml:space="preserve"> -0.1734*27.2114</f>
        <v>-4.7184567600000005</v>
      </c>
      <c r="M28" s="2">
        <f xml:space="preserve">  -0.18168*27.2114</f>
        <v>-4.9437671520000004</v>
      </c>
      <c r="N28" s="2">
        <f>-0.1563 *27.2114</f>
        <v>-4.2531418199999997</v>
      </c>
      <c r="O28" s="2">
        <f xml:space="preserve"> -0.15314  *27.2114</f>
        <v>-4.167153796</v>
      </c>
      <c r="P28" s="2">
        <f xml:space="preserve">   -6773.01863064      *27.2114</f>
        <v>-184303.31916579729</v>
      </c>
      <c r="Q28" s="2">
        <f xml:space="preserve"> -6773.05932129   *27.2114</f>
        <v>-184304.42641535072</v>
      </c>
      <c r="R28">
        <f t="shared" si="4"/>
        <v>-1.1072495534317568</v>
      </c>
      <c r="S28">
        <v>59</v>
      </c>
    </row>
    <row r="29" spans="1:19" x14ac:dyDescent="0.2">
      <c r="A29" s="6" t="s">
        <v>64</v>
      </c>
      <c r="B29" s="2">
        <f xml:space="preserve"> -0.10883*27.2114</f>
        <v>-2.961416662</v>
      </c>
      <c r="C29" s="2">
        <f>-0.12158*27.2114</f>
        <v>-3.3083620119999999</v>
      </c>
      <c r="D29" s="2">
        <f xml:space="preserve"> -0.09481*27.2114</f>
        <v>-2.5799128340000004</v>
      </c>
      <c r="E29" s="2">
        <f xml:space="preserve">  -0.08098 *27.2114</f>
        <v>-2.203579172</v>
      </c>
      <c r="F29" s="2">
        <f xml:space="preserve"> -6066.76335724    *27.2114</f>
        <v>-165085.12441920055</v>
      </c>
      <c r="G29" s="2">
        <f xml:space="preserve">  -6066.80596652   *27.2114</f>
        <v>-165086.28387736232</v>
      </c>
      <c r="H29">
        <f t="shared" si="2"/>
        <v>-1.1594581617682707</v>
      </c>
      <c r="I29">
        <v>42</v>
      </c>
    </row>
    <row r="30" spans="1:19" x14ac:dyDescent="0.2">
      <c r="A30" s="6" t="s">
        <v>65</v>
      </c>
      <c r="B30" s="2">
        <f>-0.10296*27.2114</f>
        <v>-2.8016857439999998</v>
      </c>
      <c r="C30" s="2">
        <f xml:space="preserve"> -0.11478 *27.2114</f>
        <v>-3.1233244920000001</v>
      </c>
      <c r="D30" s="2">
        <f xml:space="preserve">   -0.09242 *27.2114</f>
        <v>-2.5148775880000001</v>
      </c>
      <c r="E30" s="2">
        <f xml:space="preserve">  -0.05424 *27.2114</f>
        <v>-1.475946336</v>
      </c>
      <c r="F30" s="2">
        <f xml:space="preserve">  -5949.65046831  *27.2114</f>
        <v>-161898.31875337075</v>
      </c>
      <c r="G30" s="2">
        <f xml:space="preserve">  -5949.62481866   *27.2114</f>
        <v>-161897.62079048471</v>
      </c>
      <c r="H30">
        <f t="shared" si="2"/>
        <v>0.6979628860426601</v>
      </c>
      <c r="I30">
        <v>54</v>
      </c>
    </row>
    <row r="31" spans="1:19" x14ac:dyDescent="0.2">
      <c r="A31" s="6" t="s">
        <v>66</v>
      </c>
      <c r="B31" s="2">
        <f>-0.17164*27.2114</f>
        <v>-4.6705646959999996</v>
      </c>
      <c r="C31" s="2">
        <f>-0.19228*27.2114</f>
        <v>-5.2322079920000002</v>
      </c>
      <c r="D31" s="2">
        <f xml:space="preserve"> -0.09222*27.2114</f>
        <v>-2.509435308</v>
      </c>
      <c r="E31" s="2">
        <f xml:space="preserve"> -0.06121 *27.2114</f>
        <v>-1.6656097940000001</v>
      </c>
      <c r="F31" s="2">
        <f xml:space="preserve"> -6150.75108481   *27.2114</f>
        <v>-167370.54806919885</v>
      </c>
      <c r="G31" s="2">
        <f>-6150.68232356    *27.2114</f>
        <v>-167368.67697932059</v>
      </c>
      <c r="H31">
        <f>G31-F31</f>
        <v>1.8710898782592267</v>
      </c>
      <c r="I31">
        <v>54</v>
      </c>
    </row>
    <row r="32" spans="1:19" x14ac:dyDescent="0.2">
      <c r="A32" s="6" t="s">
        <v>67</v>
      </c>
      <c r="B32" s="2">
        <f>-0.10554*27.2114</f>
        <v>-2.8718911559999998</v>
      </c>
      <c r="C32" s="2">
        <f xml:space="preserve"> -0.12119 *27.2114</f>
        <v>-3.2977495660000002</v>
      </c>
      <c r="D32" s="2">
        <f>-0.09482 *27.2114</f>
        <v>-2.5801849480000003</v>
      </c>
      <c r="E32" s="2">
        <f>-0.07239  *27.2114</f>
        <v>-1.9698332459999999</v>
      </c>
      <c r="F32" s="2">
        <f xml:space="preserve">  -6864.42541713  *27.2114</f>
        <v>-186790.62579569127</v>
      </c>
      <c r="G32" s="2">
        <f xml:space="preserve">  -6864.43319299   *27.2114</f>
        <v>-186790.8373877281</v>
      </c>
      <c r="H32">
        <f>G32-F32</f>
        <v>-0.21159203682327643</v>
      </c>
      <c r="I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Azek, Dr</dc:creator>
  <cp:lastModifiedBy>Emna Azek, Dr</cp:lastModifiedBy>
  <dcterms:created xsi:type="dcterms:W3CDTF">2025-02-02T05:20:03Z</dcterms:created>
  <dcterms:modified xsi:type="dcterms:W3CDTF">2025-02-04T23:00:38Z</dcterms:modified>
</cp:coreProperties>
</file>