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 Anh\OneDrive - Hanoi University of Mining and Geology\Tài liệu\"/>
    </mc:Choice>
  </mc:AlternateContent>
  <xr:revisionPtr revIDLastSave="0" documentId="13_ncr:1_{5822AD4F-DA53-42FD-A023-B3693347ABB3}" xr6:coauthVersionLast="47" xr6:coauthVersionMax="47" xr10:uidLastSave="{00000000-0000-0000-0000-000000000000}"/>
  <bookViews>
    <workbookView xWindow="0" yWindow="0" windowWidth="11520" windowHeight="12360" firstSheet="15" activeTab="19" xr2:uid="{9201C5F1-718C-4301-B77D-3DB7CE468B5B}"/>
  </bookViews>
  <sheets>
    <sheet name="Sheet1" sheetId="1" r:id="rId1"/>
    <sheet name="Sheet2" sheetId="2" r:id="rId2"/>
    <sheet name="B1gui" sheetId="3" r:id="rId3"/>
    <sheet name="Sheet4" sheetId="4" r:id="rId4"/>
    <sheet name="th5" sheetId="5" r:id="rId5"/>
    <sheet name="th6" sheetId="6" r:id="rId6"/>
    <sheet name="th7" sheetId="7" r:id="rId7"/>
    <sheet name="th8" sheetId="8" r:id="rId8"/>
    <sheet name="th9" sheetId="9" r:id="rId9"/>
    <sheet name="th10" sheetId="10" r:id="rId10"/>
    <sheet name="bai11" sheetId="11" r:id="rId11"/>
    <sheet name="bai12" sheetId="12" r:id="rId12"/>
    <sheet name="B13" sheetId="13" r:id="rId13"/>
    <sheet name="B14" sheetId="14" r:id="rId14"/>
    <sheet name="B15" sheetId="15" r:id="rId15"/>
    <sheet name="B18" sheetId="16" r:id="rId16"/>
    <sheet name="B19" sheetId="17" r:id="rId17"/>
    <sheet name="Sheet3" sheetId="18" r:id="rId18"/>
    <sheet name="Sheet5" sheetId="19" r:id="rId19"/>
    <sheet name="Sheet6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0" l="1"/>
  <c r="G6" i="20"/>
  <c r="G7" i="20"/>
  <c r="G8" i="20"/>
  <c r="G9" i="20"/>
  <c r="G10" i="20"/>
  <c r="G11" i="20"/>
  <c r="G12" i="20"/>
  <c r="G13" i="20"/>
  <c r="G4" i="20"/>
  <c r="F5" i="20"/>
  <c r="F6" i="20"/>
  <c r="F7" i="20"/>
  <c r="F8" i="20"/>
  <c r="F9" i="20"/>
  <c r="F10" i="20"/>
  <c r="F11" i="20"/>
  <c r="F12" i="20"/>
  <c r="F13" i="20"/>
  <c r="F4" i="20"/>
  <c r="C13" i="20"/>
  <c r="C12" i="20"/>
  <c r="C11" i="20"/>
  <c r="C10" i="20"/>
  <c r="C9" i="20"/>
  <c r="C8" i="20"/>
  <c r="C7" i="20"/>
  <c r="C6" i="20"/>
  <c r="C5" i="20"/>
  <c r="C4" i="20"/>
  <c r="A6" i="20"/>
  <c r="A7" i="20" s="1"/>
  <c r="A8" i="20" s="1"/>
  <c r="A9" i="20" s="1"/>
  <c r="A10" i="20" s="1"/>
  <c r="A11" i="20" s="1"/>
  <c r="A12" i="20" s="1"/>
  <c r="A13" i="20" s="1"/>
  <c r="A5" i="20"/>
  <c r="D5" i="18"/>
  <c r="D6" i="18"/>
  <c r="D7" i="18"/>
  <c r="D8" i="18"/>
  <c r="D9" i="18"/>
  <c r="D10" i="18"/>
  <c r="D11" i="18"/>
  <c r="D4" i="18"/>
  <c r="I5" i="17"/>
  <c r="I6" i="17"/>
  <c r="I7" i="17"/>
  <c r="I8" i="17"/>
  <c r="I9" i="17"/>
  <c r="I10" i="17"/>
  <c r="I11" i="17"/>
  <c r="I12" i="17"/>
  <c r="I13" i="17"/>
  <c r="I4" i="17"/>
  <c r="H5" i="17"/>
  <c r="H6" i="17"/>
  <c r="H7" i="17"/>
  <c r="H8" i="17"/>
  <c r="H9" i="17"/>
  <c r="H10" i="17"/>
  <c r="H11" i="17"/>
  <c r="H12" i="17"/>
  <c r="H13" i="17"/>
  <c r="H4" i="17"/>
  <c r="G5" i="17"/>
  <c r="G6" i="17"/>
  <c r="G7" i="17"/>
  <c r="G8" i="17"/>
  <c r="G9" i="17"/>
  <c r="G10" i="17"/>
  <c r="G11" i="17"/>
  <c r="G12" i="17"/>
  <c r="G13" i="17"/>
  <c r="G4" i="17"/>
  <c r="F5" i="17"/>
  <c r="F6" i="17"/>
  <c r="F7" i="17"/>
  <c r="F8" i="17"/>
  <c r="F9" i="17"/>
  <c r="F10" i="17"/>
  <c r="F11" i="17"/>
  <c r="F12" i="17"/>
  <c r="F13" i="17"/>
  <c r="F4" i="17"/>
  <c r="A6" i="17"/>
  <c r="A7" i="17"/>
  <c r="A8" i="17"/>
  <c r="A9" i="17"/>
  <c r="A10" i="17" s="1"/>
  <c r="A11" i="17" s="1"/>
  <c r="A12" i="17" s="1"/>
  <c r="A13" i="17" s="1"/>
  <c r="A5" i="17"/>
  <c r="J5" i="16"/>
  <c r="J6" i="16"/>
  <c r="J7" i="16"/>
  <c r="J8" i="16"/>
  <c r="K8" i="16" s="1"/>
  <c r="J9" i="16"/>
  <c r="J10" i="16"/>
  <c r="J11" i="16"/>
  <c r="J12" i="16"/>
  <c r="K12" i="16" s="1"/>
  <c r="J13" i="16"/>
  <c r="J4" i="16"/>
  <c r="K4" i="16" s="1"/>
  <c r="K5" i="16"/>
  <c r="K6" i="16"/>
  <c r="K7" i="16"/>
  <c r="K9" i="16"/>
  <c r="K10" i="16"/>
  <c r="K11" i="16"/>
  <c r="K13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A6" i="16"/>
  <c r="A7" i="16" s="1"/>
  <c r="A8" i="16" s="1"/>
  <c r="A9" i="16" s="1"/>
  <c r="A10" i="16" s="1"/>
  <c r="A11" i="16" s="1"/>
  <c r="A12" i="16" s="1"/>
  <c r="A13" i="16" s="1"/>
  <c r="A5" i="16"/>
  <c r="I15" i="15"/>
  <c r="I6" i="15"/>
  <c r="I7" i="15"/>
  <c r="I8" i="15"/>
  <c r="I9" i="15"/>
  <c r="I10" i="15"/>
  <c r="I11" i="15"/>
  <c r="I12" i="15"/>
  <c r="I13" i="15"/>
  <c r="I14" i="15"/>
  <c r="I5" i="15"/>
  <c r="H15" i="15"/>
  <c r="H6" i="15"/>
  <c r="H7" i="15"/>
  <c r="H8" i="15"/>
  <c r="H9" i="15"/>
  <c r="H10" i="15"/>
  <c r="H11" i="15"/>
  <c r="H12" i="15"/>
  <c r="H13" i="15"/>
  <c r="H14" i="15"/>
  <c r="H5" i="15"/>
  <c r="G12" i="15"/>
  <c r="G6" i="15"/>
  <c r="G7" i="15"/>
  <c r="G8" i="15"/>
  <c r="G9" i="15"/>
  <c r="G10" i="15"/>
  <c r="G11" i="15"/>
  <c r="G13" i="15"/>
  <c r="G14" i="15"/>
  <c r="G5" i="15"/>
  <c r="F6" i="15"/>
  <c r="F7" i="15"/>
  <c r="F8" i="15"/>
  <c r="F9" i="15"/>
  <c r="F10" i="15"/>
  <c r="F11" i="15"/>
  <c r="F12" i="15"/>
  <c r="F13" i="15"/>
  <c r="F14" i="15"/>
  <c r="F5" i="15"/>
  <c r="A7" i="15"/>
  <c r="A8" i="15"/>
  <c r="A9" i="15" s="1"/>
  <c r="A10" i="15" s="1"/>
  <c r="A11" i="15" s="1"/>
  <c r="A12" i="15" s="1"/>
  <c r="A13" i="15" s="1"/>
  <c r="A14" i="15" s="1"/>
  <c r="A6" i="15"/>
  <c r="J5" i="14"/>
  <c r="J6" i="14"/>
  <c r="J7" i="14"/>
  <c r="J8" i="14"/>
  <c r="J9" i="14"/>
  <c r="J10" i="14"/>
  <c r="J11" i="14"/>
  <c r="J12" i="14"/>
  <c r="J13" i="14"/>
  <c r="J4" i="14"/>
  <c r="I5" i="14"/>
  <c r="I6" i="14"/>
  <c r="I7" i="14"/>
  <c r="I8" i="14"/>
  <c r="I9" i="14"/>
  <c r="I10" i="14"/>
  <c r="I11" i="14"/>
  <c r="I12" i="14"/>
  <c r="I13" i="14"/>
  <c r="I4" i="14"/>
  <c r="H5" i="14"/>
  <c r="H6" i="14"/>
  <c r="H7" i="14"/>
  <c r="H8" i="14"/>
  <c r="H9" i="14"/>
  <c r="H10" i="14"/>
  <c r="H11" i="14"/>
  <c r="H12" i="14"/>
  <c r="H13" i="14"/>
  <c r="H4" i="14"/>
  <c r="G5" i="14"/>
  <c r="G6" i="14"/>
  <c r="G7" i="14"/>
  <c r="G8" i="14"/>
  <c r="G9" i="14"/>
  <c r="G10" i="14"/>
  <c r="G11" i="14"/>
  <c r="G12" i="14"/>
  <c r="G13" i="14"/>
  <c r="G4" i="14"/>
  <c r="F5" i="14"/>
  <c r="F6" i="14"/>
  <c r="F7" i="14"/>
  <c r="F8" i="14"/>
  <c r="F9" i="14"/>
  <c r="F10" i="14"/>
  <c r="F11" i="14"/>
  <c r="F12" i="14"/>
  <c r="F13" i="14"/>
  <c r="F4" i="14"/>
  <c r="D5" i="14"/>
  <c r="D6" i="14"/>
  <c r="D7" i="14"/>
  <c r="D8" i="14"/>
  <c r="D9" i="14"/>
  <c r="D10" i="14"/>
  <c r="D11" i="14"/>
  <c r="D12" i="14"/>
  <c r="D13" i="14"/>
  <c r="D4" i="14"/>
  <c r="A5" i="14"/>
  <c r="A6" i="14" s="1"/>
  <c r="A7" i="14" s="1"/>
  <c r="A8" i="14" s="1"/>
  <c r="A9" i="14" s="1"/>
  <c r="A10" i="14" s="1"/>
  <c r="A11" i="14" s="1"/>
  <c r="A12" i="14" s="1"/>
  <c r="A13" i="14" s="1"/>
  <c r="O15" i="13"/>
  <c r="N15" i="13"/>
  <c r="M15" i="13"/>
  <c r="L15" i="13"/>
  <c r="I5" i="13"/>
  <c r="I6" i="13"/>
  <c r="I7" i="13"/>
  <c r="I8" i="13"/>
  <c r="I9" i="13"/>
  <c r="I10" i="13"/>
  <c r="I11" i="13"/>
  <c r="I12" i="13"/>
  <c r="I13" i="13"/>
  <c r="I4" i="13"/>
  <c r="H5" i="13"/>
  <c r="H6" i="13"/>
  <c r="H7" i="13"/>
  <c r="H8" i="13"/>
  <c r="H9" i="13"/>
  <c r="H10" i="13"/>
  <c r="H11" i="13"/>
  <c r="H12" i="13"/>
  <c r="H13" i="13"/>
  <c r="H4" i="13"/>
  <c r="G5" i="13"/>
  <c r="G6" i="13"/>
  <c r="G7" i="13"/>
  <c r="G8" i="13"/>
  <c r="G9" i="13"/>
  <c r="G10" i="13"/>
  <c r="G11" i="13"/>
  <c r="G12" i="13"/>
  <c r="G13" i="13"/>
  <c r="G4" i="13"/>
  <c r="F5" i="13"/>
  <c r="F6" i="13"/>
  <c r="F7" i="13"/>
  <c r="F8" i="13"/>
  <c r="F9" i="13"/>
  <c r="F10" i="13"/>
  <c r="F11" i="13"/>
  <c r="F12" i="13"/>
  <c r="F13" i="13"/>
  <c r="F4" i="13"/>
  <c r="C5" i="13"/>
  <c r="C6" i="13"/>
  <c r="C7" i="13"/>
  <c r="C8" i="13"/>
  <c r="C9" i="13"/>
  <c r="C10" i="13"/>
  <c r="C11" i="13"/>
  <c r="C12" i="13"/>
  <c r="C13" i="13"/>
  <c r="C4" i="13"/>
  <c r="A6" i="13"/>
  <c r="A7" i="13" s="1"/>
  <c r="A8" i="13" s="1"/>
  <c r="A9" i="13" s="1"/>
  <c r="A10" i="13" s="1"/>
  <c r="A11" i="13" s="1"/>
  <c r="A12" i="13" s="1"/>
  <c r="A13" i="13" s="1"/>
  <c r="A5" i="13"/>
  <c r="G22" i="12"/>
  <c r="G21" i="12"/>
  <c r="G20" i="12"/>
  <c r="G19" i="12"/>
  <c r="G18" i="12"/>
  <c r="G17" i="12"/>
  <c r="F22" i="12"/>
  <c r="F21" i="12"/>
  <c r="F20" i="12"/>
  <c r="F19" i="12"/>
  <c r="F18" i="12"/>
  <c r="F17" i="12"/>
  <c r="J5" i="12"/>
  <c r="J6" i="12"/>
  <c r="J7" i="12"/>
  <c r="J8" i="12"/>
  <c r="J9" i="12"/>
  <c r="J10" i="12"/>
  <c r="J11" i="12"/>
  <c r="J12" i="12"/>
  <c r="J13" i="12"/>
  <c r="J4" i="12"/>
  <c r="I5" i="12"/>
  <c r="I6" i="12"/>
  <c r="I7" i="12"/>
  <c r="I8" i="12"/>
  <c r="I9" i="12"/>
  <c r="I10" i="12"/>
  <c r="I11" i="12"/>
  <c r="I12" i="12"/>
  <c r="I13" i="12"/>
  <c r="I4" i="12"/>
  <c r="H5" i="12"/>
  <c r="H6" i="12"/>
  <c r="H7" i="12"/>
  <c r="H8" i="12"/>
  <c r="H9" i="12"/>
  <c r="H10" i="12"/>
  <c r="H11" i="12"/>
  <c r="H12" i="12"/>
  <c r="H13" i="12"/>
  <c r="H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A6" i="12"/>
  <c r="A7" i="12" s="1"/>
  <c r="A8" i="12" s="1"/>
  <c r="A9" i="12" s="1"/>
  <c r="A10" i="12" s="1"/>
  <c r="A11" i="12" s="1"/>
  <c r="A12" i="12" s="1"/>
  <c r="A13" i="12" s="1"/>
  <c r="A5" i="12"/>
  <c r="H23" i="11"/>
  <c r="G23" i="11"/>
  <c r="F23" i="11"/>
  <c r="E23" i="11"/>
  <c r="I4" i="11"/>
  <c r="D23" i="11"/>
  <c r="C23" i="11"/>
  <c r="B23" i="11"/>
  <c r="I5" i="11"/>
  <c r="I6" i="11"/>
  <c r="I7" i="11"/>
  <c r="I8" i="11"/>
  <c r="I9" i="11"/>
  <c r="I10" i="11"/>
  <c r="I11" i="11"/>
  <c r="I12" i="11"/>
  <c r="I13" i="11"/>
  <c r="G5" i="11"/>
  <c r="G6" i="11"/>
  <c r="G7" i="11"/>
  <c r="G8" i="11"/>
  <c r="G9" i="11"/>
  <c r="G10" i="11"/>
  <c r="G11" i="11"/>
  <c r="G12" i="11"/>
  <c r="G13" i="11"/>
  <c r="G4" i="11"/>
  <c r="H5" i="11"/>
  <c r="H6" i="11"/>
  <c r="H7" i="11"/>
  <c r="H8" i="11"/>
  <c r="H9" i="11"/>
  <c r="H10" i="11"/>
  <c r="H11" i="11"/>
  <c r="H12" i="11"/>
  <c r="H13" i="11"/>
  <c r="H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G5" i="10" l="1"/>
  <c r="G6" i="10"/>
  <c r="G7" i="10"/>
  <c r="G8" i="10"/>
  <c r="G9" i="10"/>
  <c r="G10" i="10"/>
  <c r="G11" i="10"/>
  <c r="G12" i="10"/>
  <c r="G13" i="10"/>
  <c r="G4" i="10"/>
  <c r="F5" i="10"/>
  <c r="F6" i="10"/>
  <c r="F7" i="10"/>
  <c r="F8" i="10"/>
  <c r="F9" i="10"/>
  <c r="F10" i="10"/>
  <c r="F11" i="10"/>
  <c r="F12" i="10"/>
  <c r="F13" i="10"/>
  <c r="F4" i="10"/>
  <c r="E5" i="10"/>
  <c r="E6" i="10"/>
  <c r="E7" i="10"/>
  <c r="E8" i="10"/>
  <c r="E9" i="10"/>
  <c r="E10" i="10"/>
  <c r="E11" i="10"/>
  <c r="E12" i="10"/>
  <c r="E13" i="10"/>
  <c r="E4" i="10"/>
  <c r="D5" i="10"/>
  <c r="D6" i="10"/>
  <c r="D7" i="10"/>
  <c r="D8" i="10"/>
  <c r="D9" i="10"/>
  <c r="D10" i="10"/>
  <c r="D11" i="10"/>
  <c r="D12" i="10"/>
  <c r="D13" i="10"/>
  <c r="D4" i="10"/>
  <c r="A6" i="10"/>
  <c r="A7" i="10" s="1"/>
  <c r="A8" i="10" s="1"/>
  <c r="A9" i="10" s="1"/>
  <c r="A10" i="10" s="1"/>
  <c r="A11" i="10" s="1"/>
  <c r="A12" i="10" s="1"/>
  <c r="A13" i="10" s="1"/>
  <c r="A5" i="10"/>
  <c r="F14" i="9"/>
  <c r="I5" i="9"/>
  <c r="I6" i="9"/>
  <c r="I7" i="9"/>
  <c r="I8" i="9"/>
  <c r="I9" i="9"/>
  <c r="I10" i="9"/>
  <c r="I11" i="9"/>
  <c r="I12" i="9"/>
  <c r="I13" i="9"/>
  <c r="I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F5" i="9"/>
  <c r="F6" i="9"/>
  <c r="F7" i="9"/>
  <c r="F8" i="9"/>
  <c r="F9" i="9"/>
  <c r="F10" i="9"/>
  <c r="F11" i="9"/>
  <c r="F12" i="9"/>
  <c r="F13" i="9"/>
  <c r="F4" i="9"/>
  <c r="G14" i="8"/>
  <c r="J5" i="8"/>
  <c r="J6" i="8"/>
  <c r="J7" i="8"/>
  <c r="J8" i="8"/>
  <c r="J9" i="8"/>
  <c r="J10" i="8"/>
  <c r="J11" i="8"/>
  <c r="J12" i="8"/>
  <c r="J13" i="8"/>
  <c r="J4" i="8"/>
  <c r="I5" i="8"/>
  <c r="I6" i="8"/>
  <c r="I7" i="8"/>
  <c r="I8" i="8"/>
  <c r="I9" i="8"/>
  <c r="I10" i="8"/>
  <c r="I11" i="8"/>
  <c r="I12" i="8"/>
  <c r="I13" i="8"/>
  <c r="I4" i="8"/>
  <c r="H13" i="8"/>
  <c r="H12" i="8"/>
  <c r="H11" i="8"/>
  <c r="H10" i="8"/>
  <c r="H9" i="8"/>
  <c r="H8" i="8"/>
  <c r="H7" i="8"/>
  <c r="H6" i="8"/>
  <c r="H5" i="8"/>
  <c r="H4" i="8"/>
  <c r="G5" i="8"/>
  <c r="G6" i="8"/>
  <c r="G7" i="8"/>
  <c r="G8" i="8"/>
  <c r="G9" i="8"/>
  <c r="G10" i="8"/>
  <c r="G11" i="8"/>
  <c r="G12" i="8"/>
  <c r="G13" i="8"/>
  <c r="G4" i="8"/>
  <c r="F5" i="8"/>
  <c r="F6" i="8"/>
  <c r="F7" i="8"/>
  <c r="F8" i="8"/>
  <c r="F9" i="8"/>
  <c r="F10" i="8"/>
  <c r="F11" i="8"/>
  <c r="F12" i="8"/>
  <c r="F13" i="8"/>
  <c r="F4" i="8"/>
  <c r="A6" i="8"/>
  <c r="A7" i="8" s="1"/>
  <c r="A8" i="8" s="1"/>
  <c r="A9" i="8" s="1"/>
  <c r="A10" i="8" s="1"/>
  <c r="A11" i="8" s="1"/>
  <c r="A12" i="8" s="1"/>
  <c r="A13" i="8" s="1"/>
  <c r="A5" i="8"/>
  <c r="M13" i="7"/>
  <c r="M12" i="7"/>
  <c r="M11" i="7"/>
  <c r="M10" i="7"/>
  <c r="M9" i="7"/>
  <c r="M8" i="7"/>
  <c r="M7" i="7"/>
  <c r="M6" i="7"/>
  <c r="M5" i="7"/>
  <c r="J5" i="7"/>
  <c r="J6" i="7"/>
  <c r="J7" i="7"/>
  <c r="J8" i="7"/>
  <c r="J9" i="7"/>
  <c r="J10" i="7"/>
  <c r="J11" i="7"/>
  <c r="J12" i="7"/>
  <c r="J13" i="7"/>
  <c r="J4" i="7"/>
  <c r="I5" i="7"/>
  <c r="I6" i="7"/>
  <c r="I7" i="7"/>
  <c r="I8" i="7"/>
  <c r="I9" i="7"/>
  <c r="I10" i="7"/>
  <c r="I11" i="7"/>
  <c r="I12" i="7"/>
  <c r="I13" i="7"/>
  <c r="I4" i="7"/>
  <c r="H13" i="7"/>
  <c r="H5" i="7"/>
  <c r="H6" i="7"/>
  <c r="K6" i="7" s="1"/>
  <c r="H7" i="7"/>
  <c r="H8" i="7"/>
  <c r="H9" i="7"/>
  <c r="H10" i="7"/>
  <c r="K10" i="7" s="1"/>
  <c r="H11" i="7"/>
  <c r="H12" i="7"/>
  <c r="H4" i="7"/>
  <c r="K4" i="7" s="1"/>
  <c r="A6" i="7"/>
  <c r="A7" i="7" s="1"/>
  <c r="A8" i="7" s="1"/>
  <c r="A9" i="7" s="1"/>
  <c r="A10" i="7" s="1"/>
  <c r="A11" i="7" s="1"/>
  <c r="A12" i="7" s="1"/>
  <c r="A13" i="7" s="1"/>
  <c r="A5" i="7"/>
  <c r="H17" i="6"/>
  <c r="H16" i="6"/>
  <c r="H15" i="6"/>
  <c r="H14" i="6"/>
  <c r="G17" i="6"/>
  <c r="G16" i="6"/>
  <c r="G15" i="6"/>
  <c r="G14" i="6"/>
  <c r="F17" i="6"/>
  <c r="F16" i="6"/>
  <c r="F15" i="6"/>
  <c r="E17" i="6"/>
  <c r="E16" i="6"/>
  <c r="E15" i="6"/>
  <c r="F14" i="6"/>
  <c r="E14" i="6"/>
  <c r="H11" i="6"/>
  <c r="H12" i="6"/>
  <c r="H13" i="6"/>
  <c r="H5" i="6"/>
  <c r="H6" i="6"/>
  <c r="H7" i="6"/>
  <c r="H8" i="6"/>
  <c r="H9" i="6"/>
  <c r="H10" i="6"/>
  <c r="H4" i="6"/>
  <c r="G5" i="6"/>
  <c r="G6" i="6"/>
  <c r="G7" i="6"/>
  <c r="G8" i="6"/>
  <c r="G9" i="6"/>
  <c r="G10" i="6"/>
  <c r="G11" i="6"/>
  <c r="G12" i="6"/>
  <c r="G13" i="6"/>
  <c r="G4" i="6"/>
  <c r="E5" i="6"/>
  <c r="E6" i="6"/>
  <c r="E7" i="6"/>
  <c r="E8" i="6"/>
  <c r="E9" i="6"/>
  <c r="E10" i="6"/>
  <c r="E11" i="6"/>
  <c r="E12" i="6"/>
  <c r="E13" i="6"/>
  <c r="E4" i="6"/>
  <c r="A6" i="6"/>
  <c r="A7" i="6" s="1"/>
  <c r="A8" i="6" s="1"/>
  <c r="A9" i="6" s="1"/>
  <c r="A10" i="6" s="1"/>
  <c r="A11" i="6" s="1"/>
  <c r="A12" i="6" s="1"/>
  <c r="A13" i="6" s="1"/>
  <c r="A5" i="6"/>
  <c r="I17" i="5"/>
  <c r="I16" i="5"/>
  <c r="I15" i="5"/>
  <c r="H17" i="5"/>
  <c r="H16" i="5"/>
  <c r="I5" i="5"/>
  <c r="I6" i="5"/>
  <c r="I7" i="5"/>
  <c r="I8" i="5"/>
  <c r="I9" i="5"/>
  <c r="I10" i="5"/>
  <c r="I12" i="5"/>
  <c r="I13" i="5"/>
  <c r="I4" i="5"/>
  <c r="H5" i="5"/>
  <c r="H6" i="5"/>
  <c r="H7" i="5"/>
  <c r="H8" i="5"/>
  <c r="H9" i="5"/>
  <c r="H10" i="5"/>
  <c r="H11" i="5"/>
  <c r="H15" i="5" s="1"/>
  <c r="H12" i="5"/>
  <c r="H13" i="5"/>
  <c r="H4" i="5"/>
  <c r="G5" i="5"/>
  <c r="G6" i="5"/>
  <c r="G7" i="5"/>
  <c r="G8" i="5"/>
  <c r="G9" i="5"/>
  <c r="G10" i="5"/>
  <c r="G11" i="5"/>
  <c r="G16" i="5" s="1"/>
  <c r="G12" i="5"/>
  <c r="G13" i="5"/>
  <c r="G4" i="5"/>
  <c r="A6" i="5"/>
  <c r="A7" i="5" s="1"/>
  <c r="A8" i="5" s="1"/>
  <c r="A9" i="5" s="1"/>
  <c r="A10" i="5" s="1"/>
  <c r="A11" i="5" s="1"/>
  <c r="A12" i="5" s="1"/>
  <c r="A13" i="5" s="1"/>
  <c r="A5" i="5"/>
  <c r="I17" i="4"/>
  <c r="I16" i="4"/>
  <c r="H17" i="4"/>
  <c r="H16" i="4"/>
  <c r="G17" i="4"/>
  <c r="G16" i="4"/>
  <c r="I15" i="4"/>
  <c r="H15" i="4"/>
  <c r="G15" i="4"/>
  <c r="F15" i="4"/>
  <c r="F16" i="4"/>
  <c r="F17" i="4"/>
  <c r="I14" i="4"/>
  <c r="H14" i="4"/>
  <c r="G14" i="4"/>
  <c r="F14" i="4"/>
  <c r="I5" i="4"/>
  <c r="I6" i="4"/>
  <c r="I7" i="4"/>
  <c r="I8" i="4"/>
  <c r="I9" i="4"/>
  <c r="I10" i="4"/>
  <c r="I11" i="4"/>
  <c r="I12" i="4"/>
  <c r="I13" i="4"/>
  <c r="I4" i="4"/>
  <c r="F5" i="4"/>
  <c r="F6" i="4"/>
  <c r="F7" i="4"/>
  <c r="F8" i="4"/>
  <c r="F9" i="4"/>
  <c r="F10" i="4"/>
  <c r="F11" i="4"/>
  <c r="F12" i="4"/>
  <c r="F13" i="4"/>
  <c r="F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A13" i="4"/>
  <c r="A6" i="4"/>
  <c r="A7" i="4" s="1"/>
  <c r="A8" i="4" s="1"/>
  <c r="A9" i="4" s="1"/>
  <c r="A10" i="4" s="1"/>
  <c r="A11" i="4" s="1"/>
  <c r="A12" i="4" s="1"/>
  <c r="A5" i="4"/>
  <c r="L12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I3" i="2"/>
  <c r="I4" i="2"/>
  <c r="I5" i="2"/>
  <c r="I6" i="2"/>
  <c r="I7" i="2"/>
  <c r="I8" i="2"/>
  <c r="I9" i="2"/>
  <c r="I10" i="2"/>
  <c r="I11" i="2"/>
  <c r="I12" i="2"/>
  <c r="G10" i="1"/>
  <c r="H10" i="1" s="1"/>
  <c r="F10" i="1"/>
  <c r="G4" i="1"/>
  <c r="G5" i="1"/>
  <c r="G6" i="1"/>
  <c r="G7" i="1"/>
  <c r="G8" i="1"/>
  <c r="G9" i="1"/>
  <c r="G3" i="1"/>
  <c r="D4" i="3"/>
  <c r="D5" i="3"/>
  <c r="D6" i="3"/>
  <c r="D7" i="3"/>
  <c r="D8" i="3"/>
  <c r="D3" i="3"/>
  <c r="K9" i="7" l="1"/>
  <c r="K12" i="7"/>
  <c r="L12" i="7" s="1"/>
  <c r="K8" i="7"/>
  <c r="L8" i="7" s="1"/>
  <c r="K13" i="7"/>
  <c r="L13" i="7" s="1"/>
  <c r="K5" i="7"/>
  <c r="K11" i="7"/>
  <c r="L11" i="7" s="1"/>
  <c r="K7" i="7"/>
  <c r="L7" i="7" s="1"/>
  <c r="L4" i="7"/>
  <c r="M4" i="7" s="1"/>
  <c r="L9" i="7"/>
  <c r="L5" i="7"/>
  <c r="L10" i="7"/>
  <c r="L6" i="7"/>
  <c r="G17" i="5"/>
  <c r="G14" i="5"/>
  <c r="H14" i="5"/>
  <c r="I11" i="5"/>
  <c r="I14" i="5" s="1"/>
  <c r="G15" i="5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A5" i="2"/>
  <c r="A6" i="2"/>
  <c r="A7" i="2" s="1"/>
  <c r="A8" i="2" s="1"/>
  <c r="A9" i="2" s="1"/>
  <c r="A10" i="2" s="1"/>
  <c r="A11" i="2" s="1"/>
  <c r="A12" i="2" s="1"/>
  <c r="A4" i="2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<sst xmlns="http://schemas.openxmlformats.org/spreadsheetml/2006/main" count="983" uniqueCount="597">
  <si>
    <t>BẢNG LƯƠNG NHÂN VIÊN</t>
  </si>
  <si>
    <t>STT</t>
  </si>
  <si>
    <t>HỌ VÀ TÊN</t>
  </si>
  <si>
    <t>LƯƠNG
CĂN
BẢN</t>
  </si>
  <si>
    <t>CHỨC
VỤ</t>
  </si>
  <si>
    <t>NGÀY</t>
  </si>
  <si>
    <t>LƯƠNG</t>
  </si>
  <si>
    <t>TẠM
ỨNG</t>
  </si>
  <si>
    <t>CÒN
LẠI</t>
  </si>
  <si>
    <t>Tô Linh Kha</t>
  </si>
  <si>
    <t>Lê Diễm Dung</t>
  </si>
  <si>
    <t>Trần Diễm Lộc</t>
  </si>
  <si>
    <t>Trúc Lan Mia</t>
  </si>
  <si>
    <t>Cổ Gia Trường</t>
  </si>
  <si>
    <t>Lương Sơn Bá</t>
  </si>
  <si>
    <t>Trúc Anh Đài</t>
  </si>
  <si>
    <t>TP</t>
  </si>
  <si>
    <t>NV</t>
  </si>
  <si>
    <t>KT</t>
  </si>
  <si>
    <t>BV</t>
  </si>
  <si>
    <t>PP</t>
  </si>
  <si>
    <t>TỔNG CỘNG</t>
  </si>
  <si>
    <t xml:space="preserve">+ LƯƠNG = LƯƠNG CĂN BẢN * NGÀY CÔNG </t>
  </si>
  <si>
    <t>+ TỔNG = Tổng các ô trong cột LƯƠNG</t>
  </si>
  <si>
    <t>+ Thêm vào 2 cột TẠM ỨNG và CÒN LẠI ở G4 và H4 và tính như sau:</t>
  </si>
  <si>
    <t>- CÒN LẠI = LƯƠNG - TẠM ỨNG</t>
  </si>
  <si>
    <t>Tính:</t>
  </si>
  <si>
    <t>TAM ỨNG - 2/3 LƯƠNG và làm tròn tới hàng ngàn</t>
  </si>
  <si>
    <t>BẢNG LƯƠNG NHÂN VIÊN THÁNG 01/1995</t>
  </si>
  <si>
    <t>PHÁI</t>
  </si>
  <si>
    <t>CHỨC VỤ</t>
  </si>
  <si>
    <t>LCB</t>
  </si>
  <si>
    <t>PCCV</t>
  </si>
  <si>
    <t>T.ỨNG</t>
  </si>
  <si>
    <t>QUỸ
LĐ</t>
  </si>
  <si>
    <t>Le Diễm Dung</t>
  </si>
  <si>
    <t>Trúc Mai Lan</t>
  </si>
  <si>
    <t>Chúc Anh Đài</t>
  </si>
  <si>
    <t>Hồ Mỹ Nhân</t>
  </si>
  <si>
    <t>Đoàn Tư Cổ</t>
  </si>
  <si>
    <t>Lý Thùy Như</t>
  </si>
  <si>
    <t>Nam</t>
  </si>
  <si>
    <t>Nữ</t>
  </si>
  <si>
    <t xml:space="preserve">Nữ </t>
  </si>
  <si>
    <t>GĐ</t>
  </si>
  <si>
    <t>PHỤ
CẤP</t>
  </si>
  <si>
    <t>YÊU CẦU TÍNH TOÁN</t>
  </si>
  <si>
    <t>+ LƯƠNG = LCB * NGÀY</t>
  </si>
  <si>
    <t xml:space="preserve">+ PHỤ CẤP = Nếu PHÁI = "Nam" thì PHỤ CẤP LÀ 2000 </t>
  </si>
  <si>
    <t xml:space="preserve">= Nếu PHÁI = "Nữ" thì PHỤ CẤP LÀ 2500 </t>
  </si>
  <si>
    <t>+ PCCV = Nếu CHỨC VỤ = "GĐ" hoặc CHỨC VỤ ="PGĐ" thì PCCV là 50000</t>
  </si>
  <si>
    <t xml:space="preserve">Các trường khác thì không có PCCV </t>
  </si>
  <si>
    <t>+ T.ỨNG = 2/3 LƯƠNG nhưng không quá 25000 và làm tròn tới hàng ngàn.</t>
  </si>
  <si>
    <t xml:space="preserve">+ QUỸ LĐ = nếu PHÁI = "Nam" và LƯƠNG &gt; 30000 thì QuỸ LĐ là 5000 </t>
  </si>
  <si>
    <t>+ CÒN LẠI = LƯƠNG + PHỤ CẤP + PCCV - T.ỨNG - QUỸ LĐ</t>
  </si>
  <si>
    <t>BẢNG TÍNH LƯƠNG THÁNG</t>
  </si>
  <si>
    <t>Tên nhân viên</t>
  </si>
  <si>
    <t>Công ca
1,2</t>
  </si>
  <si>
    <t>Công ca 3</t>
  </si>
  <si>
    <t>Tổng số công 
quy đổi</t>
  </si>
  <si>
    <t>Tiền lương</t>
  </si>
  <si>
    <t>Tiền thưởng</t>
  </si>
  <si>
    <t>Lê Văn Tâm</t>
  </si>
  <si>
    <t>Nguyễn Hòa Anh</t>
  </si>
  <si>
    <t>Lê Thị Hoa</t>
  </si>
  <si>
    <t>Đặng Châu Anh</t>
  </si>
  <si>
    <t>Nguyễn Tuấn Minh</t>
  </si>
  <si>
    <t>Nguyễn Lê Khánh</t>
  </si>
  <si>
    <r>
      <t xml:space="preserve">+Dùng công thức điền dữ liệu cho cột </t>
    </r>
    <r>
      <rPr>
        <b/>
        <sz val="12"/>
        <color theme="1"/>
        <rFont val="Times New Roman"/>
        <family val="1"/>
      </rPr>
      <t>Tổng số công quy đổi</t>
    </r>
    <r>
      <rPr>
        <sz val="12"/>
        <color theme="1"/>
        <rFont val="Times New Roman"/>
        <family val="1"/>
      </rPr>
      <t>, biết rằng:</t>
    </r>
  </si>
  <si>
    <t xml:space="preserve">               Tổng số công quy đổi = Công ca1,2 + 2*Công ca3</t>
  </si>
  <si>
    <r>
      <t xml:space="preserve">+Dùng công thức điền dữ liệu cho cột </t>
    </r>
    <r>
      <rPr>
        <b/>
        <sz val="12"/>
        <color theme="1"/>
        <rFont val="Times New Roman"/>
        <family val="1"/>
      </rPr>
      <t>tiền thưởng</t>
    </r>
    <r>
      <rPr>
        <sz val="12"/>
        <color theme="1"/>
        <rFont val="Times New Roman"/>
        <family val="1"/>
      </rPr>
      <t>, biết rằng:</t>
    </r>
  </si>
  <si>
    <r>
      <t xml:space="preserve">                </t>
    </r>
    <r>
      <rPr>
        <b/>
        <sz val="12"/>
        <color theme="1"/>
        <rFont val="Times New Roman"/>
        <family val="1"/>
      </rPr>
      <t>Tiền thưởng = Công ca 3 * Mức thưởng</t>
    </r>
  </si>
  <si>
    <r>
      <t xml:space="preserve">  Trong đó </t>
    </r>
    <r>
      <rPr>
        <b/>
        <sz val="12"/>
        <color theme="1"/>
        <rFont val="Times New Roman"/>
        <family val="1"/>
      </rPr>
      <t>: Công ca3 &gt;=13</t>
    </r>
    <r>
      <rPr>
        <sz val="12"/>
        <color theme="1"/>
        <rFont val="Times New Roman"/>
        <family val="1"/>
      </rPr>
      <t xml:space="preserve"> thì </t>
    </r>
    <r>
      <rPr>
        <b/>
        <sz val="12"/>
        <color theme="1"/>
        <rFont val="Times New Roman"/>
        <family val="1"/>
      </rPr>
      <t>Mức thưởng là 60.000 đồng/công</t>
    </r>
    <r>
      <rPr>
        <sz val="12"/>
        <color theme="1"/>
        <rFont val="Times New Roman"/>
        <family val="1"/>
      </rPr>
      <t xml:space="preserve">, ngược lại là </t>
    </r>
    <r>
      <rPr>
        <b/>
        <sz val="12"/>
        <color theme="1"/>
        <rFont val="Times New Roman"/>
        <family val="1"/>
      </rPr>
      <t>30.000 đồng/công</t>
    </r>
  </si>
  <si>
    <r>
      <t xml:space="preserve">+Dùng công thức điền dữ liệu cho cột </t>
    </r>
    <r>
      <rPr>
        <b/>
        <sz val="12"/>
        <color theme="1"/>
        <rFont val="Times New Roman"/>
        <family val="1"/>
      </rPr>
      <t>Tiền lương</t>
    </r>
    <r>
      <rPr>
        <sz val="12"/>
        <color theme="1"/>
        <rFont val="Times New Roman"/>
        <family val="1"/>
      </rPr>
      <t xml:space="preserve"> biết rằng:</t>
    </r>
  </si>
  <si>
    <r>
      <t xml:space="preserve">              </t>
    </r>
    <r>
      <rPr>
        <b/>
        <sz val="12"/>
        <color theme="1"/>
        <rFont val="Times New Roman"/>
        <family val="1"/>
      </rPr>
      <t xml:space="preserve">Tiền lương = Tổng số công quy đổi * Đơn giá công quy đổi    </t>
    </r>
  </si>
  <si>
    <r>
      <t xml:space="preserve">  Trong đó</t>
    </r>
    <r>
      <rPr>
        <b/>
        <sz val="12"/>
        <color theme="1"/>
        <rFont val="Times New Roman"/>
        <family val="1"/>
      </rPr>
      <t>: Đơn giá công quy đổi</t>
    </r>
    <r>
      <rPr>
        <sz val="12"/>
        <color theme="1"/>
        <rFont val="Times New Roman"/>
        <family val="1"/>
      </rPr>
      <t xml:space="preserve"> = 100.000 đồng/ công được gõ giá trị tại ô H5</t>
    </r>
  </si>
  <si>
    <t>PGĐ</t>
  </si>
  <si>
    <t>BẢNG LƯƠNG NHÂN VIÊN THÁNG 02/1995</t>
  </si>
  <si>
    <t>LG.CB</t>
  </si>
  <si>
    <t>TẠM ỨNG</t>
  </si>
  <si>
    <t>CÒN LẠI</t>
  </si>
  <si>
    <t>Đoàn Tự Cổ</t>
  </si>
  <si>
    <t>Lý Thuỳ Như</t>
  </si>
  <si>
    <t>1/ PCCV = nếu CHỨC VỤ = "GĐ" thì PCCV là 50000</t>
  </si>
  <si>
    <t>nếu CHỨC VỤ = "PGĐ" hoặc CHỨC VỤ = "TP" thì PCCV là 40000</t>
  </si>
  <si>
    <t>2/ LƯƠNG = nếu NGÀY &lt;= 25 LƯƠNG = LG.CB * NGÀY</t>
  </si>
  <si>
    <t>Nếu NGÀY &gt;25 thì LƯƠNG = (LG.CB * NGÀY)+100000</t>
  </si>
  <si>
    <t>3/ T.ỨNG = 2/3LƯƠNG nhưng không quá 300000 và làm tròn tới hàng ngàn.</t>
  </si>
  <si>
    <t>4/ CÒN LẠI = LƯƠNG + PCCV - TẠM Ứng</t>
  </si>
  <si>
    <t>TRUNG BÌNH</t>
  </si>
  <si>
    <t>CAO NHẤT</t>
  </si>
  <si>
    <t>THẤP NHẤT</t>
  </si>
  <si>
    <t>MÃ HH</t>
  </si>
  <si>
    <t>TÊN HÀNG</t>
  </si>
  <si>
    <t>KHO</t>
  </si>
  <si>
    <t>SỐ.LG</t>
  </si>
  <si>
    <t>Đ.GIÁ</t>
  </si>
  <si>
    <t>TRỊ 
GIÁ</t>
  </si>
  <si>
    <t>THUẾ</t>
  </si>
  <si>
    <t>CỘNG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</si>
  <si>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</si>
  <si>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</si>
  <si>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</si>
  <si>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</si>
  <si>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</si>
  <si>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</si>
  <si>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</si>
  <si>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</si>
  <si>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</si>
  <si>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</si>
  <si>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Bàn gỗ</t>
  </si>
  <si>
    <t>Bàn sắt</t>
  </si>
  <si>
    <t>Bàn tròn</t>
  </si>
  <si>
    <t>Bàn Oval</t>
  </si>
  <si>
    <t>Bàn Formica</t>
  </si>
  <si>
    <t>Ghế dưa</t>
  </si>
  <si>
    <t>Ghế mây</t>
  </si>
  <si>
    <t>Ghế xếp</t>
  </si>
  <si>
    <t>Ghé boc</t>
  </si>
  <si>
    <t>Ghế xoay</t>
  </si>
  <si>
    <t>HMN</t>
  </si>
  <si>
    <t>SGN</t>
  </si>
  <si>
    <t>CLN</t>
  </si>
  <si>
    <t>TDC</t>
  </si>
  <si>
    <t>CCH</t>
  </si>
  <si>
    <t>BẢNG KÊ HÀNG XUẤT CHUYẾN 15- 03- 1995</t>
  </si>
  <si>
    <t>BÌNH QUÂN</t>
  </si>
  <si>
    <t xml:space="preserve">+ TRỊ GIÁ = SỐ. LG * Đ. GIÁ </t>
  </si>
  <si>
    <t xml:space="preserve">+ THUẾ = Nếu KHO = "SGN" thì Thuế = 5% * Trị giá </t>
  </si>
  <si>
    <t xml:space="preserve"> = Nếu KHO = "CLN" thì Thuế = 4%* Trị giá </t>
  </si>
  <si>
    <t xml:space="preserve"> Các KHO cón lại tính 2% * Trị giá </t>
  </si>
  <si>
    <t xml:space="preserve">Làm tròn THUẾ tới hàng chục </t>
  </si>
  <si>
    <t>+ CỘNG = TRỊ GIÁ + THUẾ</t>
  </si>
  <si>
    <t>BẢNG CHI PHÍ VẬN CHUYỂN THÁNG 01/2005</t>
  </si>
  <si>
    <t>Số TT</t>
  </si>
  <si>
    <t>ĐƠN VỊ</t>
  </si>
  <si>
    <t>Trọng
lượng</t>
  </si>
  <si>
    <t>Giá
cước</t>
  </si>
  <si>
    <t>Tiền
phạt</t>
  </si>
  <si>
    <t>Thành
Tiền</t>
  </si>
  <si>
    <t>Định
mức</t>
  </si>
  <si>
    <t>Mã
hàng</t>
  </si>
  <si>
    <t>Nhóm 
hàng</t>
  </si>
  <si>
    <t>Cty Ánh dương</t>
  </si>
  <si>
    <t>XN giày AG</t>
  </si>
  <si>
    <t>Cty Chương Dương</t>
  </si>
  <si>
    <t>Cty Bình Minh</t>
  </si>
  <si>
    <t>A</t>
  </si>
  <si>
    <t>B</t>
  </si>
  <si>
    <t>1/-Dùng hàm IF để điền tự động vào cột định mức theo quy định sau:</t>
  </si>
  <si>
    <t>- Nếu Loại hàng = "A" thì định mức = 400</t>
  </si>
  <si>
    <t>- Nếu Loại hàng = "B" thì định mức = 300</t>
  </si>
  <si>
    <t>2/- Dùng hàm IF, AND, OR để điền tự động vào cột Giá Cước theo quy định:</t>
  </si>
  <si>
    <t>- Nếu Loại hàng ="A" và mã hàng =1 thì giá cước là 3</t>
  </si>
  <si>
    <t>- Nếu Loại hàng = "A" và mã hàng =2 thì giá cước là 2</t>
  </si>
  <si>
    <t>- Nếu Loại hàng ="B" và mã hàng = 1 thì giá cước là 1</t>
  </si>
  <si>
    <t xml:space="preserve">- Nếu Loại hàng ="B" và mã hàng = 1 thì giá cước là 0.5 </t>
  </si>
  <si>
    <t>3/-Thiết lập công thức cho cột Tiền phạt theo quy định sau:</t>
  </si>
  <si>
    <t>- Nếu Trọng lượng &gt; Định mức thì Tiền phạt = (Trọng lượng - Định mức)*Giá cước*20%</t>
  </si>
  <si>
    <t>- Nếu Trọng lượng &lt;= Định mức thì Tiền phạt = 0</t>
  </si>
  <si>
    <t>BẢNG THANH TOÁN LƯƠNG</t>
  </si>
  <si>
    <t>MỨC
LƯƠNG</t>
  </si>
  <si>
    <t>MÃ
KT</t>
  </si>
  <si>
    <t>SỐ
CON</t>
  </si>
  <si>
    <t>NGÀY
CÔNG</t>
  </si>
  <si>
    <t>PHỤ
CẤP GĐ</t>
  </si>
  <si>
    <t>Trần Thị Bích</t>
  </si>
  <si>
    <t>Vũ Mạnh Tường</t>
  </si>
  <si>
    <t>Trần Đan Anh</t>
  </si>
  <si>
    <t>Dương Vũ Điệu</t>
  </si>
  <si>
    <t>Hoành Thanh Quỳnh</t>
  </si>
  <si>
    <t>Phạm Thị Thùy Tiên</t>
  </si>
  <si>
    <t>Nguyễn Hoàng Minh</t>
  </si>
  <si>
    <t>Phạm Minh Tuấn</t>
  </si>
  <si>
    <t>Vũ Thanh Hằng</t>
  </si>
  <si>
    <t>Huỳnh Ngọc Hương</t>
  </si>
  <si>
    <t>C</t>
  </si>
  <si>
    <t xml:space="preserve">Chèn thêm các cột TIỀN KT, THU NHẬP, TẠM ỨNG, CÒN LẠI vào sau cột PHỤ CẤP GĐ </t>
  </si>
  <si>
    <r>
      <t xml:space="preserve">+ </t>
    </r>
    <r>
      <rPr>
        <b/>
        <sz val="12"/>
        <color rgb="FF000000"/>
        <rFont val="Times New Roman"/>
        <family val="1"/>
      </rPr>
      <t xml:space="preserve">LƯƠNG </t>
    </r>
    <r>
      <rPr>
        <sz val="12"/>
        <color rgb="FF000000"/>
        <rFont val="Times New Roman"/>
        <family val="1"/>
      </rPr>
      <t xml:space="preserve">= MỨC LƯƠNG * NGÀY CÔNG nhân với: 50 nếu CHỨC VỤ = "TP", 40 nếu CHỨC VỤ = "PP", còn lại nhân với 20 </t>
    </r>
  </si>
  <si>
    <r>
      <t xml:space="preserve">+ </t>
    </r>
    <r>
      <rPr>
        <b/>
        <sz val="12"/>
        <color rgb="FF000000"/>
        <rFont val="Times New Roman"/>
        <family val="1"/>
      </rPr>
      <t xml:space="preserve">Phụ cấp GĐ: </t>
    </r>
    <r>
      <rPr>
        <sz val="12"/>
        <color rgb="FF000000"/>
        <rFont val="Times New Roman"/>
        <family val="1"/>
      </rPr>
      <t>- Nếu SỐ CON &lt;=2 thì PHỤ cấp GĐ = Số con *1000</t>
    </r>
  </si>
  <si>
    <r>
      <t xml:space="preserve">- Ngược lại </t>
    </r>
    <r>
      <rPr>
        <b/>
        <sz val="12"/>
        <color rgb="FF000000"/>
        <rFont val="Times New Roman"/>
        <family val="1"/>
      </rPr>
      <t xml:space="preserve">Phụ Cấp GĐ </t>
    </r>
    <r>
      <rPr>
        <sz val="12"/>
        <color rgb="FF000000"/>
        <rFont val="Times New Roman"/>
        <family val="1"/>
      </rPr>
      <t xml:space="preserve">= Số con *2000 </t>
    </r>
  </si>
  <si>
    <r>
      <t xml:space="preserve">+ </t>
    </r>
    <r>
      <rPr>
        <b/>
        <sz val="12"/>
        <color rgb="FF000000"/>
        <rFont val="Times New Roman"/>
        <family val="1"/>
      </rPr>
      <t xml:space="preserve">TIỀN KT: </t>
    </r>
    <r>
      <rPr>
        <sz val="12"/>
        <color rgb="FF000000"/>
        <rFont val="Times New Roman"/>
        <family val="1"/>
      </rPr>
      <t xml:space="preserve">- Nếu MÃ KT = "A" thì </t>
    </r>
    <r>
      <rPr>
        <b/>
        <sz val="12"/>
        <color rgb="FF000000"/>
        <rFont val="Times New Roman"/>
        <family val="1"/>
      </rPr>
      <t xml:space="preserve">TIỀN KT </t>
    </r>
    <r>
      <rPr>
        <sz val="12"/>
        <color rgb="FF000000"/>
        <rFont val="Times New Roman"/>
        <family val="1"/>
      </rPr>
      <t>là 300000</t>
    </r>
  </si>
  <si>
    <r>
      <t xml:space="preserve">- Nếu MÃ KT ="B" và SỐ CON &lt; 2 thì </t>
    </r>
    <r>
      <rPr>
        <b/>
        <sz val="12"/>
        <color rgb="FF000000"/>
        <rFont val="Times New Roman"/>
        <family val="1"/>
      </rPr>
      <t xml:space="preserve">TIỀN KT </t>
    </r>
    <r>
      <rPr>
        <sz val="12"/>
        <color rgb="FF000000"/>
        <rFont val="Times New Roman"/>
        <family val="1"/>
      </rPr>
      <t>LÀ 200000</t>
    </r>
  </si>
  <si>
    <r>
      <t xml:space="preserve">- Ngược lại thì </t>
    </r>
    <r>
      <rPr>
        <b/>
        <sz val="12"/>
        <color rgb="FF000000"/>
        <rFont val="Times New Roman"/>
        <family val="1"/>
      </rPr>
      <t xml:space="preserve">TIỀN KT </t>
    </r>
    <r>
      <rPr>
        <sz val="12"/>
        <color rgb="FF000000"/>
        <rFont val="Times New Roman"/>
        <family val="1"/>
      </rPr>
      <t>LÀ 150000</t>
    </r>
  </si>
  <si>
    <r>
      <t xml:space="preserve">+ </t>
    </r>
    <r>
      <rPr>
        <b/>
        <sz val="12"/>
        <color rgb="FF000000"/>
        <rFont val="Times New Roman"/>
        <family val="1"/>
      </rPr>
      <t xml:space="preserve">THU NHẬP </t>
    </r>
    <r>
      <rPr>
        <sz val="12"/>
        <color rgb="FF000000"/>
        <rFont val="Times New Roman"/>
        <family val="1"/>
      </rPr>
      <t xml:space="preserve">= LƯƠNG </t>
    </r>
  </si>
  <si>
    <t xml:space="preserve">+ PHỤ CẤP GĐ + TIỀN KT </t>
  </si>
  <si>
    <r>
      <t xml:space="preserve">+ </t>
    </r>
    <r>
      <rPr>
        <b/>
        <sz val="12"/>
        <color rgb="FF000000"/>
        <rFont val="Times New Roman"/>
        <family val="1"/>
      </rPr>
      <t xml:space="preserve">TẠM ỨNG </t>
    </r>
    <r>
      <rPr>
        <sz val="12"/>
        <color rgb="FF000000"/>
        <rFont val="Times New Roman"/>
        <family val="1"/>
      </rPr>
      <t xml:space="preserve">= 2/3 của THU NHẬP và làm tròn tới hàng ngàn </t>
    </r>
  </si>
  <si>
    <r>
      <t xml:space="preserve">+ </t>
    </r>
    <r>
      <rPr>
        <b/>
        <sz val="12"/>
        <color rgb="FF000000"/>
        <rFont val="Times New Roman"/>
        <family val="1"/>
      </rPr>
      <t xml:space="preserve">CÒN LẠI </t>
    </r>
    <r>
      <rPr>
        <sz val="12"/>
        <color rgb="FF000000"/>
        <rFont val="Times New Roman"/>
        <family val="1"/>
      </rPr>
      <t xml:space="preserve">= THU NHẬP - TẠM ỨNG </t>
    </r>
  </si>
  <si>
    <r>
      <t xml:space="preserve">+ Sắp xếp Bảng tính theo cột </t>
    </r>
    <r>
      <rPr>
        <b/>
        <sz val="12"/>
        <color rgb="FF000000"/>
        <rFont val="Times New Roman"/>
        <family val="1"/>
      </rPr>
      <t>Chức vụ</t>
    </r>
    <r>
      <rPr>
        <sz val="12"/>
        <color rgb="FF000000"/>
        <rFont val="Times New Roman"/>
        <family val="1"/>
      </rPr>
      <t>, thứ tự Sắp xếp là tăng dần</t>
    </r>
  </si>
  <si>
    <t>THU
NHẬP</t>
  </si>
  <si>
    <t>TIỀN
KT</t>
  </si>
  <si>
    <t>BẢNG CHIẾT TÍNH  TIỀN KHÁCH SẠN</t>
  </si>
  <si>
    <t>TÊN KHÁCH</t>
  </si>
  <si>
    <t>LOẠI 
PHÒNG</t>
  </si>
  <si>
    <t>NGÀY
ĐẾN</t>
  </si>
  <si>
    <t>NGÀY
ĐI</t>
  </si>
  <si>
    <t>THỜI
GIAN</t>
  </si>
  <si>
    <t>GIÁ
1 NGÀY</t>
  </si>
  <si>
    <t>TIỀN
PHÒNG</t>
  </si>
  <si>
    <t>TIỀN CƯỚC</t>
  </si>
  <si>
    <t>CỘNG
TIỀN</t>
  </si>
  <si>
    <t>Tô  Linh Kha</t>
  </si>
  <si>
    <t>Trúc Lan Mai</t>
  </si>
  <si>
    <t>L1-BD</t>
  </si>
  <si>
    <t>L2-TL</t>
  </si>
  <si>
    <t>L3-QT</t>
  </si>
  <si>
    <t>L1-QT</t>
  </si>
  <si>
    <t>L3-BD</t>
  </si>
  <si>
    <t>L2-QT</t>
  </si>
  <si>
    <t>L1-TL</t>
  </si>
  <si>
    <t xml:space="preserve">+ THỜI GIAN = NGÀY ĐI - NGÀY ĐẾN </t>
  </si>
  <si>
    <t>+ GIÁ MỘT NGÀY</t>
  </si>
  <si>
    <t>- Nếu LOẠI PHÒNG có 2 kí tự đầu là "LI" thì giá một ngày là 30000</t>
  </si>
  <si>
    <t>- Nếu LOẠI PHÒNG có 2 kí tự đầu là "L2" thì giá một ngày là 25000</t>
  </si>
  <si>
    <t xml:space="preserve">- Nếu LOẠI PHÒNG có 2 kí tự đầu là "L3" thì giá một ngày là 20000 </t>
  </si>
  <si>
    <t>+ TIỀN PHÒNG = THỜI GIAN * GIÁ MỘT NGÀY</t>
  </si>
  <si>
    <t>+ TIỀN CƯỚC</t>
  </si>
  <si>
    <t>- Nếu LOẠI PHÒNG có 2 kí tự cuối là "QT" thì tiền cước là 15000</t>
  </si>
  <si>
    <t>- Nếu LOẠI PHÒNG có 2 kí tự cuối là "BD" thì tiền cước là 12000</t>
  </si>
  <si>
    <t xml:space="preserve">- Nếu LOẠI PHÒNG có 2 kí tự cuối là "TL" thì tiền cước là 10000 </t>
  </si>
  <si>
    <t>+ CỘNG TIỀN = TIỀN PHÒNG + TIỀN CƯỚC</t>
  </si>
  <si>
    <t>BẢNG CHIẾT TÍNH TIỀN ĐIỆN THÁNG 01/1995</t>
  </si>
  <si>
    <t>MÃ 
ĐK</t>
  </si>
  <si>
    <t>HỌ TÊN CHỦ HỘ</t>
  </si>
  <si>
    <t>MÃ
LOẠI
HỘ</t>
  </si>
  <si>
    <t>CHỈ 
SỐ
CŨ</t>
  </si>
  <si>
    <t>CHỈ
SỐ
MỚI</t>
  </si>
  <si>
    <t>SỐ KW SỬ
DỤNG</t>
  </si>
  <si>
    <t>GIÁ 1KW</t>
  </si>
  <si>
    <t>CƯỚC PHÍ</t>
  </si>
  <si>
    <t>PHẢI TRẢ</t>
  </si>
  <si>
    <t>DK101</t>
  </si>
  <si>
    <t>DK202</t>
  </si>
  <si>
    <t>DK203</t>
  </si>
  <si>
    <t>DK304</t>
  </si>
  <si>
    <t>DK205</t>
  </si>
  <si>
    <t>DK106</t>
  </si>
  <si>
    <t>DK307</t>
  </si>
  <si>
    <t>DK208</t>
  </si>
  <si>
    <t>DK109</t>
  </si>
  <si>
    <t>DK310</t>
  </si>
  <si>
    <t>Hoàng Thanh Quỳnh</t>
  </si>
  <si>
    <t>Phan Thanh Tuấn</t>
  </si>
  <si>
    <t>Huỳnh Ngọc Dương</t>
  </si>
  <si>
    <t>CQ-A</t>
  </si>
  <si>
    <t>KD-B</t>
  </si>
  <si>
    <t>CB-A</t>
  </si>
  <si>
    <t>CB-C</t>
  </si>
  <si>
    <t>CB-E</t>
  </si>
  <si>
    <t>KD-A</t>
  </si>
  <si>
    <t>CN-E</t>
  </si>
  <si>
    <t>ND-D</t>
  </si>
  <si>
    <t xml:space="preserve">1/ SỐ KW SỬ DỤNG = CHỈ SỐ MỚI - CHỈ SỐ CŨ </t>
  </si>
  <si>
    <t>2/ GIÁ 1KW</t>
  </si>
  <si>
    <t>- Nếu MÃ LOẠI HỘ có 2 ký tự đầu là "KD" thì giá 1KW là 500</t>
  </si>
  <si>
    <t>- Nếu MÃ LOẠI HỘ có 2 ký tự đầu là "CQ" thì giá 1KW là 800</t>
  </si>
  <si>
    <t>- Các hộ còn lại thì giá 1KW là 1000</t>
  </si>
  <si>
    <t>3/ CƯỚC PHÍ</t>
  </si>
  <si>
    <t>- Nếu MÃ ĐK với kí tự 2 và 3 là "K1" thì cước phí là 1000</t>
  </si>
  <si>
    <t>- Nếu MÃ ĐK với kí tự 2 và 3 là "K2" thì cước phí là 1500</t>
  </si>
  <si>
    <t xml:space="preserve">- Nếu MÃ ĐK với kí tự 2 và 3 là "K3" thì cước phí là 2000 </t>
  </si>
  <si>
    <t>4/ PHẢI TRẢ = GIÁ 1KW * SỐ KW SỬ DỤNG + CƯỚC PHÍ</t>
  </si>
  <si>
    <t>mid(Text,Strat_Num,Số kí tự)</t>
  </si>
  <si>
    <t>BẢNG LƯƠNG THÁNG 07/2001</t>
  </si>
  <si>
    <t>MÃ SỐ</t>
  </si>
  <si>
    <t>MÃ LOẠI</t>
  </si>
  <si>
    <t>SNCT</t>
  </si>
  <si>
    <t>HỆ
SỐ</t>
  </si>
  <si>
    <t>THỰC LÃNH</t>
  </si>
  <si>
    <t>Nguyễn Văn Nam</t>
  </si>
  <si>
    <t>Trần Thị Thu</t>
  </si>
  <si>
    <t>Ngô Khánh Hòa</t>
  </si>
  <si>
    <t>Hà Đông</t>
  </si>
  <si>
    <t>Thái Thanh</t>
  </si>
  <si>
    <t>Nguyễn Văn Quang</t>
  </si>
  <si>
    <t>Đoàn Hồ</t>
  </si>
  <si>
    <t>Nguyễn Trung</t>
  </si>
  <si>
    <t>Lý Thu Thảo</t>
  </si>
  <si>
    <t>Hồ Khanh</t>
  </si>
  <si>
    <t>FA4</t>
  </si>
  <si>
    <t>MC6</t>
  </si>
  <si>
    <t>FD3</t>
  </si>
  <si>
    <t>FB1</t>
  </si>
  <si>
    <t>MB7</t>
  </si>
  <si>
    <t>FC5</t>
  </si>
  <si>
    <t>FB2</t>
  </si>
  <si>
    <t>MA6</t>
  </si>
  <si>
    <t>FD5</t>
  </si>
  <si>
    <t>1/ Căn cứ vào cột Mã số để lấy ra các mã loại A, B, C, D...</t>
  </si>
  <si>
    <t xml:space="preserve">2/ SNCT: căn cứ vào ký tự bên phải của cột Mã số để lấy SNCT là 4, 6, 1, 2 </t>
  </si>
  <si>
    <t>3/ HỆ SỐ:</t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</si>
  <si>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"A" thì HỆ SỐ là 15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</si>
  <si>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"B" thì HỆ SỐ là 12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</si>
  <si>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"C" thì HỆ SỐ là 9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</si>
  <si>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"D" thì HỆ SỐ là 7</t>
    </r>
  </si>
  <si>
    <t>4/ LCB:</t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</si>
  <si>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"A" thì LCB là 600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</si>
  <si>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"B" thì LCB là 520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</si>
  <si>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"C" thì LCB là 420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</si>
  <si>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MÃ LOẠI = "D" thì LCB là 390</t>
    </r>
  </si>
  <si>
    <r>
      <t xml:space="preserve">3/ LƯƠNG: HỆ SỐ * LCB * NGÀY CÔNG </t>
    </r>
    <r>
      <rPr>
        <sz val="12"/>
        <color theme="1"/>
        <rFont val="Times New Roman"/>
        <family val="1"/>
      </rPr>
      <t>(nếu NGÀY CÔNG lớn hơn 25 thì từ ngày 26 trở đi mỗi ngày được tính gấp đôi)</t>
    </r>
  </si>
  <si>
    <t>Ví dụ: 26 ngày tính 27</t>
  </si>
  <si>
    <t>4/ PHỤ CẤP:</t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</si>
  <si>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kí tự bên trái của MÃ SỐ là "M" thì PHỤ CẤP là (SNCT*1000)+500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</si>
  <si>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Ngược lại thì PHỤ CẤP là SNCT*1000 5/ THỰC LANH: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</si>
  <si>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LƯƠNG + PHỤ CẤP lớn hơn 250000 thì THỰC LÃNH là 250000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</si>
  <si>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Nếu LƯƠNG + PHỤ CẤP nhỏ hơn 120000 thì THỰC LÃNH là 120000</t>
    </r>
  </si>
  <si>
    <t>Ngược lại THỰC LÃNH là LƯƠNG + PHỤ CẤP</t>
  </si>
  <si>
    <t>NHẬT KÝ KINH DOANH</t>
  </si>
  <si>
    <t>ĐƠN
VỊ</t>
  </si>
  <si>
    <t>LOẠI</t>
  </si>
  <si>
    <t>SỐ
LG</t>
  </si>
  <si>
    <t>ĐƠN
GIÁ</t>
  </si>
  <si>
    <t>TRỊ
GIÁ</t>
  </si>
  <si>
    <t>CHI
PHÍ</t>
  </si>
  <si>
    <t>01  03</t>
  </si>
  <si>
    <t>02  03</t>
  </si>
  <si>
    <t>BOVA</t>
  </si>
  <si>
    <t>MISA</t>
  </si>
  <si>
    <t>SUCA</t>
  </si>
  <si>
    <t>YAMA</t>
  </si>
  <si>
    <t>CEB</t>
  </si>
  <si>
    <t>BẮP</t>
  </si>
  <si>
    <t>GẠO</t>
  </si>
  <si>
    <t>NẾP</t>
  </si>
  <si>
    <t>SỮA</t>
  </si>
  <si>
    <t>KEO</t>
  </si>
  <si>
    <t>BIA</t>
  </si>
  <si>
    <t>KEM</t>
  </si>
  <si>
    <t>BẢNG TÍNH THUẾ</t>
  </si>
  <si>
    <t>BẢNG TỔNG HỢP</t>
  </si>
  <si>
    <t>Loại</t>
  </si>
  <si>
    <t>Tổng
số tiền</t>
  </si>
  <si>
    <t>BẢNG GIÁ</t>
  </si>
  <si>
    <t>1.ĐƠN GIÁ của mỗi loại hàng được nhập dựa vào LOẠI và BẢNG GIÁ</t>
  </si>
  <si>
    <t>TRỊ GIÁ = SỐ LG * ĐƠN GIÁ</t>
  </si>
  <si>
    <t>THUẾ = TỊ GIÁ * %THUẾ của từng đơn vị được lấy từ BẢNG TÍNH THUẾ</t>
  </si>
  <si>
    <t>4. CHI PHÍ:</t>
  </si>
  <si>
    <t xml:space="preserve"> Nếu Loại ="GẠO" thì CHI PHÍ là 120</t>
  </si>
  <si>
    <t>Ngược lại thì CHI PHÍ là 100</t>
  </si>
  <si>
    <t>5. CỘNG = Tổng của TRỊ GIÁ, CHI PHÍ, THUẾ</t>
  </si>
  <si>
    <t>6. Tính BẢNG TỔNG HỢP</t>
  </si>
  <si>
    <t>vlookup = giá tị mà vlookup tìm trong miền Table_araay,bảng tìm kiếm của vlookup, chỉ số dòng mà vlookup lấy kết quả,giá trị logic quy định kiểu tìm kiếm</t>
  </si>
  <si>
    <t>CHI TIẾT CUNG ỨNG HÀNG HÓA</t>
  </si>
  <si>
    <t>C.TỪ</t>
  </si>
  <si>
    <t>KHÁCH</t>
  </si>
  <si>
    <t>SỐ
LƯỢNG</t>
  </si>
  <si>
    <t>THÀNH
TIỀN</t>
  </si>
  <si>
    <t>THUÊ</t>
  </si>
  <si>
    <t>KD001</t>
  </si>
  <si>
    <t>KD002</t>
  </si>
  <si>
    <t>KD003</t>
  </si>
  <si>
    <t>BGI</t>
  </si>
  <si>
    <t>IBC</t>
  </si>
  <si>
    <t>IBM</t>
  </si>
  <si>
    <t>HCR</t>
  </si>
  <si>
    <t>BƯỞI</t>
  </si>
  <si>
    <t>CAM</t>
  </si>
  <si>
    <t>QUÝT</t>
  </si>
  <si>
    <t>MẬN</t>
  </si>
  <si>
    <t>NHO</t>
  </si>
  <si>
    <t>BẢNG THAM CHIẾU</t>
  </si>
  <si>
    <t>PHÍ</t>
  </si>
  <si>
    <t>SỐ
LẦN</t>
  </si>
  <si>
    <t>TỔNG</t>
  </si>
  <si>
    <t>1/ ĐƠN GIÁ được lấy dựa vào cột LOẠI và BẢNG THAM CHIẾU</t>
  </si>
  <si>
    <t>2/ THÀNH TIỀN = SỐ LƯỢNG * ĐƠN GIÁ</t>
  </si>
  <si>
    <t>3/ CHI PHÍ = THÀNH TIỀN * %PHÍ lấy từ BẢNG THAM CHIẾU</t>
  </si>
  <si>
    <t>4/ THUẾ = 4% * THÀNH TIỀN</t>
  </si>
  <si>
    <t>5/ CỘNG = tổng của THÀNH TIỀN, CHI PHÍ, THUẾ</t>
  </si>
  <si>
    <t>6/ Lập BẢNG TỔNG HỢP</t>
  </si>
  <si>
    <t>- SỐ LÂN là tổng số lần khách đến giao dịch</t>
  </si>
  <si>
    <t>- TỔNG là tổng số tiền của từng khách</t>
  </si>
  <si>
    <t>CEE</t>
  </si>
  <si>
    <t>BÁO CÁO DOANH THU THÁNG 10/2000</t>
  </si>
  <si>
    <t>MÃ HÀNG</t>
  </si>
  <si>
    <t>TÊN
HÀNG</t>
  </si>
  <si>
    <t>NƠI BÁN</t>
  </si>
  <si>
    <t>TRỊ GIÁ</t>
  </si>
  <si>
    <t>TIỀN 
CƯỚC</t>
  </si>
  <si>
    <t>HƯ
HỎNG</t>
  </si>
  <si>
    <t>S</t>
  </si>
  <si>
    <t>X</t>
  </si>
  <si>
    <t>G</t>
  </si>
  <si>
    <t>HN</t>
  </si>
  <si>
    <t>CT</t>
  </si>
  <si>
    <t>VT</t>
  </si>
  <si>
    <t>SG</t>
  </si>
  <si>
    <t>BẢNG 1</t>
  </si>
  <si>
    <t>MÃ
HÀNG</t>
  </si>
  <si>
    <t>ĐƠN 
GIÁ</t>
  </si>
  <si>
    <t>Gạch</t>
  </si>
  <si>
    <t>Cát</t>
  </si>
  <si>
    <t>Sắt</t>
  </si>
  <si>
    <t>Xi măng</t>
  </si>
  <si>
    <t>BẢNG 2</t>
  </si>
  <si>
    <t>NƠI
BÁN</t>
  </si>
  <si>
    <t>CƯỚC</t>
  </si>
  <si>
    <t>1/ Dựa vào BẢNG 1, hãy điền TÊN HÀNG</t>
  </si>
  <si>
    <t>2/ Dựa vào BẢNG 1, hãy tính  TRI GIÁ = SỐ LƯỢNG * ĐƠN GIÁ</t>
  </si>
  <si>
    <t>3/ Dựa vào BẢNG 2, hãy tính TIỀN CƯỚC theo NƠI BÁN</t>
  </si>
  <si>
    <t>TIỀN CƯỚC = TRỊ GIÁ * CƯỚC</t>
  </si>
  <si>
    <t xml:space="preserve">4/ Tính HUÊ HỒNG </t>
  </si>
  <si>
    <t>- Nếu SỐ LƯỢNG &gt;= 3 thì HUÊ HỒNG = 5%* TRỊ GIÁ</t>
  </si>
  <si>
    <t>- Nếu SỐ LƯỢNG &lt; 3 thì HUÊ HỒNG = 0</t>
  </si>
  <si>
    <t>5/ Tính THÀNH TIỀN = TRỊ GIÁ + TIỀN CƯỚC – HUÊ HỒNG</t>
  </si>
  <si>
    <t>6/ Hãy tính DOANH THU theo bảng sau</t>
  </si>
  <si>
    <t>TỔNG DOANH THU</t>
  </si>
  <si>
    <t>Xi
măng</t>
  </si>
  <si>
    <t>7/ Định dạng các ô kiểu số theo kiểu #,##0</t>
  </si>
  <si>
    <t>BÁO CÁO BÁN HÀNG THÁNG 4 NĂM 2003</t>
  </si>
  <si>
    <t>NGÀY
BÁN</t>
  </si>
  <si>
    <t>GIÁ
SỈ</t>
  </si>
  <si>
    <t>GIÁ
LẺ</t>
  </si>
  <si>
    <t>TỔNG TIỀN</t>
  </si>
  <si>
    <t>TVN</t>
  </si>
  <si>
    <t>TLX</t>
  </si>
  <si>
    <t>TVX</t>
  </si>
  <si>
    <t>MGN</t>
  </si>
  <si>
    <t>BUN</t>
  </si>
  <si>
    <t>MTN</t>
  </si>
  <si>
    <t>MIX</t>
  </si>
  <si>
    <t>MTX</t>
  </si>
  <si>
    <t>MIN</t>
  </si>
  <si>
    <t>BẢNG GIÁ MẶT HÀNG</t>
  </si>
  <si>
    <t>TV</t>
  </si>
  <si>
    <t>TL</t>
  </si>
  <si>
    <t>MG</t>
  </si>
  <si>
    <t>MT</t>
  </si>
  <si>
    <t>MI</t>
  </si>
  <si>
    <t>BU</t>
  </si>
  <si>
    <t>Tivi</t>
  </si>
  <si>
    <t>Tủ lạnh</t>
  </si>
  <si>
    <t>Máy giặt</t>
  </si>
  <si>
    <t>Máy tính</t>
  </si>
  <si>
    <t>Bàn ủi</t>
  </si>
  <si>
    <t>Máy in</t>
  </si>
  <si>
    <t>4/18/2003</t>
  </si>
  <si>
    <t>4/20/2003</t>
  </si>
  <si>
    <t>4/15/2003</t>
  </si>
  <si>
    <t>GIÁ SỈ</t>
  </si>
  <si>
    <t>GIÁ LẺ</t>
  </si>
  <si>
    <t xml:space="preserve">1/ Dựa vào MÃ HÀNG và BẢNG GIÁ MẶT BẰNG điền dữ liệu vào cột TÊN HÀNG </t>
  </si>
  <si>
    <t xml:space="preserve">2/ Dựa vào MÃ HÀNG và BẢNG GIÁ MẶT BẰNG điền dữ liệu vào cột GIÁ SỈ, GIÁ LẺ </t>
  </si>
  <si>
    <t>3/ Tính cột THÀNH TIỀN theo yêu cầu sau</t>
  </si>
  <si>
    <t>- Nếu SỐ LƯỢNG &gt;=10 thì THÀNH TIỀN = SỐ LƯỢNG * GIÁ SỈ</t>
  </si>
  <si>
    <t xml:space="preserve">- Nếu SỐ LƯỢNG &lt;10 thì THÀNH TIỀN = SỐ LƯỢNG * GIÁ LẺ </t>
  </si>
  <si>
    <t>4/ Tính cột THUẾ theo yêu cầu sau</t>
  </si>
  <si>
    <t>- Nếu SỐ LƯỢnG &gt;=10 thì THUẾ = 5%THÀNH TIỀN</t>
  </si>
  <si>
    <t>- Nếu SỐ LƯỢNG &lt;10 thì THUẾ = 10%THÀNH TIỀN</t>
  </si>
  <si>
    <t xml:space="preserve">5/ Định dạng cột GIÁ SỈ, GIÁ LẺ, THÀNH TIỀN, TỔNG TIỀN theo kiểu Curreney 1 số lẻ </t>
  </si>
  <si>
    <r>
      <t xml:space="preserve">6/ Định dạng NGÀY BÁN theo kiểu </t>
    </r>
    <r>
      <rPr>
        <b/>
        <sz val="12"/>
        <color rgb="FF000000"/>
        <rFont val="Courier New"/>
        <family val="3"/>
      </rPr>
      <t>dd-mm-yyyy</t>
    </r>
  </si>
  <si>
    <t>BẢNG LƯƠNG THÁNG 07/1998</t>
  </si>
  <si>
    <t>MÃ NV</t>
  </si>
  <si>
    <t>Họ và tên</t>
  </si>
  <si>
    <t>Chức
vụ</t>
  </si>
  <si>
    <t>Mã
KT</t>
  </si>
  <si>
    <t>Hệ số thi
đua</t>
  </si>
  <si>
    <t>Hệ số
trách
nhiệm</t>
  </si>
  <si>
    <t>Điểm
thi đua</t>
  </si>
  <si>
    <t>Tổng quỹ lương</t>
  </si>
  <si>
    <t>01A001</t>
  </si>
  <si>
    <t>01A002</t>
  </si>
  <si>
    <t>01A003</t>
  </si>
  <si>
    <t>02A001</t>
  </si>
  <si>
    <t>03A009</t>
  </si>
  <si>
    <t>03A010</t>
  </si>
  <si>
    <t>03A011</t>
  </si>
  <si>
    <t>03A012</t>
  </si>
  <si>
    <t>03B001</t>
  </si>
  <si>
    <t>Mai Hạnh</t>
  </si>
  <si>
    <t>Cao Ngọc Quỳnh</t>
  </si>
  <si>
    <t>Trần Trung Trường</t>
  </si>
  <si>
    <t>Trần Minh Hồng</t>
  </si>
  <si>
    <t>Nguyễn Thu Hồng</t>
  </si>
  <si>
    <t>Trương Kim Ngân</t>
  </si>
  <si>
    <t>Lê Thu Hà</t>
  </si>
  <si>
    <t>Nguyễn Hoàng Sơn</t>
  </si>
  <si>
    <t>Võ Chấn</t>
  </si>
  <si>
    <t>Trịnh Thúy Hằng</t>
  </si>
  <si>
    <t>BẢNG HSTN</t>
  </si>
  <si>
    <t>Chức vụ</t>
  </si>
  <si>
    <t>BẢNG HSTĐ</t>
  </si>
  <si>
    <t>Mã KT</t>
  </si>
  <si>
    <t>1/ Chèn thêm cột STT vào bảng tính</t>
  </si>
  <si>
    <t>2/ Hệ số thi đua: dựa vào Mã KT và bảng HSTĐ</t>
  </si>
  <si>
    <t>3/ Hệ số trách nhiệm: dựa vào Chức vụ và bảng HSTN</t>
  </si>
  <si>
    <t>4/ Điểm thi đua = Hệ số thi đua * Hệ số trách nhiệm</t>
  </si>
  <si>
    <t>5/ Tính tổng điểm thi đua và đặt vào ô tương ứng tại dòng tổng cộng</t>
  </si>
  <si>
    <t>6/ Tiền lương = Tổng quỹ lương * Điểm thi đua của từng cá nhân / Tổng của điểm thi đua, kết quả làm tròn đến hàng ngàn</t>
  </si>
  <si>
    <t>7/ Sắp xếp thứ tự cho Bảng tính theo cột mã KT, thứ tự sắp xếp tăng dần</t>
  </si>
  <si>
    <t>Hệ số
trách nhiệm</t>
  </si>
  <si>
    <t>BẢNG TIỀN LƯƠNG + THƯỞNG THÁNG 7 NĂM 2001</t>
  </si>
  <si>
    <t>SỐ CON</t>
  </si>
  <si>
    <t>HỆ SỐ</t>
  </si>
  <si>
    <t>NGÀY
LÀM
VIỆC</t>
  </si>
  <si>
    <t>THƯỞNG</t>
  </si>
  <si>
    <t>PHỤ
CẤP
CON</t>
  </si>
  <si>
    <t xml:space="preserve">1/ Cột PHÁI: Số 0 là Nữ, Số 1 là Nam </t>
  </si>
  <si>
    <t>2/ LOẠI:</t>
  </si>
  <si>
    <t>- Nếu ngày làm việc lớn hơn 25 ngày thì xếp loại A</t>
  </si>
  <si>
    <t>- Nếu từ 24 ngày đến 25 ngày thì xếp loại B</t>
  </si>
  <si>
    <t xml:space="preserve">- Nếu ngày làm việc nhỏ hơn 24 ngày thì xếp loại C </t>
  </si>
  <si>
    <t>3/ LƯƠNG = HỆ Số * 120000</t>
  </si>
  <si>
    <t>4/ THƯỞNG:</t>
  </si>
  <si>
    <t>- Nếu xếp loại = "A" thì thưởng là 50000</t>
  </si>
  <si>
    <t>- Nếu xếp loại = "B" thì thưởng là 20000</t>
  </si>
  <si>
    <t xml:space="preserve">- Nếu xếp loại = "C" thì thưởng là -20000 </t>
  </si>
  <si>
    <t>5/ PHỤ CẤP CON</t>
  </si>
  <si>
    <t>- Nếu là phái Nữ và có từ 2 con trở lên thì phụ cấp con là 100000</t>
  </si>
  <si>
    <t>- Nếu là phái Nữ và có 1 con được lãnh phụ cấp con là 50000</t>
  </si>
  <si>
    <t>- Ngược lại thì không có phụ cấp</t>
  </si>
  <si>
    <t>6/ THỰC LÃNH = LƯƠNG + THƯỞNG + PHỤ CẤP CON</t>
  </si>
  <si>
    <t>BẢNG TÍNH TIỀN LƯƠNG CUỐI NĂM XÍ NGHIỆP HOA ANH ĐÀO</t>
  </si>
  <si>
    <t>Lương
cơ bản</t>
  </si>
  <si>
    <t>Ngày</t>
  </si>
  <si>
    <t>Lương</t>
  </si>
  <si>
    <t>Xếp loại</t>
  </si>
  <si>
    <t>Thưởng</t>
  </si>
  <si>
    <t>Tổng 
cộng</t>
  </si>
  <si>
    <t>PG</t>
  </si>
  <si>
    <t>HSL:</t>
  </si>
  <si>
    <t>HST:</t>
  </si>
  <si>
    <t>1/ Lương = Lương căn bản * Ngày * HSL</t>
  </si>
  <si>
    <t>2/ Xếp loại</t>
  </si>
  <si>
    <t>- Nếu Ngày &gt; 25 thì Xếp loại là Loại 1</t>
  </si>
  <si>
    <t>- Nếu 22 &lt;= Ngày &lt;= 25 thì Xếp loại là Loại 2</t>
  </si>
  <si>
    <t xml:space="preserve">- Nếu Ngày &lt; 22 thì Xếp loại là Loại 3 </t>
  </si>
  <si>
    <t>3/ Thưởng</t>
  </si>
  <si>
    <t>- Nếu Xếp loại là "Loại 1" thì Thưởng = HSL * 50000</t>
  </si>
  <si>
    <t>- Nếu Xếp loại là "Loại 2" thì Thưởng = HSL * 45000</t>
  </si>
  <si>
    <t xml:space="preserve">- Nếu Xếp loại là "Loại 3" thì Thưởng = HSL * 35000 </t>
  </si>
  <si>
    <t>Làm tròn cột thưởng đến hàng ngà</t>
  </si>
  <si>
    <t>4/TỔNG CỘNG = LƯƠNG + THƯỞNG</t>
  </si>
  <si>
    <t>CÁC CHUYẾN DU LỊCH QUỐC NỘI THÁNG 01/2005</t>
  </si>
  <si>
    <t>Địa điểm</t>
  </si>
  <si>
    <t>Ngày đi</t>
  </si>
  <si>
    <t>Ngày về</t>
  </si>
  <si>
    <t>Số ngày</t>
  </si>
  <si>
    <t>Tiền xe</t>
  </si>
  <si>
    <t>Khách sạn</t>
  </si>
  <si>
    <t>Cộng</t>
  </si>
  <si>
    <t>Nha Trang</t>
  </si>
  <si>
    <t>Huế</t>
  </si>
  <si>
    <t>Tổng cộng</t>
  </si>
  <si>
    <t>Đà Lạt</t>
  </si>
  <si>
    <t>Phân tích</t>
  </si>
  <si>
    <t>Bảng giá chi phí</t>
  </si>
  <si>
    <t>Tiền xe/lượt</t>
  </si>
  <si>
    <t>Tiền KS/ngày</t>
  </si>
  <si>
    <t>50,000$</t>
  </si>
  <si>
    <t>40,000$</t>
  </si>
  <si>
    <t>60,000$</t>
  </si>
  <si>
    <t>80,000$</t>
  </si>
  <si>
    <t>90,000$</t>
  </si>
  <si>
    <t>1/Lập công thức cho cột Số ngày = Ngày về - Ngày đi</t>
  </si>
  <si>
    <t>2/Lạp sẵn cthuc cho cột Cộng = Tiền xe + khách san</t>
  </si>
  <si>
    <t>3/Lập sẵn cthuc cộng dọc các cột Số ngày,tiền xe, khách sạn, cộng để điền vào dòng tổng</t>
  </si>
  <si>
    <t>4/Dựa vào Bảng giá chi phí, dùng hàm để lập công thức cho cột</t>
  </si>
  <si>
    <t>tiền xe và khách sạn(số ngày*bảng giá tương ứng)</t>
  </si>
  <si>
    <t>5/Lập công thức cộng dọc cho các dòng phân tích</t>
  </si>
  <si>
    <t>Định dạng các ô có dữ liệu là số tiền như trong Bảng giá chi phí</t>
  </si>
  <si>
    <t>BẢNG THEO DÕI KHÁCH HÀNG</t>
  </si>
  <si>
    <t>Loại
phòng</t>
  </si>
  <si>
    <t>BẢNG KÊ VẬT LIỆU XÂY DỰNG CÔNG TRÌNH X</t>
  </si>
  <si>
    <t>Mã vật
liệu</t>
  </si>
  <si>
    <t>Tên vật
liệu</t>
  </si>
  <si>
    <t>Số lượng 
loại 1</t>
  </si>
  <si>
    <t>Số lượng 
loại 2</t>
  </si>
  <si>
    <t>Đơn vị
tính</t>
  </si>
  <si>
    <t>Thành 
tiền
(Đồng)</t>
  </si>
  <si>
    <t>Giảm
giá
(Đồng)</t>
  </si>
  <si>
    <t>Tiền phải trả</t>
  </si>
  <si>
    <t>VLX</t>
  </si>
  <si>
    <t>VLC</t>
  </si>
  <si>
    <t>VLG</t>
  </si>
  <si>
    <t>VLD</t>
  </si>
  <si>
    <t>Bảng phụ</t>
  </si>
  <si>
    <t>Đơn giá(Đồng</t>
  </si>
  <si>
    <t>Loại 1</t>
  </si>
  <si>
    <t>Loại 2</t>
  </si>
  <si>
    <t>Đơn vị 
tính</t>
  </si>
  <si>
    <t>D</t>
  </si>
  <si>
    <t>Đá</t>
  </si>
  <si>
    <t>Bao</t>
  </si>
  <si>
    <t>Khối</t>
  </si>
  <si>
    <t>Viên</t>
  </si>
  <si>
    <t>Bảng thống kê</t>
  </si>
  <si>
    <t>Số tiền phải trả</t>
  </si>
  <si>
    <t xml:space="preserve">1/ Xác định Tên vật liệu căn cứ vào 2 kí tự cuối của Mã vật liệu và Bảng phụ </t>
  </si>
  <si>
    <t>Xác định Đơn vị tính của từng loại vật liệu theo Bảng phụ</t>
  </si>
  <si>
    <t>3/ Tính cột Thành tiền bằng tổng của các tích Số lượng * Đơn giá tương ứng theo từng loại của vật liệu, với đơn giá của từng loại cho trong Bảng phụ</t>
  </si>
  <si>
    <t xml:space="preserve">4/ Tính cột Giảm giá biết rằng vật liệu Xi măng và có Thành tiền trên 3 triệu đồng thì được giảm 10%Thành tiền </t>
  </si>
  <si>
    <t xml:space="preserve">5/ Tính cột Tiền phải trả bằng Thành tiền - Giảm giá </t>
  </si>
  <si>
    <t xml:space="preserve">6/ Tính ô Tổng cộng là tổng tiền phải trả cho các loại vật liệu </t>
  </si>
  <si>
    <t>7/ Tính Bảng thống kê</t>
  </si>
  <si>
    <t>8/ Định dạng bảng tính theo mẫu. Định dạng số tiền theo kiểu tiền tệ có dấu phân cách hàng ngàn theo kiểu #,##0. Ví dụ: 56,000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</si>
</sst>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ourier New"/>
      <family val="3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1" fillId="0" borderId="1" xfId="0" applyNumberFormat="1" applyFont="1" applyBorder="1"/>
    <xf numFmtId="0" fontId="7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textRotation="180"/>
    </xf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6"/>
    </xf>
    <xf numFmtId="0" fontId="2" fillId="4" borderId="1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180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indent="10"/>
    </xf>
    <xf numFmtId="0" fontId="6" fillId="0" borderId="0" xfId="0" applyFon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/>
    <xf numFmtId="9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textRotation="180" wrapText="1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/>
    <xf numFmtId="14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1" xfId="0" applyNumberFormat="1" applyFont="1" applyBorder="1"/>
    <xf numFmtId="0" fontId="12" fillId="0" borderId="5" xfId="0" applyFont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0" xfId="0" applyFont="1"/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180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14" fontId="12" fillId="0" borderId="1" xfId="0" applyNumberFormat="1" applyFont="1" applyBorder="1"/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BA57-9E6D-408E-A0F9-4B5FC074865A}">
  <dimension ref="A1:H17"/>
  <sheetViews>
    <sheetView workbookViewId="0">
      <selection activeCell="H10" sqref="H10"/>
    </sheetView>
  </sheetViews>
  <sheetFormatPr defaultRowHeight="15.6" x14ac:dyDescent="0.3"/>
  <cols>
    <col min="1" max="1" width="8.88671875" style="1"/>
    <col min="2" max="2" width="18.88671875" style="1" customWidth="1"/>
    <col min="3" max="3" width="8.88671875" style="1"/>
    <col min="4" max="4" width="9.77734375" style="1" customWidth="1"/>
    <col min="5" max="7" width="8.88671875" style="1"/>
    <col min="8" max="8" width="9.33203125" style="1" bestFit="1" customWidth="1"/>
    <col min="9" max="16384" width="8.88671875" style="1"/>
  </cols>
  <sheetData>
    <row r="1" spans="1:8" x14ac:dyDescent="0.3">
      <c r="D1" s="1" t="s">
        <v>0</v>
      </c>
    </row>
    <row r="2" spans="1:8" ht="44.4" customHeight="1" x14ac:dyDescent="0.3">
      <c r="A2" s="3" t="s">
        <v>1</v>
      </c>
      <c r="B2" s="3" t="s">
        <v>2</v>
      </c>
      <c r="C2" s="4" t="s">
        <v>4</v>
      </c>
      <c r="D2" s="4" t="s">
        <v>3</v>
      </c>
      <c r="E2" s="3" t="s">
        <v>5</v>
      </c>
      <c r="F2" s="3" t="s">
        <v>6</v>
      </c>
      <c r="G2" s="4" t="s">
        <v>7</v>
      </c>
      <c r="H2" s="4" t="s">
        <v>8</v>
      </c>
    </row>
    <row r="3" spans="1:8" x14ac:dyDescent="0.3">
      <c r="A3" s="2">
        <v>1</v>
      </c>
      <c r="B3" s="2" t="s">
        <v>9</v>
      </c>
      <c r="C3" s="2" t="s">
        <v>16</v>
      </c>
      <c r="D3" s="2">
        <v>1200</v>
      </c>
      <c r="E3" s="2">
        <v>25</v>
      </c>
      <c r="F3" s="2">
        <f>D3*E3</f>
        <v>30000</v>
      </c>
      <c r="G3" s="2">
        <f>(2/3)*(F3)</f>
        <v>20000</v>
      </c>
      <c r="H3" s="2">
        <f>F3-G3</f>
        <v>10000</v>
      </c>
    </row>
    <row r="4" spans="1:8" x14ac:dyDescent="0.3">
      <c r="A4" s="2">
        <f>A3+1</f>
        <v>2</v>
      </c>
      <c r="B4" s="2" t="s">
        <v>10</v>
      </c>
      <c r="C4" s="2" t="s">
        <v>17</v>
      </c>
      <c r="D4" s="2">
        <v>1600</v>
      </c>
      <c r="E4" s="2">
        <v>24</v>
      </c>
      <c r="F4" s="2">
        <f t="shared" ref="F4:F9" si="0">D4*E4</f>
        <v>38400</v>
      </c>
      <c r="G4" s="2">
        <f t="shared" ref="G4:G9" si="1">(2/3)*(F4)</f>
        <v>25600</v>
      </c>
      <c r="H4" s="2">
        <f t="shared" ref="H4:H10" si="2">F4-G4</f>
        <v>12800</v>
      </c>
    </row>
    <row r="5" spans="1:8" x14ac:dyDescent="0.3">
      <c r="A5" s="2">
        <f t="shared" ref="A5:A9" si="3">A4+1</f>
        <v>3</v>
      </c>
      <c r="B5" s="2" t="s">
        <v>11</v>
      </c>
      <c r="C5" s="2" t="s">
        <v>20</v>
      </c>
      <c r="D5" s="2">
        <v>1500</v>
      </c>
      <c r="E5" s="2">
        <v>26</v>
      </c>
      <c r="F5" s="2">
        <f t="shared" si="0"/>
        <v>39000</v>
      </c>
      <c r="G5" s="2">
        <f t="shared" si="1"/>
        <v>26000</v>
      </c>
      <c r="H5" s="2">
        <f t="shared" si="2"/>
        <v>13000</v>
      </c>
    </row>
    <row r="6" spans="1:8" x14ac:dyDescent="0.3">
      <c r="A6" s="2">
        <f t="shared" si="3"/>
        <v>4</v>
      </c>
      <c r="B6" s="2" t="s">
        <v>12</v>
      </c>
      <c r="C6" s="2" t="s">
        <v>18</v>
      </c>
      <c r="D6" s="2">
        <v>1300</v>
      </c>
      <c r="E6" s="2">
        <v>20</v>
      </c>
      <c r="F6" s="2">
        <f t="shared" si="0"/>
        <v>26000</v>
      </c>
      <c r="G6" s="16">
        <f t="shared" si="1"/>
        <v>17333.333333333332</v>
      </c>
      <c r="H6" s="16">
        <f t="shared" si="2"/>
        <v>8666.6666666666679</v>
      </c>
    </row>
    <row r="7" spans="1:8" x14ac:dyDescent="0.3">
      <c r="A7" s="2">
        <f t="shared" si="3"/>
        <v>5</v>
      </c>
      <c r="B7" s="2" t="s">
        <v>13</v>
      </c>
      <c r="C7" s="2" t="s">
        <v>19</v>
      </c>
      <c r="D7" s="2">
        <v>1800</v>
      </c>
      <c r="E7" s="2">
        <v>23</v>
      </c>
      <c r="F7" s="2">
        <f t="shared" si="0"/>
        <v>41400</v>
      </c>
      <c r="G7" s="2">
        <f t="shared" si="1"/>
        <v>27600</v>
      </c>
      <c r="H7" s="2">
        <f t="shared" si="2"/>
        <v>13800</v>
      </c>
    </row>
    <row r="8" spans="1:8" x14ac:dyDescent="0.3">
      <c r="A8" s="2">
        <f t="shared" si="3"/>
        <v>6</v>
      </c>
      <c r="B8" s="2" t="s">
        <v>14</v>
      </c>
      <c r="C8" s="2" t="s">
        <v>16</v>
      </c>
      <c r="D8" s="2">
        <v>1500</v>
      </c>
      <c r="E8" s="2">
        <v>22</v>
      </c>
      <c r="F8" s="2">
        <f t="shared" si="0"/>
        <v>33000</v>
      </c>
      <c r="G8" s="2">
        <f t="shared" si="1"/>
        <v>22000</v>
      </c>
      <c r="H8" s="2">
        <f t="shared" si="2"/>
        <v>11000</v>
      </c>
    </row>
    <row r="9" spans="1:8" x14ac:dyDescent="0.3">
      <c r="A9" s="2">
        <f t="shared" si="3"/>
        <v>7</v>
      </c>
      <c r="B9" s="2" t="s">
        <v>15</v>
      </c>
      <c r="C9" s="2" t="s">
        <v>17</v>
      </c>
      <c r="D9" s="2">
        <v>1400</v>
      </c>
      <c r="E9" s="2">
        <v>27</v>
      </c>
      <c r="F9" s="2">
        <f t="shared" si="0"/>
        <v>37800</v>
      </c>
      <c r="G9" s="2">
        <f t="shared" si="1"/>
        <v>25200</v>
      </c>
      <c r="H9" s="2">
        <f t="shared" si="2"/>
        <v>12600</v>
      </c>
    </row>
    <row r="10" spans="1:8" x14ac:dyDescent="0.3">
      <c r="A10" s="60" t="s">
        <v>21</v>
      </c>
      <c r="B10" s="61"/>
      <c r="C10" s="61"/>
      <c r="D10" s="61"/>
      <c r="E10" s="62"/>
      <c r="F10" s="2">
        <f>SUM(F3:F9)</f>
        <v>245600</v>
      </c>
      <c r="G10" s="2">
        <f>SUM(G3:G9)</f>
        <v>163733.33333333331</v>
      </c>
      <c r="H10" s="16">
        <f t="shared" si="2"/>
        <v>81866.666666666686</v>
      </c>
    </row>
    <row r="12" spans="1:8" x14ac:dyDescent="0.3">
      <c r="A12" s="1" t="s">
        <v>26</v>
      </c>
    </row>
    <row r="13" spans="1:8" x14ac:dyDescent="0.3">
      <c r="A13" s="5" t="s">
        <v>22</v>
      </c>
    </row>
    <row r="14" spans="1:8" x14ac:dyDescent="0.3">
      <c r="A14" s="5" t="s">
        <v>23</v>
      </c>
    </row>
    <row r="15" spans="1:8" x14ac:dyDescent="0.3">
      <c r="A15" s="5" t="s">
        <v>24</v>
      </c>
    </row>
    <row r="16" spans="1:8" x14ac:dyDescent="0.3">
      <c r="A16" s="5" t="s">
        <v>27</v>
      </c>
    </row>
    <row r="17" spans="1:1" x14ac:dyDescent="0.3">
      <c r="A17" s="5" t="s">
        <v>25</v>
      </c>
    </row>
  </sheetData>
  <mergeCells count="1">
    <mergeCell ref="A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5861-35A7-48FE-8FEF-8F879B2F8FDF}">
  <dimension ref="A1:K36"/>
  <sheetViews>
    <sheetView topLeftCell="A3" zoomScale="80" zoomScaleNormal="80" workbookViewId="0">
      <selection activeCell="I5" sqref="I5"/>
    </sheetView>
  </sheetViews>
  <sheetFormatPr defaultRowHeight="15.6" x14ac:dyDescent="0.3"/>
  <cols>
    <col min="1" max="1" width="6.44140625" style="1" customWidth="1"/>
    <col min="2" max="2" width="21.6640625" style="1" customWidth="1"/>
    <col min="3" max="3" width="8.88671875" style="1"/>
    <col min="4" max="4" width="11" style="1" customWidth="1"/>
    <col min="5" max="8" width="8.88671875" style="1"/>
    <col min="9" max="9" width="11.109375" style="1" customWidth="1"/>
    <col min="10" max="10" width="12.44140625" style="1" customWidth="1"/>
    <col min="11" max="11" width="14.88671875" style="1" customWidth="1"/>
    <col min="12" max="16384" width="8.88671875" style="1"/>
  </cols>
  <sheetData>
    <row r="1" spans="1:11" x14ac:dyDescent="0.3">
      <c r="D1" s="1" t="s">
        <v>263</v>
      </c>
    </row>
    <row r="3" spans="1:11" ht="36.6" x14ac:dyDescent="0.3">
      <c r="A3" s="19" t="s">
        <v>1</v>
      </c>
      <c r="B3" s="19" t="s">
        <v>2</v>
      </c>
      <c r="C3" s="19" t="s">
        <v>264</v>
      </c>
      <c r="D3" s="19" t="s">
        <v>265</v>
      </c>
      <c r="E3" s="18" t="s">
        <v>266</v>
      </c>
      <c r="F3" s="23" t="s">
        <v>267</v>
      </c>
      <c r="G3" s="18" t="s">
        <v>31</v>
      </c>
      <c r="H3" s="23" t="s">
        <v>164</v>
      </c>
      <c r="I3" s="19" t="s">
        <v>6</v>
      </c>
      <c r="J3" s="23" t="s">
        <v>45</v>
      </c>
      <c r="K3" s="19" t="s">
        <v>268</v>
      </c>
    </row>
    <row r="4" spans="1:11" x14ac:dyDescent="0.3">
      <c r="A4" s="2">
        <v>1</v>
      </c>
      <c r="B4" s="2" t="s">
        <v>269</v>
      </c>
      <c r="C4" s="2" t="s">
        <v>279</v>
      </c>
      <c r="D4" s="2" t="str">
        <f>MID(C4,2,1)</f>
        <v>A</v>
      </c>
      <c r="E4" s="2" t="str">
        <f>RIGHT(C4,1)</f>
        <v>4</v>
      </c>
      <c r="F4" s="2">
        <f>IF(D4="A",15,IF(D4="B",12,IF(D4="C",9,IF(D4="D",7))))</f>
        <v>15</v>
      </c>
      <c r="G4" s="2">
        <f>IF(D4="A",600,IF(D4="B",520,IF(D4="C",420,IF(D4="D",390))))</f>
        <v>600</v>
      </c>
      <c r="H4" s="2">
        <v>25</v>
      </c>
      <c r="I4" s="2"/>
      <c r="J4" s="2"/>
      <c r="K4" s="2"/>
    </row>
    <row r="5" spans="1:11" x14ac:dyDescent="0.3">
      <c r="A5" s="2">
        <f>A4+1</f>
        <v>2</v>
      </c>
      <c r="B5" s="2" t="s">
        <v>270</v>
      </c>
      <c r="C5" s="2" t="s">
        <v>280</v>
      </c>
      <c r="D5" s="2" t="str">
        <f t="shared" ref="D5:D13" si="0">MID(C5,2,1)</f>
        <v>C</v>
      </c>
      <c r="E5" s="2" t="str">
        <f t="shared" ref="E5:E13" si="1">RIGHT(C5,1)</f>
        <v>6</v>
      </c>
      <c r="F5" s="2">
        <f t="shared" ref="F5:F13" si="2">IF(D5="A",15,IF(D5="B",12,IF(D5="C",9,IF(D5="D",7))))</f>
        <v>9</v>
      </c>
      <c r="G5" s="2">
        <f t="shared" ref="G5:G13" si="3">IF(D5="A",600,IF(D5="B",520,IF(D5="C",420,IF(D5="D",390))))</f>
        <v>420</v>
      </c>
      <c r="H5" s="2">
        <v>23</v>
      </c>
      <c r="I5" s="2"/>
      <c r="J5" s="2"/>
      <c r="K5" s="2"/>
    </row>
    <row r="6" spans="1:11" x14ac:dyDescent="0.3">
      <c r="A6" s="2">
        <f t="shared" ref="A6:A13" si="4">A5+1</f>
        <v>3</v>
      </c>
      <c r="B6" s="2" t="s">
        <v>271</v>
      </c>
      <c r="C6" s="2" t="s">
        <v>281</v>
      </c>
      <c r="D6" s="2" t="str">
        <f t="shared" si="0"/>
        <v>D</v>
      </c>
      <c r="E6" s="2" t="str">
        <f t="shared" si="1"/>
        <v>3</v>
      </c>
      <c r="F6" s="2">
        <f t="shared" si="2"/>
        <v>7</v>
      </c>
      <c r="G6" s="2">
        <f t="shared" si="3"/>
        <v>390</v>
      </c>
      <c r="H6" s="2">
        <v>24</v>
      </c>
      <c r="I6" s="2"/>
      <c r="J6" s="2"/>
      <c r="K6" s="2"/>
    </row>
    <row r="7" spans="1:11" x14ac:dyDescent="0.3">
      <c r="A7" s="2">
        <f t="shared" si="4"/>
        <v>4</v>
      </c>
      <c r="B7" s="2" t="s">
        <v>272</v>
      </c>
      <c r="C7" s="2" t="s">
        <v>282</v>
      </c>
      <c r="D7" s="2" t="str">
        <f t="shared" si="0"/>
        <v>B</v>
      </c>
      <c r="E7" s="2" t="str">
        <f t="shared" si="1"/>
        <v>1</v>
      </c>
      <c r="F7" s="2">
        <f t="shared" si="2"/>
        <v>12</v>
      </c>
      <c r="G7" s="2">
        <f t="shared" si="3"/>
        <v>520</v>
      </c>
      <c r="H7" s="2">
        <v>22</v>
      </c>
      <c r="I7" s="2"/>
      <c r="J7" s="2"/>
      <c r="K7" s="2"/>
    </row>
    <row r="8" spans="1:11" x14ac:dyDescent="0.3">
      <c r="A8" s="2">
        <f t="shared" si="4"/>
        <v>5</v>
      </c>
      <c r="B8" s="2" t="s">
        <v>273</v>
      </c>
      <c r="C8" s="2" t="s">
        <v>283</v>
      </c>
      <c r="D8" s="2" t="str">
        <f t="shared" si="0"/>
        <v>B</v>
      </c>
      <c r="E8" s="2" t="str">
        <f t="shared" si="1"/>
        <v>7</v>
      </c>
      <c r="F8" s="2">
        <f t="shared" si="2"/>
        <v>12</v>
      </c>
      <c r="G8" s="2">
        <f t="shared" si="3"/>
        <v>520</v>
      </c>
      <c r="H8" s="2">
        <v>27</v>
      </c>
      <c r="I8" s="2"/>
      <c r="J8" s="2"/>
      <c r="K8" s="2"/>
    </row>
    <row r="9" spans="1:11" x14ac:dyDescent="0.3">
      <c r="A9" s="2">
        <f t="shared" si="4"/>
        <v>6</v>
      </c>
      <c r="B9" s="2" t="s">
        <v>274</v>
      </c>
      <c r="C9" s="2" t="s">
        <v>284</v>
      </c>
      <c r="D9" s="2" t="str">
        <f t="shared" si="0"/>
        <v>C</v>
      </c>
      <c r="E9" s="2" t="str">
        <f t="shared" si="1"/>
        <v>5</v>
      </c>
      <c r="F9" s="2">
        <f t="shared" si="2"/>
        <v>9</v>
      </c>
      <c r="G9" s="2">
        <f t="shared" si="3"/>
        <v>420</v>
      </c>
      <c r="H9" s="2">
        <v>28</v>
      </c>
      <c r="I9" s="2"/>
      <c r="J9" s="2"/>
      <c r="K9" s="2"/>
    </row>
    <row r="10" spans="1:11" x14ac:dyDescent="0.3">
      <c r="A10" s="2">
        <f t="shared" si="4"/>
        <v>7</v>
      </c>
      <c r="B10" s="2" t="s">
        <v>275</v>
      </c>
      <c r="C10" s="2" t="s">
        <v>285</v>
      </c>
      <c r="D10" s="2" t="str">
        <f t="shared" si="0"/>
        <v>B</v>
      </c>
      <c r="E10" s="2" t="str">
        <f t="shared" si="1"/>
        <v>2</v>
      </c>
      <c r="F10" s="2">
        <f t="shared" si="2"/>
        <v>12</v>
      </c>
      <c r="G10" s="2">
        <f t="shared" si="3"/>
        <v>520</v>
      </c>
      <c r="H10" s="2">
        <v>20</v>
      </c>
      <c r="I10" s="2"/>
      <c r="J10" s="2"/>
      <c r="K10" s="2"/>
    </row>
    <row r="11" spans="1:11" x14ac:dyDescent="0.3">
      <c r="A11" s="2">
        <f t="shared" si="4"/>
        <v>8</v>
      </c>
      <c r="B11" s="2" t="s">
        <v>276</v>
      </c>
      <c r="C11" s="2" t="s">
        <v>282</v>
      </c>
      <c r="D11" s="2" t="str">
        <f t="shared" si="0"/>
        <v>B</v>
      </c>
      <c r="E11" s="2" t="str">
        <f t="shared" si="1"/>
        <v>1</v>
      </c>
      <c r="F11" s="2">
        <f t="shared" si="2"/>
        <v>12</v>
      </c>
      <c r="G11" s="2">
        <f t="shared" si="3"/>
        <v>520</v>
      </c>
      <c r="H11" s="2">
        <v>21</v>
      </c>
      <c r="I11" s="2"/>
      <c r="J11" s="2"/>
      <c r="K11" s="2"/>
    </row>
    <row r="12" spans="1:11" x14ac:dyDescent="0.3">
      <c r="A12" s="2">
        <f t="shared" si="4"/>
        <v>9</v>
      </c>
      <c r="B12" s="2" t="s">
        <v>277</v>
      </c>
      <c r="C12" s="2" t="s">
        <v>286</v>
      </c>
      <c r="D12" s="2" t="str">
        <f t="shared" si="0"/>
        <v>A</v>
      </c>
      <c r="E12" s="2" t="str">
        <f t="shared" si="1"/>
        <v>6</v>
      </c>
      <c r="F12" s="2">
        <f t="shared" si="2"/>
        <v>15</v>
      </c>
      <c r="G12" s="2">
        <f t="shared" si="3"/>
        <v>600</v>
      </c>
      <c r="H12" s="2">
        <v>18</v>
      </c>
      <c r="I12" s="2"/>
      <c r="J12" s="2"/>
      <c r="K12" s="2"/>
    </row>
    <row r="13" spans="1:11" x14ac:dyDescent="0.3">
      <c r="A13" s="2">
        <f t="shared" si="4"/>
        <v>10</v>
      </c>
      <c r="B13" s="2" t="s">
        <v>278</v>
      </c>
      <c r="C13" s="2" t="s">
        <v>287</v>
      </c>
      <c r="D13" s="2" t="str">
        <f t="shared" si="0"/>
        <v>D</v>
      </c>
      <c r="E13" s="2" t="str">
        <f t="shared" si="1"/>
        <v>5</v>
      </c>
      <c r="F13" s="2">
        <f t="shared" si="2"/>
        <v>7</v>
      </c>
      <c r="G13" s="2">
        <f t="shared" si="3"/>
        <v>390</v>
      </c>
      <c r="H13" s="2">
        <v>25</v>
      </c>
      <c r="I13" s="2"/>
      <c r="J13" s="2"/>
      <c r="K13" s="2"/>
    </row>
    <row r="14" spans="1:11" x14ac:dyDescent="0.3">
      <c r="A14" s="66" t="s">
        <v>21</v>
      </c>
      <c r="B14" s="67"/>
      <c r="C14" s="68"/>
      <c r="D14" s="2"/>
      <c r="E14" s="2"/>
      <c r="F14" s="2"/>
      <c r="G14" s="2"/>
      <c r="H14" s="2"/>
      <c r="I14" s="2"/>
      <c r="J14" s="2"/>
      <c r="K14" s="2"/>
    </row>
    <row r="16" spans="1:11" x14ac:dyDescent="0.3">
      <c r="A16" s="14" t="s">
        <v>46</v>
      </c>
    </row>
    <row r="17" spans="1:1" x14ac:dyDescent="0.3">
      <c r="A17" s="14" t="s">
        <v>288</v>
      </c>
    </row>
    <row r="18" spans="1:1" x14ac:dyDescent="0.3">
      <c r="A18" s="14" t="s">
        <v>289</v>
      </c>
    </row>
    <row r="19" spans="1:1" x14ac:dyDescent="0.3">
      <c r="A19" s="27" t="s">
        <v>290</v>
      </c>
    </row>
    <row r="20" spans="1:1" x14ac:dyDescent="0.3">
      <c r="A20" s="5" t="s">
        <v>291</v>
      </c>
    </row>
    <row r="21" spans="1:1" x14ac:dyDescent="0.3">
      <c r="A21" s="5" t="s">
        <v>292</v>
      </c>
    </row>
    <row r="22" spans="1:1" x14ac:dyDescent="0.3">
      <c r="A22" s="5" t="s">
        <v>293</v>
      </c>
    </row>
    <row r="23" spans="1:1" x14ac:dyDescent="0.3">
      <c r="A23" s="5" t="s">
        <v>294</v>
      </c>
    </row>
    <row r="24" spans="1:1" x14ac:dyDescent="0.3">
      <c r="A24" s="27" t="s">
        <v>295</v>
      </c>
    </row>
    <row r="25" spans="1:1" x14ac:dyDescent="0.3">
      <c r="A25" s="5" t="s">
        <v>296</v>
      </c>
    </row>
    <row r="26" spans="1:1" x14ac:dyDescent="0.3">
      <c r="A26" s="5" t="s">
        <v>297</v>
      </c>
    </row>
    <row r="27" spans="1:1" x14ac:dyDescent="0.3">
      <c r="A27" s="5" t="s">
        <v>298</v>
      </c>
    </row>
    <row r="28" spans="1:1" x14ac:dyDescent="0.3">
      <c r="A28" s="5" t="s">
        <v>299</v>
      </c>
    </row>
    <row r="29" spans="1:1" x14ac:dyDescent="0.3">
      <c r="A29" s="27" t="s">
        <v>300</v>
      </c>
    </row>
    <row r="30" spans="1:1" x14ac:dyDescent="0.3">
      <c r="A30" s="28" t="s">
        <v>301</v>
      </c>
    </row>
    <row r="31" spans="1:1" x14ac:dyDescent="0.3">
      <c r="A31" s="27" t="s">
        <v>302</v>
      </c>
    </row>
    <row r="32" spans="1:1" x14ac:dyDescent="0.3">
      <c r="A32" s="5" t="s">
        <v>303</v>
      </c>
    </row>
    <row r="33" spans="1:1" x14ac:dyDescent="0.3">
      <c r="A33" s="5" t="s">
        <v>304</v>
      </c>
    </row>
    <row r="34" spans="1:1" x14ac:dyDescent="0.3">
      <c r="A34" s="5" t="s">
        <v>305</v>
      </c>
    </row>
    <row r="35" spans="1:1" x14ac:dyDescent="0.3">
      <c r="A35" s="5" t="s">
        <v>306</v>
      </c>
    </row>
    <row r="36" spans="1:1" x14ac:dyDescent="0.3">
      <c r="A36" s="29" t="s">
        <v>307</v>
      </c>
    </row>
  </sheetData>
  <mergeCells count="1">
    <mergeCell ref="A14:C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B0ED-0BEE-47E1-97CB-1FF5A8B524BC}">
  <dimension ref="A1:K23"/>
  <sheetViews>
    <sheetView zoomScale="60" zoomScaleNormal="60" workbookViewId="0">
      <selection activeCell="H24" sqref="H24"/>
    </sheetView>
  </sheetViews>
  <sheetFormatPr defaultRowHeight="14.4" x14ac:dyDescent="0.3"/>
  <cols>
    <col min="1" max="1" width="9.5546875" bestFit="1" customWidth="1"/>
  </cols>
  <sheetData>
    <row r="1" spans="1:11" ht="15.6" x14ac:dyDescent="0.3">
      <c r="A1" s="1"/>
      <c r="B1" s="1"/>
      <c r="C1" s="1"/>
      <c r="D1" s="1" t="s">
        <v>308</v>
      </c>
      <c r="E1" s="1"/>
      <c r="F1" s="1"/>
      <c r="G1" s="1"/>
      <c r="H1" s="1"/>
      <c r="I1" s="1"/>
      <c r="J1" s="1"/>
      <c r="K1" s="1"/>
    </row>
    <row r="2" spans="1:1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42" customHeight="1" x14ac:dyDescent="0.3">
      <c r="A3" s="6" t="s">
        <v>5</v>
      </c>
      <c r="B3" s="8" t="s">
        <v>309</v>
      </c>
      <c r="C3" s="6" t="s">
        <v>310</v>
      </c>
      <c r="D3" s="8" t="s">
        <v>311</v>
      </c>
      <c r="E3" s="8" t="s">
        <v>312</v>
      </c>
      <c r="F3" s="8" t="s">
        <v>313</v>
      </c>
      <c r="G3" s="35" t="s">
        <v>98</v>
      </c>
      <c r="H3" s="8" t="s">
        <v>314</v>
      </c>
      <c r="I3" s="8" t="s">
        <v>99</v>
      </c>
      <c r="J3" s="1" t="s">
        <v>334</v>
      </c>
      <c r="K3" s="1"/>
    </row>
    <row r="4" spans="1:11" ht="15.6" x14ac:dyDescent="0.3">
      <c r="A4" s="31" t="s">
        <v>315</v>
      </c>
      <c r="B4" s="2" t="s">
        <v>317</v>
      </c>
      <c r="C4" s="2" t="s">
        <v>322</v>
      </c>
      <c r="D4" s="2">
        <v>630</v>
      </c>
      <c r="E4" s="2">
        <f>VLOOKUP(C4,$J$17:$K$23,2,0)</f>
        <v>100</v>
      </c>
      <c r="F4" s="2">
        <f>D4*E4</f>
        <v>63000</v>
      </c>
      <c r="G4" s="2">
        <f>F4*HLOOKUP(B4,$A$18:$F$19,2,0)</f>
        <v>3150</v>
      </c>
      <c r="H4" s="2">
        <f>IF(C4="GẠO",120,100)</f>
        <v>100</v>
      </c>
      <c r="I4" s="2">
        <f>SUM(F4,G4,H4)</f>
        <v>66250</v>
      </c>
      <c r="J4" s="1" t="s">
        <v>335</v>
      </c>
      <c r="K4" s="1"/>
    </row>
    <row r="5" spans="1:11" ht="15.6" x14ac:dyDescent="0.3">
      <c r="A5" s="31" t="s">
        <v>315</v>
      </c>
      <c r="B5" s="2" t="s">
        <v>318</v>
      </c>
      <c r="C5" s="2" t="s">
        <v>323</v>
      </c>
      <c r="D5" s="2">
        <v>500</v>
      </c>
      <c r="E5" s="2">
        <f t="shared" ref="E5:E13" si="0">VLOOKUP(C5,$J$17:$K$23,2,0)</f>
        <v>120</v>
      </c>
      <c r="F5" s="2">
        <f t="shared" ref="F5:F13" si="1">D5*E5</f>
        <v>60000</v>
      </c>
      <c r="G5" s="2">
        <f t="shared" ref="G5:G13" si="2">F5*HLOOKUP(B5,$A$18:$F$19,2,0)</f>
        <v>6000</v>
      </c>
      <c r="H5" s="2">
        <f t="shared" ref="H5:H13" si="3">IF(C5="GẠO",120,100)</f>
        <v>120</v>
      </c>
      <c r="I5" s="2">
        <f t="shared" ref="I5:I13" si="4">SUM(F5,G5,H5)</f>
        <v>66120</v>
      </c>
      <c r="J5" s="1" t="s">
        <v>336</v>
      </c>
      <c r="K5" s="1"/>
    </row>
    <row r="6" spans="1:11" ht="15.6" x14ac:dyDescent="0.3">
      <c r="A6" s="31" t="s">
        <v>315</v>
      </c>
      <c r="B6" s="2" t="s">
        <v>319</v>
      </c>
      <c r="C6" s="2" t="s">
        <v>324</v>
      </c>
      <c r="D6" s="2">
        <v>280</v>
      </c>
      <c r="E6" s="2">
        <f t="shared" si="0"/>
        <v>150</v>
      </c>
      <c r="F6" s="2">
        <f t="shared" si="1"/>
        <v>42000</v>
      </c>
      <c r="G6" s="2">
        <f t="shared" si="2"/>
        <v>5040</v>
      </c>
      <c r="H6" s="2">
        <f t="shared" si="3"/>
        <v>100</v>
      </c>
      <c r="I6" s="2">
        <f t="shared" si="4"/>
        <v>47140</v>
      </c>
      <c r="J6" s="1" t="s">
        <v>337</v>
      </c>
      <c r="K6" s="1"/>
    </row>
    <row r="7" spans="1:11" ht="15.6" x14ac:dyDescent="0.3">
      <c r="A7" s="31" t="s">
        <v>315</v>
      </c>
      <c r="B7" s="2" t="s">
        <v>320</v>
      </c>
      <c r="C7" s="2" t="s">
        <v>325</v>
      </c>
      <c r="D7" s="2">
        <v>340</v>
      </c>
      <c r="E7" s="2">
        <f t="shared" si="0"/>
        <v>360</v>
      </c>
      <c r="F7" s="2">
        <f t="shared" si="1"/>
        <v>122400</v>
      </c>
      <c r="G7" s="2">
        <f t="shared" si="2"/>
        <v>18360</v>
      </c>
      <c r="H7" s="2">
        <f t="shared" si="3"/>
        <v>100</v>
      </c>
      <c r="I7" s="2">
        <f t="shared" si="4"/>
        <v>140860</v>
      </c>
      <c r="J7" s="1" t="s">
        <v>338</v>
      </c>
      <c r="K7" s="1"/>
    </row>
    <row r="8" spans="1:11" ht="15.6" x14ac:dyDescent="0.3">
      <c r="A8" s="31" t="s">
        <v>316</v>
      </c>
      <c r="B8" s="2" t="s">
        <v>321</v>
      </c>
      <c r="C8" s="2" t="s">
        <v>326</v>
      </c>
      <c r="D8" s="2">
        <v>450</v>
      </c>
      <c r="E8" s="2">
        <f t="shared" si="0"/>
        <v>180</v>
      </c>
      <c r="F8" s="2">
        <f t="shared" si="1"/>
        <v>81000</v>
      </c>
      <c r="G8" s="2">
        <f t="shared" si="2"/>
        <v>5670.0000000000009</v>
      </c>
      <c r="H8" s="2">
        <f t="shared" si="3"/>
        <v>100</v>
      </c>
      <c r="I8" s="2">
        <f t="shared" si="4"/>
        <v>86770</v>
      </c>
      <c r="J8" s="1" t="s">
        <v>339</v>
      </c>
      <c r="K8" s="1"/>
    </row>
    <row r="9" spans="1:11" ht="15.6" x14ac:dyDescent="0.3">
      <c r="A9" s="31" t="s">
        <v>316</v>
      </c>
      <c r="B9" s="2" t="s">
        <v>321</v>
      </c>
      <c r="C9" s="2" t="s">
        <v>324</v>
      </c>
      <c r="D9" s="2">
        <v>650</v>
      </c>
      <c r="E9" s="2">
        <f t="shared" si="0"/>
        <v>150</v>
      </c>
      <c r="F9" s="2">
        <f t="shared" si="1"/>
        <v>97500</v>
      </c>
      <c r="G9" s="2">
        <f t="shared" si="2"/>
        <v>6825.0000000000009</v>
      </c>
      <c r="H9" s="2">
        <f t="shared" si="3"/>
        <v>100</v>
      </c>
      <c r="I9" s="2">
        <f t="shared" si="4"/>
        <v>104425</v>
      </c>
      <c r="J9" s="1" t="s">
        <v>340</v>
      </c>
      <c r="K9" s="1"/>
    </row>
    <row r="10" spans="1:11" ht="15.6" x14ac:dyDescent="0.3">
      <c r="A10" s="31" t="s">
        <v>316</v>
      </c>
      <c r="B10" s="2" t="s">
        <v>318</v>
      </c>
      <c r="C10" s="2" t="s">
        <v>327</v>
      </c>
      <c r="D10" s="2">
        <v>550</v>
      </c>
      <c r="E10" s="2">
        <f t="shared" si="0"/>
        <v>250</v>
      </c>
      <c r="F10" s="2">
        <f t="shared" si="1"/>
        <v>137500</v>
      </c>
      <c r="G10" s="2">
        <f t="shared" si="2"/>
        <v>13750</v>
      </c>
      <c r="H10" s="2">
        <f t="shared" si="3"/>
        <v>100</v>
      </c>
      <c r="I10" s="2">
        <f t="shared" si="4"/>
        <v>151350</v>
      </c>
      <c r="J10" s="1" t="s">
        <v>341</v>
      </c>
      <c r="K10" s="1"/>
    </row>
    <row r="11" spans="1:11" ht="15.6" x14ac:dyDescent="0.3">
      <c r="A11" s="31" t="s">
        <v>316</v>
      </c>
      <c r="B11" s="2" t="s">
        <v>318</v>
      </c>
      <c r="C11" s="2" t="s">
        <v>322</v>
      </c>
      <c r="D11" s="2">
        <v>390</v>
      </c>
      <c r="E11" s="2">
        <f t="shared" si="0"/>
        <v>100</v>
      </c>
      <c r="F11" s="2">
        <f t="shared" si="1"/>
        <v>39000</v>
      </c>
      <c r="G11" s="2">
        <f t="shared" si="2"/>
        <v>3900</v>
      </c>
      <c r="H11" s="2">
        <f t="shared" si="3"/>
        <v>100</v>
      </c>
      <c r="I11" s="2">
        <f t="shared" si="4"/>
        <v>43000</v>
      </c>
      <c r="J11" s="1"/>
      <c r="K11" s="1"/>
    </row>
    <row r="12" spans="1:11" ht="15.6" x14ac:dyDescent="0.3">
      <c r="A12" s="31" t="s">
        <v>316</v>
      </c>
      <c r="B12" s="2" t="s">
        <v>319</v>
      </c>
      <c r="C12" s="2" t="s">
        <v>328</v>
      </c>
      <c r="D12" s="2">
        <v>700</v>
      </c>
      <c r="E12" s="2">
        <f t="shared" si="0"/>
        <v>200</v>
      </c>
      <c r="F12" s="2">
        <f t="shared" si="1"/>
        <v>140000</v>
      </c>
      <c r="G12" s="2">
        <f t="shared" si="2"/>
        <v>16800</v>
      </c>
      <c r="H12" s="2">
        <f t="shared" si="3"/>
        <v>100</v>
      </c>
      <c r="I12" s="2">
        <f t="shared" si="4"/>
        <v>156900</v>
      </c>
      <c r="J12" s="1" t="s">
        <v>342</v>
      </c>
      <c r="K12" s="1"/>
    </row>
    <row r="13" spans="1:11" ht="15.6" x14ac:dyDescent="0.3">
      <c r="A13" s="31" t="s">
        <v>316</v>
      </c>
      <c r="B13" s="2" t="s">
        <v>320</v>
      </c>
      <c r="C13" s="2" t="s">
        <v>323</v>
      </c>
      <c r="D13" s="2">
        <v>550</v>
      </c>
      <c r="E13" s="2">
        <f t="shared" si="0"/>
        <v>120</v>
      </c>
      <c r="F13" s="2">
        <f t="shared" si="1"/>
        <v>66000</v>
      </c>
      <c r="G13" s="2">
        <f t="shared" si="2"/>
        <v>9900</v>
      </c>
      <c r="H13" s="2">
        <f t="shared" si="3"/>
        <v>120</v>
      </c>
      <c r="I13" s="2">
        <f t="shared" si="4"/>
        <v>76020</v>
      </c>
      <c r="J13" s="1"/>
      <c r="K13" s="1"/>
    </row>
    <row r="14" spans="1:11" ht="15.6" x14ac:dyDescent="0.3">
      <c r="A14" s="69" t="s">
        <v>21</v>
      </c>
      <c r="B14" s="70"/>
      <c r="C14" s="70"/>
      <c r="D14" s="71"/>
      <c r="E14" s="2"/>
      <c r="F14" s="2"/>
      <c r="G14" s="2"/>
      <c r="H14" s="2"/>
      <c r="I14" s="2"/>
      <c r="J14" s="1"/>
      <c r="K14" s="1"/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72" t="s">
        <v>333</v>
      </c>
      <c r="K15" s="73"/>
    </row>
    <row r="16" spans="1:11" ht="31.2" x14ac:dyDescent="0.3">
      <c r="A16" s="1"/>
      <c r="B16" s="1"/>
      <c r="C16" s="1"/>
      <c r="D16" s="1"/>
      <c r="E16" s="1"/>
      <c r="F16" s="1"/>
      <c r="G16" s="1"/>
      <c r="H16" s="1"/>
      <c r="I16" s="1"/>
      <c r="J16" s="36" t="s">
        <v>310</v>
      </c>
      <c r="K16" s="8" t="s">
        <v>312</v>
      </c>
    </row>
    <row r="17" spans="1:11" ht="15.6" x14ac:dyDescent="0.3">
      <c r="A17" s="69" t="s">
        <v>329</v>
      </c>
      <c r="B17" s="70"/>
      <c r="C17" s="70"/>
      <c r="D17" s="70"/>
      <c r="E17" s="70"/>
      <c r="F17" s="71"/>
      <c r="G17" s="1"/>
      <c r="H17" s="1"/>
      <c r="I17" s="1"/>
      <c r="J17" s="2" t="s">
        <v>323</v>
      </c>
      <c r="K17" s="2">
        <v>120</v>
      </c>
    </row>
    <row r="18" spans="1:11" ht="31.2" x14ac:dyDescent="0.3">
      <c r="A18" s="30" t="s">
        <v>309</v>
      </c>
      <c r="B18" s="2" t="s">
        <v>317</v>
      </c>
      <c r="C18" s="2" t="s">
        <v>321</v>
      </c>
      <c r="D18" s="2" t="s">
        <v>318</v>
      </c>
      <c r="E18" s="2" t="s">
        <v>319</v>
      </c>
      <c r="F18" s="2" t="s">
        <v>320</v>
      </c>
      <c r="G18" s="1"/>
      <c r="H18" s="1"/>
      <c r="I18" s="1"/>
      <c r="J18" s="2" t="s">
        <v>324</v>
      </c>
      <c r="K18" s="2">
        <v>150</v>
      </c>
    </row>
    <row r="19" spans="1:11" ht="15.6" x14ac:dyDescent="0.3">
      <c r="A19" s="2" t="s">
        <v>98</v>
      </c>
      <c r="B19" s="32">
        <v>0.05</v>
      </c>
      <c r="C19" s="32">
        <v>7.0000000000000007E-2</v>
      </c>
      <c r="D19" s="32">
        <v>0.1</v>
      </c>
      <c r="E19" s="32">
        <v>0.12</v>
      </c>
      <c r="F19" s="32">
        <v>0.15</v>
      </c>
      <c r="G19" s="1"/>
      <c r="H19" s="1"/>
      <c r="I19" s="1"/>
      <c r="J19" s="2" t="s">
        <v>325</v>
      </c>
      <c r="K19" s="2">
        <v>360</v>
      </c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2" t="s">
        <v>322</v>
      </c>
      <c r="K20" s="2">
        <v>100</v>
      </c>
    </row>
    <row r="21" spans="1:11" ht="15.6" x14ac:dyDescent="0.3">
      <c r="A21" s="1"/>
      <c r="B21" s="37" t="s">
        <v>330</v>
      </c>
      <c r="C21" s="1"/>
      <c r="D21" s="1"/>
      <c r="E21" s="1"/>
      <c r="F21" s="1"/>
      <c r="G21" s="1"/>
      <c r="H21" s="1"/>
      <c r="I21" s="1"/>
      <c r="J21" s="2" t="s">
        <v>326</v>
      </c>
      <c r="K21" s="2">
        <v>180</v>
      </c>
    </row>
    <row r="22" spans="1:11" ht="15.6" x14ac:dyDescent="0.3">
      <c r="A22" s="2" t="s">
        <v>331</v>
      </c>
      <c r="B22" s="2" t="s">
        <v>323</v>
      </c>
      <c r="C22" s="2" t="s">
        <v>324</v>
      </c>
      <c r="D22" s="2" t="s">
        <v>325</v>
      </c>
      <c r="E22" s="2" t="s">
        <v>322</v>
      </c>
      <c r="F22" s="2" t="s">
        <v>326</v>
      </c>
      <c r="G22" s="2" t="s">
        <v>327</v>
      </c>
      <c r="H22" s="2" t="s">
        <v>328</v>
      </c>
      <c r="I22" s="1"/>
      <c r="J22" s="2" t="s">
        <v>327</v>
      </c>
      <c r="K22" s="2">
        <v>250</v>
      </c>
    </row>
    <row r="23" spans="1:11" ht="31.2" x14ac:dyDescent="0.3">
      <c r="A23" s="30" t="s">
        <v>332</v>
      </c>
      <c r="B23" s="2">
        <f>SUMIFS(I4:I13,C4:C13,"GẠO")</f>
        <v>142140</v>
      </c>
      <c r="C23" s="2">
        <f>SUMIFS(I4:I13,C4:C13,"NẾP")</f>
        <v>151565</v>
      </c>
      <c r="D23" s="2">
        <f>SUMIFS(I4:I13,C4:C13,"SỮA")</f>
        <v>140860</v>
      </c>
      <c r="E23" s="2">
        <f>SUMIFS(I4:I13,C4:C13,"BẮP")</f>
        <v>109250</v>
      </c>
      <c r="F23" s="2">
        <f>SUMIFS(I4:I13,C4:C13,"KEO")</f>
        <v>86770</v>
      </c>
      <c r="G23" s="2">
        <f>SUMIFS(I4:I13,C4:C13,"BIA")</f>
        <v>151350</v>
      </c>
      <c r="H23" s="2">
        <f>SUMIFS(I4:I13,C4:C13,"KEM")</f>
        <v>156900</v>
      </c>
      <c r="I23" s="1"/>
      <c r="J23" s="2" t="s">
        <v>328</v>
      </c>
      <c r="K23" s="2">
        <v>200</v>
      </c>
    </row>
  </sheetData>
  <mergeCells count="3">
    <mergeCell ref="A17:F17"/>
    <mergeCell ref="J15:K15"/>
    <mergeCell ref="A14:D14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5DDC-DE22-4422-BD8B-CA1A2F28CAB6}">
  <dimension ref="A1:J24"/>
  <sheetViews>
    <sheetView zoomScale="70" zoomScaleNormal="70" workbookViewId="0">
      <selection activeCell="G23" sqref="G23"/>
    </sheetView>
  </sheetViews>
  <sheetFormatPr defaultRowHeight="15.6" x14ac:dyDescent="0.3"/>
  <cols>
    <col min="1" max="1" width="8.77734375" style="1" customWidth="1"/>
    <col min="2" max="4" width="8.88671875" style="1"/>
    <col min="5" max="5" width="11.5546875" style="1" customWidth="1"/>
    <col min="6" max="7" width="8.88671875" style="1"/>
    <col min="8" max="8" width="9.77734375" style="1" bestFit="1" customWidth="1"/>
    <col min="9" max="16384" width="8.88671875" style="1"/>
  </cols>
  <sheetData>
    <row r="1" spans="1:10" x14ac:dyDescent="0.3">
      <c r="C1" s="1" t="s">
        <v>343</v>
      </c>
    </row>
    <row r="3" spans="1:10" ht="40.200000000000003" customHeight="1" x14ac:dyDescent="0.3">
      <c r="A3" s="6" t="s">
        <v>1</v>
      </c>
      <c r="B3" s="6" t="s">
        <v>344</v>
      </c>
      <c r="C3" s="6" t="s">
        <v>345</v>
      </c>
      <c r="D3" s="6" t="s">
        <v>310</v>
      </c>
      <c r="E3" s="8" t="s">
        <v>346</v>
      </c>
      <c r="F3" s="8" t="s">
        <v>312</v>
      </c>
      <c r="G3" s="8" t="s">
        <v>347</v>
      </c>
      <c r="H3" s="8" t="s">
        <v>314</v>
      </c>
      <c r="I3" s="6" t="s">
        <v>348</v>
      </c>
      <c r="J3" s="6" t="s">
        <v>99</v>
      </c>
    </row>
    <row r="4" spans="1:10" x14ac:dyDescent="0.3">
      <c r="A4" s="2">
        <v>1</v>
      </c>
      <c r="B4" s="2" t="s">
        <v>349</v>
      </c>
      <c r="C4" s="2" t="s">
        <v>352</v>
      </c>
      <c r="D4" s="2" t="s">
        <v>356</v>
      </c>
      <c r="E4" s="2">
        <v>260</v>
      </c>
      <c r="F4" s="2">
        <f>VLOOKUP(D4,$A$17:$B$21,2,0)</f>
        <v>2500</v>
      </c>
      <c r="G4" s="2">
        <f>E4*F4</f>
        <v>650000</v>
      </c>
      <c r="H4" s="2">
        <f>G4*VLOOKUP(D4,$A$17:$C$21,3,0)</f>
        <v>9750</v>
      </c>
      <c r="I4" s="2">
        <f>4%*G4</f>
        <v>26000</v>
      </c>
      <c r="J4" s="2">
        <f>SUM(G4,H4,I4)</f>
        <v>685750</v>
      </c>
    </row>
    <row r="5" spans="1:10" x14ac:dyDescent="0.3">
      <c r="A5" s="2">
        <f>A4+1</f>
        <v>2</v>
      </c>
      <c r="B5" s="2" t="s">
        <v>350</v>
      </c>
      <c r="C5" s="2" t="s">
        <v>353</v>
      </c>
      <c r="D5" s="2" t="s">
        <v>357</v>
      </c>
      <c r="E5" s="2">
        <v>140</v>
      </c>
      <c r="F5" s="2">
        <f t="shared" ref="F5:F13" si="0">VLOOKUP(D5,$A$17:$B$21,2,0)</f>
        <v>2000</v>
      </c>
      <c r="G5" s="2">
        <f t="shared" ref="G5:G13" si="1">E5*F5</f>
        <v>280000</v>
      </c>
      <c r="H5" s="2">
        <f t="shared" ref="H5:H13" si="2">G5*VLOOKUP(D5,$A$17:$C$21,3,0)</f>
        <v>8960</v>
      </c>
      <c r="I5" s="2">
        <f t="shared" ref="I5:I13" si="3">4%*G5</f>
        <v>11200</v>
      </c>
      <c r="J5" s="2">
        <f t="shared" ref="J5:J13" si="4">SUM(G5,H5,I5)</f>
        <v>300160</v>
      </c>
    </row>
    <row r="6" spans="1:10" x14ac:dyDescent="0.3">
      <c r="A6" s="2">
        <f t="shared" ref="A6:A13" si="5">A5+1</f>
        <v>3</v>
      </c>
      <c r="B6" s="2" t="s">
        <v>351</v>
      </c>
      <c r="C6" s="2" t="s">
        <v>354</v>
      </c>
      <c r="D6" s="2" t="s">
        <v>358</v>
      </c>
      <c r="E6" s="2">
        <v>170</v>
      </c>
      <c r="F6" s="2">
        <f t="shared" si="0"/>
        <v>1000</v>
      </c>
      <c r="G6" s="2">
        <f t="shared" si="1"/>
        <v>170000</v>
      </c>
      <c r="H6" s="2">
        <f t="shared" si="2"/>
        <v>1275</v>
      </c>
      <c r="I6" s="2">
        <f t="shared" si="3"/>
        <v>6800</v>
      </c>
      <c r="J6" s="2">
        <f t="shared" si="4"/>
        <v>178075</v>
      </c>
    </row>
    <row r="7" spans="1:10" x14ac:dyDescent="0.3">
      <c r="A7" s="2">
        <f t="shared" si="5"/>
        <v>4</v>
      </c>
      <c r="B7" s="2" t="s">
        <v>349</v>
      </c>
      <c r="C7" s="2" t="s">
        <v>355</v>
      </c>
      <c r="D7" s="2" t="s">
        <v>359</v>
      </c>
      <c r="E7" s="2">
        <v>315</v>
      </c>
      <c r="F7" s="2">
        <f t="shared" si="0"/>
        <v>2800</v>
      </c>
      <c r="G7" s="2">
        <f t="shared" si="1"/>
        <v>882000</v>
      </c>
      <c r="H7" s="2">
        <f t="shared" si="2"/>
        <v>28224</v>
      </c>
      <c r="I7" s="2">
        <f t="shared" si="3"/>
        <v>35280</v>
      </c>
      <c r="J7" s="2">
        <f t="shared" si="4"/>
        <v>945504</v>
      </c>
    </row>
    <row r="8" spans="1:10" x14ac:dyDescent="0.3">
      <c r="A8" s="2">
        <f t="shared" si="5"/>
        <v>5</v>
      </c>
      <c r="B8" s="2" t="s">
        <v>350</v>
      </c>
      <c r="C8" s="2" t="s">
        <v>321</v>
      </c>
      <c r="D8" s="2" t="s">
        <v>360</v>
      </c>
      <c r="E8" s="2">
        <v>225</v>
      </c>
      <c r="F8" s="2">
        <f t="shared" si="0"/>
        <v>1500</v>
      </c>
      <c r="G8" s="2">
        <f t="shared" si="1"/>
        <v>337500</v>
      </c>
      <c r="H8" s="2">
        <f t="shared" si="2"/>
        <v>9450</v>
      </c>
      <c r="I8" s="2">
        <f t="shared" si="3"/>
        <v>13500</v>
      </c>
      <c r="J8" s="2">
        <f t="shared" si="4"/>
        <v>360450</v>
      </c>
    </row>
    <row r="9" spans="1:10" x14ac:dyDescent="0.3">
      <c r="A9" s="2">
        <f t="shared" si="5"/>
        <v>6</v>
      </c>
      <c r="B9" s="2" t="s">
        <v>351</v>
      </c>
      <c r="C9" s="2" t="s">
        <v>352</v>
      </c>
      <c r="D9" s="2" t="s">
        <v>356</v>
      </c>
      <c r="E9" s="2">
        <v>275</v>
      </c>
      <c r="F9" s="2">
        <f t="shared" si="0"/>
        <v>2500</v>
      </c>
      <c r="G9" s="2">
        <f t="shared" si="1"/>
        <v>687500</v>
      </c>
      <c r="H9" s="2">
        <f t="shared" si="2"/>
        <v>10312.5</v>
      </c>
      <c r="I9" s="2">
        <f t="shared" si="3"/>
        <v>27500</v>
      </c>
      <c r="J9" s="2">
        <f t="shared" si="4"/>
        <v>725312.5</v>
      </c>
    </row>
    <row r="10" spans="1:10" x14ac:dyDescent="0.3">
      <c r="A10" s="2">
        <f t="shared" si="5"/>
        <v>7</v>
      </c>
      <c r="B10" s="2" t="s">
        <v>349</v>
      </c>
      <c r="C10" s="2" t="s">
        <v>353</v>
      </c>
      <c r="D10" s="2" t="s">
        <v>358</v>
      </c>
      <c r="E10" s="2">
        <v>350</v>
      </c>
      <c r="F10" s="2">
        <f t="shared" si="0"/>
        <v>1000</v>
      </c>
      <c r="G10" s="2">
        <f t="shared" si="1"/>
        <v>350000</v>
      </c>
      <c r="H10" s="2">
        <f t="shared" si="2"/>
        <v>2625</v>
      </c>
      <c r="I10" s="2">
        <f t="shared" si="3"/>
        <v>14000</v>
      </c>
      <c r="J10" s="2">
        <f t="shared" si="4"/>
        <v>366625</v>
      </c>
    </row>
    <row r="11" spans="1:10" x14ac:dyDescent="0.3">
      <c r="A11" s="2">
        <f t="shared" si="5"/>
        <v>8</v>
      </c>
      <c r="B11" s="2" t="s">
        <v>350</v>
      </c>
      <c r="C11" s="2" t="s">
        <v>354</v>
      </c>
      <c r="D11" s="2" t="s">
        <v>357</v>
      </c>
      <c r="E11" s="2">
        <v>275</v>
      </c>
      <c r="F11" s="2">
        <f t="shared" si="0"/>
        <v>2000</v>
      </c>
      <c r="G11" s="2">
        <f t="shared" si="1"/>
        <v>550000</v>
      </c>
      <c r="H11" s="2">
        <f t="shared" si="2"/>
        <v>17600</v>
      </c>
      <c r="I11" s="2">
        <f t="shared" si="3"/>
        <v>22000</v>
      </c>
      <c r="J11" s="2">
        <f t="shared" si="4"/>
        <v>589600</v>
      </c>
    </row>
    <row r="12" spans="1:10" x14ac:dyDescent="0.3">
      <c r="A12" s="2">
        <f t="shared" si="5"/>
        <v>9</v>
      </c>
      <c r="B12" s="2" t="s">
        <v>351</v>
      </c>
      <c r="C12" s="2" t="s">
        <v>352</v>
      </c>
      <c r="D12" s="2" t="s">
        <v>357</v>
      </c>
      <c r="E12" s="2">
        <v>195</v>
      </c>
      <c r="F12" s="2">
        <f t="shared" si="0"/>
        <v>2000</v>
      </c>
      <c r="G12" s="2">
        <f t="shared" si="1"/>
        <v>390000</v>
      </c>
      <c r="H12" s="2">
        <f t="shared" si="2"/>
        <v>12480</v>
      </c>
      <c r="I12" s="2">
        <f t="shared" si="3"/>
        <v>15600</v>
      </c>
      <c r="J12" s="2">
        <f t="shared" si="4"/>
        <v>418080</v>
      </c>
    </row>
    <row r="13" spans="1:10" x14ac:dyDescent="0.3">
      <c r="A13" s="2">
        <f t="shared" si="5"/>
        <v>10</v>
      </c>
      <c r="B13" s="2" t="s">
        <v>349</v>
      </c>
      <c r="C13" s="2" t="s">
        <v>353</v>
      </c>
      <c r="D13" s="2" t="s">
        <v>360</v>
      </c>
      <c r="E13" s="2">
        <v>135</v>
      </c>
      <c r="F13" s="2">
        <f t="shared" si="0"/>
        <v>1500</v>
      </c>
      <c r="G13" s="2">
        <f t="shared" si="1"/>
        <v>202500</v>
      </c>
      <c r="H13" s="2">
        <f t="shared" si="2"/>
        <v>5670</v>
      </c>
      <c r="I13" s="2">
        <f t="shared" si="3"/>
        <v>8100</v>
      </c>
      <c r="J13" s="2">
        <f t="shared" si="4"/>
        <v>216270</v>
      </c>
    </row>
    <row r="14" spans="1:10" x14ac:dyDescent="0.3">
      <c r="A14" s="74" t="s">
        <v>21</v>
      </c>
      <c r="B14" s="75"/>
      <c r="C14" s="75"/>
      <c r="D14" s="75"/>
      <c r="E14" s="76"/>
      <c r="F14" s="2"/>
      <c r="G14" s="2"/>
      <c r="H14" s="2"/>
      <c r="I14" s="2"/>
      <c r="J14" s="2"/>
    </row>
    <row r="15" spans="1:10" ht="16.2" x14ac:dyDescent="0.35">
      <c r="A15" s="42" t="s">
        <v>361</v>
      </c>
      <c r="B15" s="42"/>
      <c r="C15" s="42"/>
      <c r="D15" s="42"/>
      <c r="E15" s="42" t="s">
        <v>330</v>
      </c>
      <c r="F15" s="42"/>
    </row>
    <row r="16" spans="1:10" ht="62.4" x14ac:dyDescent="0.3">
      <c r="A16" s="6" t="s">
        <v>310</v>
      </c>
      <c r="B16" s="8" t="s">
        <v>312</v>
      </c>
      <c r="C16" s="6" t="s">
        <v>362</v>
      </c>
      <c r="D16" s="41"/>
      <c r="E16" s="6" t="s">
        <v>345</v>
      </c>
      <c r="F16" s="8" t="s">
        <v>363</v>
      </c>
      <c r="G16" s="6" t="s">
        <v>364</v>
      </c>
      <c r="I16" s="38" t="s">
        <v>46</v>
      </c>
    </row>
    <row r="17" spans="1:9" x14ac:dyDescent="0.3">
      <c r="A17" s="2" t="s">
        <v>356</v>
      </c>
      <c r="B17" s="2">
        <v>2500</v>
      </c>
      <c r="C17" s="40">
        <v>1.4999999999999999E-2</v>
      </c>
      <c r="E17" s="2" t="s">
        <v>352</v>
      </c>
      <c r="F17" s="2">
        <f>COUNTIF(C4:C13,"BGI")</f>
        <v>3</v>
      </c>
      <c r="G17" s="2">
        <f>SUMIFS(J4:J13,C4:C13,"BGI")</f>
        <v>1829142.5</v>
      </c>
      <c r="I17" s="14" t="s">
        <v>365</v>
      </c>
    </row>
    <row r="18" spans="1:9" x14ac:dyDescent="0.3">
      <c r="A18" s="2" t="s">
        <v>357</v>
      </c>
      <c r="B18" s="2">
        <v>2000</v>
      </c>
      <c r="C18" s="40">
        <v>3.2000000000000001E-2</v>
      </c>
      <c r="E18" s="2" t="s">
        <v>353</v>
      </c>
      <c r="F18" s="2">
        <f>COUNTIF(C4:C13,"IBC")</f>
        <v>3</v>
      </c>
      <c r="G18" s="2">
        <f>SUMIFS(J4:J13,C4:C13,"IBC")</f>
        <v>883055</v>
      </c>
      <c r="I18" s="14" t="s">
        <v>366</v>
      </c>
    </row>
    <row r="19" spans="1:9" x14ac:dyDescent="0.3">
      <c r="A19" s="2" t="s">
        <v>359</v>
      </c>
      <c r="B19" s="2">
        <v>2800</v>
      </c>
      <c r="C19" s="40">
        <v>3.2000000000000001E-2</v>
      </c>
      <c r="E19" s="2" t="s">
        <v>354</v>
      </c>
      <c r="F19" s="2">
        <f>COUNTIF(C4:C13,"IBM")</f>
        <v>2</v>
      </c>
      <c r="G19" s="2">
        <f>SUMIFS(J4:J13,C4:C13,"IBM")</f>
        <v>767675</v>
      </c>
      <c r="I19" s="14" t="s">
        <v>367</v>
      </c>
    </row>
    <row r="20" spans="1:9" x14ac:dyDescent="0.3">
      <c r="A20" s="2" t="s">
        <v>360</v>
      </c>
      <c r="B20" s="2">
        <v>1500</v>
      </c>
      <c r="C20" s="40">
        <v>2.8000000000000001E-2</v>
      </c>
      <c r="E20" s="2" t="s">
        <v>373</v>
      </c>
      <c r="F20" s="2">
        <f>COUNTIF(C4:C13,"CEE")</f>
        <v>0</v>
      </c>
      <c r="G20" s="2">
        <f>SUMIFS(J4:J13,C4:C13,"CÊ")</f>
        <v>0</v>
      </c>
      <c r="I20" s="14" t="s">
        <v>368</v>
      </c>
    </row>
    <row r="21" spans="1:9" x14ac:dyDescent="0.3">
      <c r="A21" s="2" t="s">
        <v>358</v>
      </c>
      <c r="B21" s="2">
        <v>1000</v>
      </c>
      <c r="C21" s="40">
        <v>7.4999999999999997E-3</v>
      </c>
      <c r="E21" s="2" t="s">
        <v>321</v>
      </c>
      <c r="F21" s="2">
        <f>COUNTIF(C4:C13,"CEB")</f>
        <v>1</v>
      </c>
      <c r="G21" s="2">
        <f>SUMIFS(J4:J13,C4:C13,"CEB")</f>
        <v>360450</v>
      </c>
      <c r="I21" s="14" t="s">
        <v>369</v>
      </c>
    </row>
    <row r="22" spans="1:9" x14ac:dyDescent="0.3">
      <c r="E22" s="2" t="s">
        <v>355</v>
      </c>
      <c r="F22" s="2">
        <f>COUNTIF(C4:C13,"HCR")</f>
        <v>1</v>
      </c>
      <c r="G22" s="2">
        <f>SUMIFS(J4:J13,C4:C13,"HCR")</f>
        <v>945504</v>
      </c>
      <c r="I22" s="14" t="s">
        <v>370</v>
      </c>
    </row>
    <row r="23" spans="1:9" x14ac:dyDescent="0.3">
      <c r="I23" s="14" t="s">
        <v>371</v>
      </c>
    </row>
    <row r="24" spans="1:9" x14ac:dyDescent="0.3">
      <c r="I24" s="14" t="s">
        <v>372</v>
      </c>
    </row>
  </sheetData>
  <mergeCells count="1">
    <mergeCell ref="A14:E14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C668-6B94-4B60-B5FE-75B9A661D86E}">
  <dimension ref="A1:O21"/>
  <sheetViews>
    <sheetView zoomScale="60" zoomScaleNormal="60" workbookViewId="0">
      <selection activeCell="O16" sqref="O16"/>
    </sheetView>
  </sheetViews>
  <sheetFormatPr defaultRowHeight="15.6" x14ac:dyDescent="0.3"/>
  <cols>
    <col min="1" max="1" width="8.88671875" style="1"/>
    <col min="2" max="2" width="11" style="1" customWidth="1"/>
    <col min="3" max="3" width="11.21875" style="1" customWidth="1"/>
    <col min="4" max="4" width="8.88671875" style="1"/>
    <col min="5" max="5" width="10.6640625" style="1" customWidth="1"/>
    <col min="6" max="10" width="8.88671875" style="1"/>
    <col min="11" max="11" width="21.88671875" style="1" customWidth="1"/>
    <col min="12" max="16384" width="8.88671875" style="1"/>
  </cols>
  <sheetData>
    <row r="1" spans="1:15" x14ac:dyDescent="0.3">
      <c r="D1" s="1" t="s">
        <v>374</v>
      </c>
    </row>
    <row r="3" spans="1:15" ht="62.4" x14ac:dyDescent="0.3">
      <c r="A3" s="6" t="s">
        <v>1</v>
      </c>
      <c r="B3" s="6" t="s">
        <v>375</v>
      </c>
      <c r="C3" s="8" t="s">
        <v>376</v>
      </c>
      <c r="D3" s="7" t="s">
        <v>377</v>
      </c>
      <c r="E3" s="8" t="s">
        <v>346</v>
      </c>
      <c r="F3" s="6" t="s">
        <v>378</v>
      </c>
      <c r="G3" s="8" t="s">
        <v>379</v>
      </c>
      <c r="H3" s="8" t="s">
        <v>380</v>
      </c>
      <c r="I3" s="8" t="s">
        <v>347</v>
      </c>
      <c r="J3" s="38" t="s">
        <v>46</v>
      </c>
    </row>
    <row r="4" spans="1:15" x14ac:dyDescent="0.3">
      <c r="A4" s="2">
        <v>1</v>
      </c>
      <c r="B4" s="39" t="s">
        <v>176</v>
      </c>
      <c r="C4" s="2" t="str">
        <f>VLOOKUP(B4,$A$18:$B$21,2,0)</f>
        <v>Cát</v>
      </c>
      <c r="D4" s="2" t="s">
        <v>384</v>
      </c>
      <c r="E4" s="2">
        <v>10</v>
      </c>
      <c r="F4" s="2">
        <f>E4*VLOOKUP(B4,$A$18:$C$21,3,0)</f>
        <v>400000</v>
      </c>
      <c r="G4" s="2">
        <f>F4*HLOOKUP(D4,$F$17:$I$18,2,0)</f>
        <v>8000</v>
      </c>
      <c r="H4" s="2">
        <f>IF(E4&gt;=3,5%*F4,IF(E4&lt;3,0))</f>
        <v>20000</v>
      </c>
      <c r="I4" s="2">
        <f>F4+G4-H4</f>
        <v>388000</v>
      </c>
      <c r="J4" s="14" t="s">
        <v>398</v>
      </c>
    </row>
    <row r="5" spans="1:15" x14ac:dyDescent="0.3">
      <c r="A5" s="2">
        <f>A4+1</f>
        <v>2</v>
      </c>
      <c r="B5" s="39" t="s">
        <v>176</v>
      </c>
      <c r="C5" s="2" t="str">
        <f t="shared" ref="C5:C13" si="0">VLOOKUP(B5,$A$18:$B$21,2,0)</f>
        <v>Cát</v>
      </c>
      <c r="D5" s="2" t="s">
        <v>385</v>
      </c>
      <c r="E5" s="2">
        <v>2</v>
      </c>
      <c r="F5" s="2">
        <f t="shared" ref="F5:F13" si="1">E5*VLOOKUP(B5,$A$18:$C$21,3,0)</f>
        <v>80000</v>
      </c>
      <c r="G5" s="2">
        <f t="shared" ref="G5:G13" si="2">F5*HLOOKUP(D5,$F$17:$I$18,2,0)</f>
        <v>960</v>
      </c>
      <c r="H5" s="2">
        <f t="shared" ref="H5:H13" si="3">IF(E5&gt;=3,5%*F5,IF(E5&lt;3,0))</f>
        <v>0</v>
      </c>
      <c r="I5" s="2">
        <f t="shared" ref="I5:I13" si="4">F5+G5-H5</f>
        <v>80960</v>
      </c>
      <c r="J5" s="14" t="s">
        <v>399</v>
      </c>
    </row>
    <row r="6" spans="1:15" x14ac:dyDescent="0.3">
      <c r="A6" s="2">
        <f t="shared" ref="A6:A13" si="5">A5+1</f>
        <v>3</v>
      </c>
      <c r="B6" s="39" t="s">
        <v>381</v>
      </c>
      <c r="C6" s="2" t="str">
        <f t="shared" si="0"/>
        <v>Sắt</v>
      </c>
      <c r="D6" s="2" t="s">
        <v>386</v>
      </c>
      <c r="E6" s="2">
        <v>1</v>
      </c>
      <c r="F6" s="2">
        <f t="shared" si="1"/>
        <v>3000</v>
      </c>
      <c r="G6" s="2">
        <f t="shared" si="2"/>
        <v>30</v>
      </c>
      <c r="H6" s="2">
        <f t="shared" si="3"/>
        <v>0</v>
      </c>
      <c r="I6" s="2">
        <f t="shared" si="4"/>
        <v>3030</v>
      </c>
      <c r="J6" s="14" t="s">
        <v>400</v>
      </c>
    </row>
    <row r="7" spans="1:15" x14ac:dyDescent="0.3">
      <c r="A7" s="2">
        <f t="shared" si="5"/>
        <v>4</v>
      </c>
      <c r="B7" s="39" t="s">
        <v>382</v>
      </c>
      <c r="C7" s="2" t="str">
        <f t="shared" si="0"/>
        <v>Xi măng</v>
      </c>
      <c r="D7" s="2" t="s">
        <v>384</v>
      </c>
      <c r="E7" s="2">
        <v>2</v>
      </c>
      <c r="F7" s="2">
        <f t="shared" si="1"/>
        <v>100000</v>
      </c>
      <c r="G7" s="2">
        <f t="shared" si="2"/>
        <v>2000</v>
      </c>
      <c r="H7" s="2">
        <f t="shared" si="3"/>
        <v>0</v>
      </c>
      <c r="I7" s="2">
        <f t="shared" si="4"/>
        <v>102000</v>
      </c>
      <c r="J7" s="14" t="s">
        <v>401</v>
      </c>
    </row>
    <row r="8" spans="1:15" x14ac:dyDescent="0.3">
      <c r="A8" s="2">
        <f t="shared" si="5"/>
        <v>5</v>
      </c>
      <c r="B8" s="39" t="s">
        <v>383</v>
      </c>
      <c r="C8" s="2" t="str">
        <f t="shared" si="0"/>
        <v>Gạch</v>
      </c>
      <c r="D8" s="2" t="s">
        <v>387</v>
      </c>
      <c r="E8" s="2">
        <v>1</v>
      </c>
      <c r="F8" s="2">
        <f t="shared" si="1"/>
        <v>300</v>
      </c>
      <c r="G8" s="2">
        <f t="shared" si="2"/>
        <v>1.5</v>
      </c>
      <c r="H8" s="2">
        <f t="shared" si="3"/>
        <v>0</v>
      </c>
      <c r="I8" s="2">
        <f t="shared" si="4"/>
        <v>301.5</v>
      </c>
      <c r="J8" s="14" t="s">
        <v>402</v>
      </c>
    </row>
    <row r="9" spans="1:15" x14ac:dyDescent="0.3">
      <c r="A9" s="2">
        <f t="shared" si="5"/>
        <v>6</v>
      </c>
      <c r="B9" s="39" t="s">
        <v>383</v>
      </c>
      <c r="C9" s="2" t="str">
        <f t="shared" si="0"/>
        <v>Gạch</v>
      </c>
      <c r="D9" s="2" t="s">
        <v>386</v>
      </c>
      <c r="E9" s="2">
        <v>3</v>
      </c>
      <c r="F9" s="2">
        <f t="shared" si="1"/>
        <v>900</v>
      </c>
      <c r="G9" s="2">
        <f t="shared" si="2"/>
        <v>9</v>
      </c>
      <c r="H9" s="2">
        <f t="shared" si="3"/>
        <v>45</v>
      </c>
      <c r="I9" s="2">
        <f t="shared" si="4"/>
        <v>864</v>
      </c>
      <c r="J9" s="14" t="s">
        <v>403</v>
      </c>
    </row>
    <row r="10" spans="1:15" x14ac:dyDescent="0.3">
      <c r="A10" s="2">
        <f t="shared" si="5"/>
        <v>7</v>
      </c>
      <c r="B10" s="39" t="s">
        <v>382</v>
      </c>
      <c r="C10" s="2" t="str">
        <f t="shared" si="0"/>
        <v>Xi măng</v>
      </c>
      <c r="D10" s="2" t="s">
        <v>387</v>
      </c>
      <c r="E10" s="2">
        <v>7</v>
      </c>
      <c r="F10" s="2">
        <f t="shared" si="1"/>
        <v>350000</v>
      </c>
      <c r="G10" s="2">
        <f t="shared" si="2"/>
        <v>1750</v>
      </c>
      <c r="H10" s="2">
        <f t="shared" si="3"/>
        <v>17500</v>
      </c>
      <c r="I10" s="2">
        <f t="shared" si="4"/>
        <v>334250</v>
      </c>
      <c r="J10" s="14" t="s">
        <v>404</v>
      </c>
    </row>
    <row r="11" spans="1:15" x14ac:dyDescent="0.3">
      <c r="A11" s="2">
        <f t="shared" si="5"/>
        <v>8</v>
      </c>
      <c r="B11" s="39" t="s">
        <v>381</v>
      </c>
      <c r="C11" s="2" t="str">
        <f t="shared" si="0"/>
        <v>Sắt</v>
      </c>
      <c r="D11" s="2" t="s">
        <v>385</v>
      </c>
      <c r="E11" s="2">
        <v>6</v>
      </c>
      <c r="F11" s="2">
        <f t="shared" si="1"/>
        <v>18000</v>
      </c>
      <c r="G11" s="2">
        <f t="shared" si="2"/>
        <v>216</v>
      </c>
      <c r="H11" s="2">
        <f t="shared" si="3"/>
        <v>900</v>
      </c>
      <c r="I11" s="2">
        <f t="shared" si="4"/>
        <v>17316</v>
      </c>
      <c r="J11" s="5" t="s">
        <v>405</v>
      </c>
    </row>
    <row r="12" spans="1:15" x14ac:dyDescent="0.3">
      <c r="A12" s="2">
        <f t="shared" si="5"/>
        <v>9</v>
      </c>
      <c r="B12" s="39" t="s">
        <v>381</v>
      </c>
      <c r="C12" s="2" t="str">
        <f t="shared" si="0"/>
        <v>Sắt</v>
      </c>
      <c r="D12" s="2" t="s">
        <v>387</v>
      </c>
      <c r="E12" s="2">
        <v>5</v>
      </c>
      <c r="F12" s="2">
        <f t="shared" si="1"/>
        <v>15000</v>
      </c>
      <c r="G12" s="2">
        <f t="shared" si="2"/>
        <v>75</v>
      </c>
      <c r="H12" s="2">
        <f t="shared" si="3"/>
        <v>750</v>
      </c>
      <c r="I12" s="2">
        <f t="shared" si="4"/>
        <v>14325</v>
      </c>
      <c r="J12" s="10" t="s">
        <v>406</v>
      </c>
    </row>
    <row r="13" spans="1:15" x14ac:dyDescent="0.3">
      <c r="A13" s="2">
        <f t="shared" si="5"/>
        <v>10</v>
      </c>
      <c r="B13" s="39" t="s">
        <v>382</v>
      </c>
      <c r="C13" s="2" t="str">
        <f t="shared" si="0"/>
        <v>Xi măng</v>
      </c>
      <c r="D13" s="2" t="s">
        <v>384</v>
      </c>
      <c r="E13" s="2">
        <v>9</v>
      </c>
      <c r="F13" s="2">
        <f t="shared" si="1"/>
        <v>450000</v>
      </c>
      <c r="G13" s="2">
        <f t="shared" si="2"/>
        <v>9000</v>
      </c>
      <c r="H13" s="2">
        <f t="shared" si="3"/>
        <v>22500</v>
      </c>
      <c r="I13" s="2">
        <f t="shared" si="4"/>
        <v>436500</v>
      </c>
    </row>
    <row r="14" spans="1:15" ht="18.600000000000001" customHeight="1" x14ac:dyDescent="0.3">
      <c r="A14" s="72" t="s">
        <v>21</v>
      </c>
      <c r="B14" s="77"/>
      <c r="C14" s="77"/>
      <c r="D14" s="77"/>
      <c r="E14" s="73"/>
      <c r="F14" s="2"/>
      <c r="G14" s="2"/>
      <c r="H14" s="2"/>
      <c r="I14" s="2"/>
      <c r="K14" s="22" t="s">
        <v>93</v>
      </c>
      <c r="L14" s="2" t="s">
        <v>392</v>
      </c>
      <c r="M14" s="2" t="s">
        <v>391</v>
      </c>
      <c r="N14" s="2" t="s">
        <v>393</v>
      </c>
      <c r="O14" s="30" t="s">
        <v>408</v>
      </c>
    </row>
    <row r="15" spans="1:15" x14ac:dyDescent="0.3">
      <c r="K15" s="22" t="s">
        <v>407</v>
      </c>
      <c r="L15" s="2">
        <f>SUMIFS(I4:I13,C4:C13,"Cát")</f>
        <v>468960</v>
      </c>
      <c r="M15" s="2">
        <f>SUMIFS(I4:I13,C4:C13,"Gạch")</f>
        <v>1165.5</v>
      </c>
      <c r="N15" s="2">
        <f>SUMIFS(I4:I13,C4:C13,"Sắt")</f>
        <v>34671</v>
      </c>
      <c r="O15" s="2">
        <f>SUMIFS(I4:I13,C4:C13,"Xi măng")</f>
        <v>872750</v>
      </c>
    </row>
    <row r="16" spans="1:15" x14ac:dyDescent="0.3">
      <c r="B16" s="1" t="s">
        <v>388</v>
      </c>
      <c r="F16" s="1" t="s">
        <v>395</v>
      </c>
      <c r="J16" s="10" t="s">
        <v>409</v>
      </c>
      <c r="K16" s="37"/>
    </row>
    <row r="17" spans="1:9" ht="31.2" x14ac:dyDescent="0.3">
      <c r="A17" s="34" t="s">
        <v>389</v>
      </c>
      <c r="B17" s="34" t="s">
        <v>376</v>
      </c>
      <c r="C17" s="34" t="s">
        <v>390</v>
      </c>
      <c r="D17" s="43"/>
      <c r="E17" s="34" t="s">
        <v>396</v>
      </c>
      <c r="F17" s="33" t="s">
        <v>385</v>
      </c>
      <c r="G17" s="33" t="s">
        <v>384</v>
      </c>
      <c r="H17" s="33" t="s">
        <v>387</v>
      </c>
      <c r="I17" s="33" t="s">
        <v>386</v>
      </c>
    </row>
    <row r="18" spans="1:9" x14ac:dyDescent="0.3">
      <c r="A18" s="2" t="s">
        <v>383</v>
      </c>
      <c r="B18" s="2" t="s">
        <v>391</v>
      </c>
      <c r="C18" s="2">
        <v>300</v>
      </c>
      <c r="E18" s="2" t="s">
        <v>397</v>
      </c>
      <c r="F18" s="40">
        <v>1.2E-2</v>
      </c>
      <c r="G18" s="32">
        <v>0.02</v>
      </c>
      <c r="H18" s="40">
        <v>5.0000000000000001E-3</v>
      </c>
      <c r="I18" s="32">
        <v>0.01</v>
      </c>
    </row>
    <row r="19" spans="1:9" x14ac:dyDescent="0.3">
      <c r="A19" s="2" t="s">
        <v>176</v>
      </c>
      <c r="B19" s="2" t="s">
        <v>392</v>
      </c>
      <c r="C19" s="2">
        <v>40000</v>
      </c>
    </row>
    <row r="20" spans="1:9" x14ac:dyDescent="0.3">
      <c r="A20" s="2" t="s">
        <v>381</v>
      </c>
      <c r="B20" s="2" t="s">
        <v>393</v>
      </c>
      <c r="C20" s="2">
        <v>3000</v>
      </c>
    </row>
    <row r="21" spans="1:9" x14ac:dyDescent="0.3">
      <c r="A21" s="2" t="s">
        <v>382</v>
      </c>
      <c r="B21" s="2" t="s">
        <v>394</v>
      </c>
      <c r="C21" s="2">
        <v>50000</v>
      </c>
    </row>
  </sheetData>
  <mergeCells count="1">
    <mergeCell ref="A14:E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5029-10EF-47BE-A9E4-AEF695E62101}">
  <dimension ref="A1:K25"/>
  <sheetViews>
    <sheetView zoomScale="60" zoomScaleNormal="60" workbookViewId="0">
      <selection activeCell="B10" sqref="B10"/>
    </sheetView>
  </sheetViews>
  <sheetFormatPr defaultRowHeight="18" x14ac:dyDescent="0.35"/>
  <cols>
    <col min="1" max="1" width="8.88671875" style="44"/>
    <col min="2" max="2" width="15.88671875" style="44" customWidth="1"/>
    <col min="3" max="3" width="16" style="44" customWidth="1"/>
    <col min="4" max="4" width="14.44140625" style="44" customWidth="1"/>
    <col min="5" max="5" width="15.109375" style="44" customWidth="1"/>
    <col min="6" max="6" width="18" style="44" customWidth="1"/>
    <col min="7" max="7" width="18.109375" style="44" customWidth="1"/>
    <col min="8" max="8" width="18.44140625" style="44" customWidth="1"/>
    <col min="9" max="9" width="12.44140625" style="44" customWidth="1"/>
    <col min="10" max="10" width="17.5546875" style="44" customWidth="1"/>
    <col min="11" max="11" width="8.88671875" style="44" customWidth="1"/>
    <col min="12" max="16384" width="8.88671875" style="44"/>
  </cols>
  <sheetData>
    <row r="1" spans="1:11" x14ac:dyDescent="0.35">
      <c r="D1" s="44" t="s">
        <v>410</v>
      </c>
    </row>
    <row r="3" spans="1:11" ht="34.799999999999997" x14ac:dyDescent="0.35">
      <c r="A3" s="47" t="s">
        <v>1</v>
      </c>
      <c r="B3" s="48" t="s">
        <v>411</v>
      </c>
      <c r="C3" s="48" t="s">
        <v>389</v>
      </c>
      <c r="D3" s="48" t="s">
        <v>376</v>
      </c>
      <c r="E3" s="48" t="s">
        <v>346</v>
      </c>
      <c r="F3" s="48" t="s">
        <v>412</v>
      </c>
      <c r="G3" s="48" t="s">
        <v>413</v>
      </c>
      <c r="H3" s="48" t="s">
        <v>347</v>
      </c>
      <c r="I3" s="47" t="s">
        <v>98</v>
      </c>
      <c r="J3" s="47" t="s">
        <v>414</v>
      </c>
      <c r="K3" s="49"/>
    </row>
    <row r="4" spans="1:11" x14ac:dyDescent="0.35">
      <c r="A4" s="45">
        <v>1</v>
      </c>
      <c r="B4" s="46">
        <v>37712</v>
      </c>
      <c r="C4" s="45" t="s">
        <v>415</v>
      </c>
      <c r="D4" s="45" t="str">
        <f>VLOOKUP(LEFT(C4,2),$A$17:$B$22,2,0)</f>
        <v>Tivi</v>
      </c>
      <c r="E4" s="45">
        <v>8</v>
      </c>
      <c r="F4" s="50">
        <f>VLOOKUP(LEFT(C4,2),$A$17:$C$22,3,0)</f>
        <v>4500000</v>
      </c>
      <c r="G4" s="50">
        <f>VLOOKUP(LEFT(C4,2),$A$17:$D$22,4,0)</f>
        <v>4800000</v>
      </c>
      <c r="H4" s="50">
        <f>IF(E4&gt;=10,E4*F4,E4*G4)</f>
        <v>38400000</v>
      </c>
      <c r="I4" s="45">
        <f>IF(E4&gt;=10,5%*H4,10%*H4)</f>
        <v>3840000</v>
      </c>
      <c r="J4" s="50">
        <f>H4-I4</f>
        <v>34560000</v>
      </c>
    </row>
    <row r="5" spans="1:11" x14ac:dyDescent="0.35">
      <c r="A5" s="45">
        <f>A4+1</f>
        <v>2</v>
      </c>
      <c r="B5" s="46">
        <v>37714</v>
      </c>
      <c r="C5" s="45" t="s">
        <v>416</v>
      </c>
      <c r="D5" s="45" t="str">
        <f t="shared" ref="D5:D13" si="0">VLOOKUP(LEFT(C5,2),$A$17:$B$22,2,0)</f>
        <v>Tủ lạnh</v>
      </c>
      <c r="E5" s="45">
        <v>10</v>
      </c>
      <c r="F5" s="50">
        <f t="shared" ref="F5:F13" si="1">VLOOKUP(LEFT(C5,2),$A$17:$C$22,3,0)</f>
        <v>4000000</v>
      </c>
      <c r="G5" s="50">
        <f t="shared" ref="G5:G13" si="2">VLOOKUP(LEFT(C5,2),$A$17:$D$22,4,0)</f>
        <v>4200000</v>
      </c>
      <c r="H5" s="50">
        <f t="shared" ref="H5:H13" si="3">IF(E5&gt;=10,E5*F5,E5*G5)</f>
        <v>40000000</v>
      </c>
      <c r="I5" s="45">
        <f t="shared" ref="I5:I13" si="4">IF(E5&gt;=10,5%*H5,10%*H5)</f>
        <v>2000000</v>
      </c>
      <c r="J5" s="50">
        <f t="shared" ref="J5:J13" si="5">H5-I5</f>
        <v>38000000</v>
      </c>
    </row>
    <row r="6" spans="1:11" x14ac:dyDescent="0.35">
      <c r="A6" s="45">
        <f t="shared" ref="A6:A13" si="6">A5+1</f>
        <v>3</v>
      </c>
      <c r="B6" s="46">
        <v>37713</v>
      </c>
      <c r="C6" s="45" t="s">
        <v>417</v>
      </c>
      <c r="D6" s="45" t="str">
        <f t="shared" si="0"/>
        <v>Tivi</v>
      </c>
      <c r="E6" s="45">
        <v>12</v>
      </c>
      <c r="F6" s="50">
        <f t="shared" si="1"/>
        <v>4500000</v>
      </c>
      <c r="G6" s="50">
        <f t="shared" si="2"/>
        <v>4800000</v>
      </c>
      <c r="H6" s="50">
        <f t="shared" si="3"/>
        <v>54000000</v>
      </c>
      <c r="I6" s="45">
        <f t="shared" si="4"/>
        <v>2700000</v>
      </c>
      <c r="J6" s="50">
        <f t="shared" si="5"/>
        <v>51300000</v>
      </c>
    </row>
    <row r="7" spans="1:11" x14ac:dyDescent="0.35">
      <c r="A7" s="45">
        <f t="shared" si="6"/>
        <v>4</v>
      </c>
      <c r="B7" s="46">
        <v>37716</v>
      </c>
      <c r="C7" s="45" t="s">
        <v>418</v>
      </c>
      <c r="D7" s="45" t="str">
        <f t="shared" si="0"/>
        <v>Máy giặt</v>
      </c>
      <c r="E7" s="45">
        <v>9</v>
      </c>
      <c r="F7" s="50">
        <f t="shared" si="1"/>
        <v>3200000</v>
      </c>
      <c r="G7" s="50">
        <f t="shared" si="2"/>
        <v>3500000</v>
      </c>
      <c r="H7" s="50">
        <f t="shared" si="3"/>
        <v>31500000</v>
      </c>
      <c r="I7" s="45">
        <f t="shared" si="4"/>
        <v>3150000</v>
      </c>
      <c r="J7" s="50">
        <f t="shared" si="5"/>
        <v>28350000</v>
      </c>
    </row>
    <row r="8" spans="1:11" x14ac:dyDescent="0.35">
      <c r="A8" s="45">
        <f t="shared" si="6"/>
        <v>5</v>
      </c>
      <c r="B8" s="46">
        <v>37717</v>
      </c>
      <c r="C8" s="45" t="s">
        <v>419</v>
      </c>
      <c r="D8" s="45" t="str">
        <f t="shared" si="0"/>
        <v>Bàn ủi</v>
      </c>
      <c r="E8" s="45">
        <v>6</v>
      </c>
      <c r="F8" s="50">
        <f t="shared" si="1"/>
        <v>120000</v>
      </c>
      <c r="G8" s="50">
        <f t="shared" si="2"/>
        <v>130000</v>
      </c>
      <c r="H8" s="50">
        <f t="shared" si="3"/>
        <v>780000</v>
      </c>
      <c r="I8" s="45">
        <f t="shared" si="4"/>
        <v>78000</v>
      </c>
      <c r="J8" s="50">
        <f t="shared" si="5"/>
        <v>702000</v>
      </c>
    </row>
    <row r="9" spans="1:11" x14ac:dyDescent="0.35">
      <c r="A9" s="45">
        <f t="shared" si="6"/>
        <v>6</v>
      </c>
      <c r="B9" s="46">
        <v>37748</v>
      </c>
      <c r="C9" s="45" t="s">
        <v>415</v>
      </c>
      <c r="D9" s="45" t="str">
        <f t="shared" si="0"/>
        <v>Tivi</v>
      </c>
      <c r="E9" s="45">
        <v>5</v>
      </c>
      <c r="F9" s="50">
        <f t="shared" si="1"/>
        <v>4500000</v>
      </c>
      <c r="G9" s="50">
        <f t="shared" si="2"/>
        <v>4800000</v>
      </c>
      <c r="H9" s="50">
        <f t="shared" si="3"/>
        <v>24000000</v>
      </c>
      <c r="I9" s="45">
        <f t="shared" si="4"/>
        <v>2400000</v>
      </c>
      <c r="J9" s="50">
        <f t="shared" si="5"/>
        <v>21600000</v>
      </c>
    </row>
    <row r="10" spans="1:11" x14ac:dyDescent="0.35">
      <c r="A10" s="45">
        <f t="shared" si="6"/>
        <v>7</v>
      </c>
      <c r="B10" s="46">
        <v>37723</v>
      </c>
      <c r="C10" s="45" t="s">
        <v>420</v>
      </c>
      <c r="D10" s="45" t="str">
        <f t="shared" si="0"/>
        <v>Máy tính</v>
      </c>
      <c r="E10" s="45">
        <v>12</v>
      </c>
      <c r="F10" s="50">
        <f t="shared" si="1"/>
        <v>6000000</v>
      </c>
      <c r="G10" s="50">
        <f t="shared" si="2"/>
        <v>6200000</v>
      </c>
      <c r="H10" s="50">
        <f t="shared" si="3"/>
        <v>72000000</v>
      </c>
      <c r="I10" s="45">
        <f t="shared" si="4"/>
        <v>3600000</v>
      </c>
      <c r="J10" s="50">
        <f t="shared" si="5"/>
        <v>68400000</v>
      </c>
    </row>
    <row r="11" spans="1:11" x14ac:dyDescent="0.35">
      <c r="A11" s="45">
        <f t="shared" si="6"/>
        <v>8</v>
      </c>
      <c r="B11" s="46" t="s">
        <v>439</v>
      </c>
      <c r="C11" s="45" t="s">
        <v>421</v>
      </c>
      <c r="D11" s="45" t="str">
        <f t="shared" si="0"/>
        <v>Máy in</v>
      </c>
      <c r="E11" s="45">
        <v>13</v>
      </c>
      <c r="F11" s="50">
        <f t="shared" si="1"/>
        <v>2900000</v>
      </c>
      <c r="G11" s="50">
        <f t="shared" si="2"/>
        <v>3100000</v>
      </c>
      <c r="H11" s="50">
        <f t="shared" si="3"/>
        <v>37700000</v>
      </c>
      <c r="I11" s="45">
        <f t="shared" si="4"/>
        <v>1885000</v>
      </c>
      <c r="J11" s="50">
        <f t="shared" si="5"/>
        <v>35815000</v>
      </c>
    </row>
    <row r="12" spans="1:11" x14ac:dyDescent="0.35">
      <c r="A12" s="45">
        <f t="shared" si="6"/>
        <v>9</v>
      </c>
      <c r="B12" s="46" t="s">
        <v>437</v>
      </c>
      <c r="C12" s="45" t="s">
        <v>422</v>
      </c>
      <c r="D12" s="45" t="str">
        <f t="shared" si="0"/>
        <v>Máy tính</v>
      </c>
      <c r="E12" s="45">
        <v>20</v>
      </c>
      <c r="F12" s="50">
        <f t="shared" si="1"/>
        <v>6000000</v>
      </c>
      <c r="G12" s="50">
        <f t="shared" si="2"/>
        <v>6200000</v>
      </c>
      <c r="H12" s="50">
        <f t="shared" si="3"/>
        <v>120000000</v>
      </c>
      <c r="I12" s="45">
        <f t="shared" si="4"/>
        <v>6000000</v>
      </c>
      <c r="J12" s="50">
        <f t="shared" si="5"/>
        <v>114000000</v>
      </c>
    </row>
    <row r="13" spans="1:11" x14ac:dyDescent="0.35">
      <c r="A13" s="45">
        <f t="shared" si="6"/>
        <v>10</v>
      </c>
      <c r="B13" s="46" t="s">
        <v>438</v>
      </c>
      <c r="C13" s="45" t="s">
        <v>423</v>
      </c>
      <c r="D13" s="45" t="str">
        <f t="shared" si="0"/>
        <v>Máy in</v>
      </c>
      <c r="E13" s="45">
        <v>5</v>
      </c>
      <c r="F13" s="50">
        <f t="shared" si="1"/>
        <v>2900000</v>
      </c>
      <c r="G13" s="50">
        <f t="shared" si="2"/>
        <v>3100000</v>
      </c>
      <c r="H13" s="50">
        <f t="shared" si="3"/>
        <v>15500000</v>
      </c>
      <c r="I13" s="45">
        <f t="shared" si="4"/>
        <v>1550000</v>
      </c>
      <c r="J13" s="50">
        <f t="shared" si="5"/>
        <v>13950000</v>
      </c>
    </row>
    <row r="15" spans="1:11" ht="21.6" customHeight="1" x14ac:dyDescent="0.35">
      <c r="A15" s="78" t="s">
        <v>424</v>
      </c>
      <c r="B15" s="79"/>
      <c r="C15" s="79"/>
      <c r="D15" s="80"/>
      <c r="F15" s="38" t="s">
        <v>46</v>
      </c>
    </row>
    <row r="16" spans="1:11" ht="34.799999999999997" x14ac:dyDescent="0.35">
      <c r="A16" s="48" t="s">
        <v>389</v>
      </c>
      <c r="B16" s="48" t="s">
        <v>376</v>
      </c>
      <c r="C16" s="47" t="s">
        <v>440</v>
      </c>
      <c r="D16" s="47" t="s">
        <v>441</v>
      </c>
      <c r="F16" s="14" t="s">
        <v>442</v>
      </c>
    </row>
    <row r="17" spans="1:6" x14ac:dyDescent="0.35">
      <c r="A17" s="45" t="s">
        <v>425</v>
      </c>
      <c r="B17" s="45" t="s">
        <v>431</v>
      </c>
      <c r="C17" s="45">
        <v>4500000</v>
      </c>
      <c r="D17" s="45">
        <v>4800000</v>
      </c>
      <c r="F17" s="14" t="s">
        <v>443</v>
      </c>
    </row>
    <row r="18" spans="1:6" x14ac:dyDescent="0.35">
      <c r="A18" s="45" t="s">
        <v>426</v>
      </c>
      <c r="B18" s="45" t="s">
        <v>432</v>
      </c>
      <c r="C18" s="45">
        <v>4000000</v>
      </c>
      <c r="D18" s="45">
        <v>4200000</v>
      </c>
      <c r="F18" s="14" t="s">
        <v>444</v>
      </c>
    </row>
    <row r="19" spans="1:6" x14ac:dyDescent="0.35">
      <c r="A19" s="45" t="s">
        <v>427</v>
      </c>
      <c r="B19" s="45" t="s">
        <v>433</v>
      </c>
      <c r="C19" s="45">
        <v>3200000</v>
      </c>
      <c r="D19" s="45">
        <v>3500000</v>
      </c>
      <c r="F19" s="14" t="s">
        <v>445</v>
      </c>
    </row>
    <row r="20" spans="1:6" x14ac:dyDescent="0.35">
      <c r="A20" s="45" t="s">
        <v>428</v>
      </c>
      <c r="B20" s="45" t="s">
        <v>434</v>
      </c>
      <c r="C20" s="45">
        <v>6000000</v>
      </c>
      <c r="D20" s="45">
        <v>6200000</v>
      </c>
      <c r="F20" s="14" t="s">
        <v>446</v>
      </c>
    </row>
    <row r="21" spans="1:6" x14ac:dyDescent="0.35">
      <c r="A21" s="45" t="s">
        <v>429</v>
      </c>
      <c r="B21" s="45" t="s">
        <v>436</v>
      </c>
      <c r="C21" s="45">
        <v>2900000</v>
      </c>
      <c r="D21" s="45">
        <v>3100000</v>
      </c>
      <c r="F21" s="14" t="s">
        <v>447</v>
      </c>
    </row>
    <row r="22" spans="1:6" x14ac:dyDescent="0.35">
      <c r="A22" s="45" t="s">
        <v>430</v>
      </c>
      <c r="B22" s="45" t="s">
        <v>435</v>
      </c>
      <c r="C22" s="45">
        <v>120000</v>
      </c>
      <c r="D22" s="45">
        <v>130000</v>
      </c>
      <c r="F22" s="14" t="s">
        <v>448</v>
      </c>
    </row>
    <row r="23" spans="1:6" x14ac:dyDescent="0.35">
      <c r="F23" s="14" t="s">
        <v>449</v>
      </c>
    </row>
    <row r="24" spans="1:6" x14ac:dyDescent="0.35">
      <c r="F24" s="14" t="s">
        <v>450</v>
      </c>
    </row>
    <row r="25" spans="1:6" x14ac:dyDescent="0.35">
      <c r="F25" s="29" t="s">
        <v>451</v>
      </c>
    </row>
  </sheetData>
  <mergeCells count="1">
    <mergeCell ref="A15:D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E512-3559-4AF8-985E-336CB11A31EB}">
  <dimension ref="A1:I24"/>
  <sheetViews>
    <sheetView zoomScale="50" zoomScaleNormal="50" workbookViewId="0">
      <selection activeCell="L15" sqref="L15"/>
    </sheetView>
  </sheetViews>
  <sheetFormatPr defaultRowHeight="18" x14ac:dyDescent="0.35"/>
  <cols>
    <col min="1" max="1" width="11" style="44" customWidth="1"/>
    <col min="2" max="2" width="18.77734375" style="44" customWidth="1"/>
    <col min="3" max="3" width="25" style="44" customWidth="1"/>
    <col min="4" max="4" width="8.88671875" style="44"/>
    <col min="5" max="5" width="12.21875" style="44" customWidth="1"/>
    <col min="6" max="6" width="11.88671875" style="44" customWidth="1"/>
    <col min="7" max="7" width="11.33203125" style="44" customWidth="1"/>
    <col min="8" max="8" width="14.33203125" style="44" customWidth="1"/>
    <col min="9" max="9" width="21.109375" style="44" customWidth="1"/>
    <col min="10" max="16384" width="8.88671875" style="44"/>
  </cols>
  <sheetData>
    <row r="1" spans="1:9" x14ac:dyDescent="0.35">
      <c r="D1" s="44" t="s">
        <v>452</v>
      </c>
    </row>
    <row r="3" spans="1:9" x14ac:dyDescent="0.35">
      <c r="A3" s="51"/>
      <c r="B3" s="51"/>
      <c r="C3" s="51"/>
      <c r="D3" s="51"/>
      <c r="E3" s="81" t="s">
        <v>460</v>
      </c>
      <c r="F3" s="82"/>
      <c r="G3" s="82"/>
      <c r="H3" s="83"/>
      <c r="I3" s="52">
        <v>9000000</v>
      </c>
    </row>
    <row r="4" spans="1:9" ht="52.2" x14ac:dyDescent="0.35">
      <c r="A4" s="47" t="s">
        <v>1</v>
      </c>
      <c r="B4" s="47" t="s">
        <v>453</v>
      </c>
      <c r="C4" s="47" t="s">
        <v>454</v>
      </c>
      <c r="D4" s="48" t="s">
        <v>455</v>
      </c>
      <c r="E4" s="48" t="s">
        <v>456</v>
      </c>
      <c r="F4" s="48" t="s">
        <v>457</v>
      </c>
      <c r="G4" s="48" t="s">
        <v>458</v>
      </c>
      <c r="H4" s="48" t="s">
        <v>459</v>
      </c>
      <c r="I4" s="47" t="s">
        <v>60</v>
      </c>
    </row>
    <row r="5" spans="1:9" x14ac:dyDescent="0.35">
      <c r="A5" s="45">
        <v>1</v>
      </c>
      <c r="B5" s="45" t="s">
        <v>461</v>
      </c>
      <c r="C5" s="45" t="s">
        <v>470</v>
      </c>
      <c r="D5" s="45" t="s">
        <v>44</v>
      </c>
      <c r="E5" s="45" t="s">
        <v>147</v>
      </c>
      <c r="F5" s="45">
        <f>VLOOKUP(E5,$D$19:$E$21,2,0)</f>
        <v>10</v>
      </c>
      <c r="G5" s="45">
        <f>VLOOKUP(D5,$A$19:$B$24,2,0)</f>
        <v>6</v>
      </c>
      <c r="H5" s="45">
        <f>F5*G5</f>
        <v>60</v>
      </c>
      <c r="I5" s="45">
        <f>ROUND($I$3*H5/$H$15,-3)</f>
        <v>2093000</v>
      </c>
    </row>
    <row r="6" spans="1:9" x14ac:dyDescent="0.35">
      <c r="A6" s="45">
        <f>A5+1</f>
        <v>2</v>
      </c>
      <c r="B6" s="45" t="s">
        <v>462</v>
      </c>
      <c r="C6" s="45" t="s">
        <v>471</v>
      </c>
      <c r="D6" s="45" t="s">
        <v>17</v>
      </c>
      <c r="E6" s="45" t="s">
        <v>148</v>
      </c>
      <c r="F6" s="45">
        <f t="shared" ref="F6:F14" si="0">VLOOKUP(E6,$D$19:$E$21,2,0)</f>
        <v>8</v>
      </c>
      <c r="G6" s="45">
        <f t="shared" ref="G6:G14" si="1">VLOOKUP(D6,$A$19:$B$24,2,0)</f>
        <v>2</v>
      </c>
      <c r="H6" s="45">
        <f t="shared" ref="H6:H14" si="2">F6*G6</f>
        <v>16</v>
      </c>
      <c r="I6" s="45">
        <f t="shared" ref="I6:I14" si="3">ROUND($I$3*H6/$H$15,-3)</f>
        <v>558000</v>
      </c>
    </row>
    <row r="7" spans="1:9" x14ac:dyDescent="0.35">
      <c r="A7" s="45">
        <f t="shared" ref="A7:A14" si="4">A6+1</f>
        <v>3</v>
      </c>
      <c r="B7" s="45" t="s">
        <v>463</v>
      </c>
      <c r="C7" s="45" t="s">
        <v>472</v>
      </c>
      <c r="D7" s="45" t="s">
        <v>17</v>
      </c>
      <c r="E7" s="45" t="s">
        <v>176</v>
      </c>
      <c r="F7" s="45">
        <f t="shared" si="0"/>
        <v>6</v>
      </c>
      <c r="G7" s="45">
        <f t="shared" si="1"/>
        <v>2</v>
      </c>
      <c r="H7" s="45">
        <f t="shared" si="2"/>
        <v>12</v>
      </c>
      <c r="I7" s="45">
        <f t="shared" si="3"/>
        <v>419000</v>
      </c>
    </row>
    <row r="8" spans="1:9" x14ac:dyDescent="0.35">
      <c r="A8" s="45">
        <f t="shared" si="4"/>
        <v>4</v>
      </c>
      <c r="B8" s="45" t="s">
        <v>464</v>
      </c>
      <c r="C8" s="45" t="s">
        <v>473</v>
      </c>
      <c r="D8" s="45" t="s">
        <v>16</v>
      </c>
      <c r="E8" s="45" t="s">
        <v>147</v>
      </c>
      <c r="F8" s="45">
        <f t="shared" si="0"/>
        <v>10</v>
      </c>
      <c r="G8" s="45">
        <f t="shared" si="1"/>
        <v>4</v>
      </c>
      <c r="H8" s="45">
        <f t="shared" si="2"/>
        <v>40</v>
      </c>
      <c r="I8" s="45">
        <f t="shared" si="3"/>
        <v>1395000</v>
      </c>
    </row>
    <row r="9" spans="1:9" x14ac:dyDescent="0.35">
      <c r="A9" s="45">
        <f t="shared" si="4"/>
        <v>5</v>
      </c>
      <c r="B9" s="45" t="s">
        <v>464</v>
      </c>
      <c r="C9" s="45" t="s">
        <v>474</v>
      </c>
      <c r="D9" s="45" t="s">
        <v>17</v>
      </c>
      <c r="E9" s="45" t="s">
        <v>176</v>
      </c>
      <c r="F9" s="45">
        <f t="shared" si="0"/>
        <v>6</v>
      </c>
      <c r="G9" s="45">
        <f t="shared" si="1"/>
        <v>2</v>
      </c>
      <c r="H9" s="45">
        <f t="shared" si="2"/>
        <v>12</v>
      </c>
      <c r="I9" s="45">
        <f t="shared" si="3"/>
        <v>419000</v>
      </c>
    </row>
    <row r="10" spans="1:9" x14ac:dyDescent="0.35">
      <c r="A10" s="45">
        <f t="shared" si="4"/>
        <v>6</v>
      </c>
      <c r="B10" s="45" t="s">
        <v>465</v>
      </c>
      <c r="C10" s="45" t="s">
        <v>475</v>
      </c>
      <c r="D10" s="45" t="s">
        <v>18</v>
      </c>
      <c r="E10" s="45" t="s">
        <v>147</v>
      </c>
      <c r="F10" s="45">
        <f t="shared" si="0"/>
        <v>10</v>
      </c>
      <c r="G10" s="45">
        <f t="shared" si="1"/>
        <v>3</v>
      </c>
      <c r="H10" s="45">
        <f t="shared" si="2"/>
        <v>30</v>
      </c>
      <c r="I10" s="45">
        <f t="shared" si="3"/>
        <v>1047000</v>
      </c>
    </row>
    <row r="11" spans="1:9" x14ac:dyDescent="0.35">
      <c r="A11" s="45">
        <f t="shared" si="4"/>
        <v>7</v>
      </c>
      <c r="B11" s="45" t="s">
        <v>466</v>
      </c>
      <c r="C11" s="45" t="s">
        <v>476</v>
      </c>
      <c r="D11" s="45" t="s">
        <v>17</v>
      </c>
      <c r="E11" s="45" t="s">
        <v>147</v>
      </c>
      <c r="F11" s="45">
        <f t="shared" si="0"/>
        <v>10</v>
      </c>
      <c r="G11" s="45">
        <f t="shared" si="1"/>
        <v>2</v>
      </c>
      <c r="H11" s="45">
        <f t="shared" si="2"/>
        <v>20</v>
      </c>
      <c r="I11" s="45">
        <f t="shared" si="3"/>
        <v>698000</v>
      </c>
    </row>
    <row r="12" spans="1:9" x14ac:dyDescent="0.35">
      <c r="A12" s="45">
        <f t="shared" si="4"/>
        <v>8</v>
      </c>
      <c r="B12" s="45" t="s">
        <v>467</v>
      </c>
      <c r="C12" s="45" t="s">
        <v>477</v>
      </c>
      <c r="D12" s="45" t="s">
        <v>76</v>
      </c>
      <c r="E12" s="45" t="s">
        <v>148</v>
      </c>
      <c r="F12" s="45">
        <f t="shared" si="0"/>
        <v>8</v>
      </c>
      <c r="G12" s="45">
        <f t="shared" si="1"/>
        <v>5</v>
      </c>
      <c r="H12" s="45">
        <f t="shared" si="2"/>
        <v>40</v>
      </c>
      <c r="I12" s="45">
        <f t="shared" si="3"/>
        <v>1395000</v>
      </c>
    </row>
    <row r="13" spans="1:9" x14ac:dyDescent="0.35">
      <c r="A13" s="45">
        <f t="shared" si="4"/>
        <v>9</v>
      </c>
      <c r="B13" s="45" t="s">
        <v>468</v>
      </c>
      <c r="C13" s="45" t="s">
        <v>478</v>
      </c>
      <c r="D13" s="45" t="s">
        <v>17</v>
      </c>
      <c r="E13" s="45" t="s">
        <v>176</v>
      </c>
      <c r="F13" s="45">
        <f t="shared" si="0"/>
        <v>6</v>
      </c>
      <c r="G13" s="45">
        <f t="shared" si="1"/>
        <v>2</v>
      </c>
      <c r="H13" s="45">
        <f t="shared" si="2"/>
        <v>12</v>
      </c>
      <c r="I13" s="45">
        <f t="shared" si="3"/>
        <v>419000</v>
      </c>
    </row>
    <row r="14" spans="1:9" x14ac:dyDescent="0.35">
      <c r="A14" s="45">
        <f t="shared" si="4"/>
        <v>10</v>
      </c>
      <c r="B14" s="45" t="s">
        <v>469</v>
      </c>
      <c r="C14" s="45" t="s">
        <v>479</v>
      </c>
      <c r="D14" s="45" t="s">
        <v>17</v>
      </c>
      <c r="E14" s="45" t="s">
        <v>148</v>
      </c>
      <c r="F14" s="45">
        <f t="shared" si="0"/>
        <v>8</v>
      </c>
      <c r="G14" s="45">
        <f t="shared" si="1"/>
        <v>2</v>
      </c>
      <c r="H14" s="45">
        <f t="shared" si="2"/>
        <v>16</v>
      </c>
      <c r="I14" s="45">
        <f t="shared" si="3"/>
        <v>558000</v>
      </c>
    </row>
    <row r="15" spans="1:9" x14ac:dyDescent="0.35">
      <c r="A15" s="84" t="s">
        <v>21</v>
      </c>
      <c r="B15" s="85"/>
      <c r="C15" s="85"/>
      <c r="D15" s="85"/>
      <c r="E15" s="86"/>
      <c r="F15" s="45"/>
      <c r="G15" s="45"/>
      <c r="H15" s="45">
        <f>SUM(H5:H14)</f>
        <v>258</v>
      </c>
      <c r="I15" s="45">
        <f>SUM(I5:I14)</f>
        <v>9001000</v>
      </c>
    </row>
    <row r="17" spans="1:7" x14ac:dyDescent="0.35">
      <c r="A17" s="54"/>
      <c r="B17" s="54" t="s">
        <v>480</v>
      </c>
      <c r="D17" s="54" t="s">
        <v>482</v>
      </c>
      <c r="E17" s="54"/>
      <c r="G17" s="38"/>
    </row>
    <row r="18" spans="1:7" ht="37.200000000000003" customHeight="1" x14ac:dyDescent="0.35">
      <c r="A18" s="52" t="s">
        <v>481</v>
      </c>
      <c r="B18" s="53" t="s">
        <v>491</v>
      </c>
      <c r="D18" s="52" t="s">
        <v>483</v>
      </c>
      <c r="E18" s="53" t="s">
        <v>457</v>
      </c>
      <c r="G18" s="14" t="s">
        <v>484</v>
      </c>
    </row>
    <row r="19" spans="1:7" x14ac:dyDescent="0.35">
      <c r="A19" s="45" t="s">
        <v>44</v>
      </c>
      <c r="B19" s="45">
        <v>6</v>
      </c>
      <c r="D19" s="45" t="s">
        <v>147</v>
      </c>
      <c r="E19" s="45">
        <v>10</v>
      </c>
      <c r="G19" s="14" t="s">
        <v>485</v>
      </c>
    </row>
    <row r="20" spans="1:7" x14ac:dyDescent="0.35">
      <c r="A20" s="45" t="s">
        <v>76</v>
      </c>
      <c r="B20" s="45">
        <v>5</v>
      </c>
      <c r="D20" s="45" t="s">
        <v>148</v>
      </c>
      <c r="E20" s="45">
        <v>8</v>
      </c>
      <c r="G20" s="14" t="s">
        <v>486</v>
      </c>
    </row>
    <row r="21" spans="1:7" x14ac:dyDescent="0.35">
      <c r="A21" s="45" t="s">
        <v>16</v>
      </c>
      <c r="B21" s="45">
        <v>4</v>
      </c>
      <c r="D21" s="45" t="s">
        <v>176</v>
      </c>
      <c r="E21" s="45">
        <v>6</v>
      </c>
      <c r="G21" s="14" t="s">
        <v>487</v>
      </c>
    </row>
    <row r="22" spans="1:7" x14ac:dyDescent="0.35">
      <c r="A22" s="45" t="s">
        <v>20</v>
      </c>
      <c r="B22" s="45">
        <v>3</v>
      </c>
      <c r="G22" s="14" t="s">
        <v>488</v>
      </c>
    </row>
    <row r="23" spans="1:7" x14ac:dyDescent="0.35">
      <c r="A23" s="45" t="s">
        <v>18</v>
      </c>
      <c r="B23" s="45">
        <v>3</v>
      </c>
      <c r="G23" s="14" t="s">
        <v>489</v>
      </c>
    </row>
    <row r="24" spans="1:7" x14ac:dyDescent="0.35">
      <c r="A24" s="45" t="s">
        <v>17</v>
      </c>
      <c r="B24" s="45">
        <v>2</v>
      </c>
      <c r="G24" s="14" t="s">
        <v>490</v>
      </c>
    </row>
  </sheetData>
  <mergeCells count="2">
    <mergeCell ref="E3:H3"/>
    <mergeCell ref="A15:E15"/>
  </mergeCells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5380-AEC2-4E66-8073-67C751E4387F}">
  <dimension ref="A1:K33"/>
  <sheetViews>
    <sheetView zoomScale="70" zoomScaleNormal="70" workbookViewId="0">
      <selection activeCell="B4" sqref="B4:B13"/>
    </sheetView>
  </sheetViews>
  <sheetFormatPr defaultRowHeight="18" x14ac:dyDescent="0.35"/>
  <cols>
    <col min="1" max="1" width="8.88671875" style="44"/>
    <col min="2" max="2" width="25.44140625" style="44" customWidth="1"/>
    <col min="3" max="3" width="8.6640625" style="44" customWidth="1"/>
    <col min="4" max="4" width="11.109375" style="44" customWidth="1"/>
    <col min="5" max="7" width="8.88671875" style="44"/>
    <col min="8" max="8" width="9.6640625" style="44" customWidth="1"/>
    <col min="9" max="9" width="13.33203125" style="44" customWidth="1"/>
    <col min="10" max="10" width="8.88671875" style="44"/>
    <col min="11" max="11" width="18.44140625" style="44" customWidth="1"/>
    <col min="12" max="16384" width="8.88671875" style="44"/>
  </cols>
  <sheetData>
    <row r="1" spans="1:11" x14ac:dyDescent="0.35">
      <c r="D1" s="44" t="s">
        <v>492</v>
      </c>
    </row>
    <row r="2" spans="1:11" ht="11.4" customHeight="1" x14ac:dyDescent="0.35"/>
    <row r="3" spans="1:11" s="57" customFormat="1" ht="70.8" customHeight="1" x14ac:dyDescent="0.3">
      <c r="A3" s="55" t="s">
        <v>1</v>
      </c>
      <c r="B3" s="47" t="s">
        <v>2</v>
      </c>
      <c r="C3" s="56" t="s">
        <v>29</v>
      </c>
      <c r="D3" s="56" t="s">
        <v>493</v>
      </c>
      <c r="E3" s="56" t="s">
        <v>494</v>
      </c>
      <c r="F3" s="48" t="s">
        <v>495</v>
      </c>
      <c r="G3" s="47" t="s">
        <v>310</v>
      </c>
      <c r="H3" s="55" t="s">
        <v>6</v>
      </c>
      <c r="I3" s="55" t="s">
        <v>496</v>
      </c>
      <c r="J3" s="48" t="s">
        <v>497</v>
      </c>
      <c r="K3" s="47" t="s">
        <v>268</v>
      </c>
    </row>
    <row r="4" spans="1:11" x14ac:dyDescent="0.35">
      <c r="A4" s="45">
        <v>1</v>
      </c>
      <c r="B4" s="45" t="s">
        <v>166</v>
      </c>
      <c r="C4" s="45">
        <v>0</v>
      </c>
      <c r="D4" s="45">
        <v>3</v>
      </c>
      <c r="E4" s="45">
        <v>4.46</v>
      </c>
      <c r="F4" s="45">
        <v>24</v>
      </c>
      <c r="G4" s="45" t="str">
        <f>IF(F4&gt;25,"A",IF(F4&lt;24,"C",IF(F4&lt;=25,"B")))</f>
        <v>B</v>
      </c>
      <c r="H4" s="45">
        <f>E4*120000</f>
        <v>535200</v>
      </c>
      <c r="I4" s="45">
        <f>IF(G4="A",50000,IF(G4="B",20000,IF(G4="C",-20000)))</f>
        <v>20000</v>
      </c>
      <c r="J4" s="45">
        <f>IF(AND(C4=0,D4&gt;=2),100000,IF(AND(C4=0,D4=1),50000,0))</f>
        <v>100000</v>
      </c>
      <c r="K4" s="45">
        <f>H4+I4+J4</f>
        <v>655200</v>
      </c>
    </row>
    <row r="5" spans="1:11" x14ac:dyDescent="0.35">
      <c r="A5" s="45">
        <f>A4+1</f>
        <v>2</v>
      </c>
      <c r="B5" s="45" t="s">
        <v>167</v>
      </c>
      <c r="C5" s="45">
        <v>0</v>
      </c>
      <c r="D5" s="45">
        <v>1</v>
      </c>
      <c r="E5" s="45">
        <v>4.3600000000000003</v>
      </c>
      <c r="F5" s="45">
        <v>25</v>
      </c>
      <c r="G5" s="45" t="str">
        <f t="shared" ref="G5:G13" si="0">IF(F5&gt;25,"A",IF(F5&lt;24,"C",IF(F5&lt;=25,"B")))</f>
        <v>B</v>
      </c>
      <c r="H5" s="45">
        <f t="shared" ref="H5:H13" si="1">E5*120000</f>
        <v>523200.00000000006</v>
      </c>
      <c r="I5" s="45">
        <f t="shared" ref="I5:I13" si="2">IF(G5="A",50000,IF(G5="B",20000,IF(G5="C",-20000)))</f>
        <v>20000</v>
      </c>
      <c r="J5" s="45">
        <f t="shared" ref="J5:J13" si="3">IF(AND(C5=0,D5&gt;=2),100000,IF(AND(C5=0,D5=1),50000,0))</f>
        <v>50000</v>
      </c>
      <c r="K5" s="45">
        <f t="shared" ref="K5:K13" si="4">H5+I5+J5</f>
        <v>593200</v>
      </c>
    </row>
    <row r="6" spans="1:11" x14ac:dyDescent="0.35">
      <c r="A6" s="45">
        <f t="shared" ref="A6:A13" si="5">A5+1</f>
        <v>3</v>
      </c>
      <c r="B6" s="45" t="s">
        <v>168</v>
      </c>
      <c r="C6" s="45">
        <v>0</v>
      </c>
      <c r="D6" s="45">
        <v>1</v>
      </c>
      <c r="E6" s="45">
        <v>3.96</v>
      </c>
      <c r="F6" s="45">
        <v>23</v>
      </c>
      <c r="G6" s="45" t="str">
        <f t="shared" si="0"/>
        <v>C</v>
      </c>
      <c r="H6" s="45">
        <f t="shared" si="1"/>
        <v>475200</v>
      </c>
      <c r="I6" s="45">
        <f t="shared" si="2"/>
        <v>-20000</v>
      </c>
      <c r="J6" s="45">
        <f t="shared" si="3"/>
        <v>50000</v>
      </c>
      <c r="K6" s="45">
        <f t="shared" si="4"/>
        <v>505200</v>
      </c>
    </row>
    <row r="7" spans="1:11" x14ac:dyDescent="0.35">
      <c r="A7" s="45">
        <f t="shared" si="5"/>
        <v>4</v>
      </c>
      <c r="B7" s="45" t="s">
        <v>169</v>
      </c>
      <c r="C7" s="45">
        <v>1</v>
      </c>
      <c r="D7" s="45">
        <v>0</v>
      </c>
      <c r="E7" s="45">
        <v>3.66</v>
      </c>
      <c r="F7" s="45">
        <v>26</v>
      </c>
      <c r="G7" s="45" t="str">
        <f t="shared" si="0"/>
        <v>A</v>
      </c>
      <c r="H7" s="45">
        <f t="shared" si="1"/>
        <v>439200</v>
      </c>
      <c r="I7" s="45">
        <f t="shared" si="2"/>
        <v>50000</v>
      </c>
      <c r="J7" s="45">
        <f t="shared" si="3"/>
        <v>0</v>
      </c>
      <c r="K7" s="45">
        <f t="shared" si="4"/>
        <v>489200</v>
      </c>
    </row>
    <row r="8" spans="1:11" x14ac:dyDescent="0.35">
      <c r="A8" s="45">
        <f t="shared" si="5"/>
        <v>5</v>
      </c>
      <c r="B8" s="45" t="s">
        <v>241</v>
      </c>
      <c r="C8" s="45">
        <v>1</v>
      </c>
      <c r="D8" s="45">
        <v>2</v>
      </c>
      <c r="E8" s="45">
        <v>3.4</v>
      </c>
      <c r="F8" s="45">
        <v>25</v>
      </c>
      <c r="G8" s="45" t="str">
        <f t="shared" si="0"/>
        <v>B</v>
      </c>
      <c r="H8" s="45">
        <f t="shared" si="1"/>
        <v>408000</v>
      </c>
      <c r="I8" s="45">
        <f t="shared" si="2"/>
        <v>20000</v>
      </c>
      <c r="J8" s="45">
        <f t="shared" si="3"/>
        <v>0</v>
      </c>
      <c r="K8" s="45">
        <f t="shared" si="4"/>
        <v>428000</v>
      </c>
    </row>
    <row r="9" spans="1:11" x14ac:dyDescent="0.35">
      <c r="A9" s="45">
        <f t="shared" si="5"/>
        <v>6</v>
      </c>
      <c r="B9" s="45" t="s">
        <v>171</v>
      </c>
      <c r="C9" s="45">
        <v>0</v>
      </c>
      <c r="D9" s="45">
        <v>3</v>
      </c>
      <c r="E9" s="45">
        <v>3.2</v>
      </c>
      <c r="F9" s="45">
        <v>24</v>
      </c>
      <c r="G9" s="45" t="str">
        <f t="shared" si="0"/>
        <v>B</v>
      </c>
      <c r="H9" s="45">
        <f t="shared" si="1"/>
        <v>384000</v>
      </c>
      <c r="I9" s="45">
        <f t="shared" si="2"/>
        <v>20000</v>
      </c>
      <c r="J9" s="45">
        <f t="shared" si="3"/>
        <v>100000</v>
      </c>
      <c r="K9" s="45">
        <f t="shared" si="4"/>
        <v>504000</v>
      </c>
    </row>
    <row r="10" spans="1:11" x14ac:dyDescent="0.35">
      <c r="A10" s="45">
        <f t="shared" si="5"/>
        <v>7</v>
      </c>
      <c r="B10" s="45" t="s">
        <v>172</v>
      </c>
      <c r="C10" s="45">
        <v>0</v>
      </c>
      <c r="D10" s="45">
        <v>2</v>
      </c>
      <c r="E10" s="45">
        <v>3.4</v>
      </c>
      <c r="F10" s="45">
        <v>22</v>
      </c>
      <c r="G10" s="45" t="str">
        <f t="shared" si="0"/>
        <v>C</v>
      </c>
      <c r="H10" s="45">
        <f t="shared" si="1"/>
        <v>408000</v>
      </c>
      <c r="I10" s="45">
        <f t="shared" si="2"/>
        <v>-20000</v>
      </c>
      <c r="J10" s="45">
        <f t="shared" si="3"/>
        <v>100000</v>
      </c>
      <c r="K10" s="45">
        <f t="shared" si="4"/>
        <v>488000</v>
      </c>
    </row>
    <row r="11" spans="1:11" x14ac:dyDescent="0.35">
      <c r="A11" s="45">
        <f t="shared" si="5"/>
        <v>8</v>
      </c>
      <c r="B11" s="45" t="s">
        <v>242</v>
      </c>
      <c r="C11" s="45">
        <v>0</v>
      </c>
      <c r="D11" s="45">
        <v>0</v>
      </c>
      <c r="E11" s="45">
        <v>3.66</v>
      </c>
      <c r="F11" s="45">
        <v>26</v>
      </c>
      <c r="G11" s="45" t="str">
        <f t="shared" si="0"/>
        <v>A</v>
      </c>
      <c r="H11" s="45">
        <f t="shared" si="1"/>
        <v>439200</v>
      </c>
      <c r="I11" s="45">
        <f t="shared" si="2"/>
        <v>50000</v>
      </c>
      <c r="J11" s="45">
        <f t="shared" si="3"/>
        <v>0</v>
      </c>
      <c r="K11" s="45">
        <f t="shared" si="4"/>
        <v>489200</v>
      </c>
    </row>
    <row r="12" spans="1:11" x14ac:dyDescent="0.35">
      <c r="A12" s="45">
        <f t="shared" si="5"/>
        <v>9</v>
      </c>
      <c r="B12" s="45" t="s">
        <v>174</v>
      </c>
      <c r="C12" s="45">
        <v>0</v>
      </c>
      <c r="D12" s="45">
        <v>1</v>
      </c>
      <c r="E12" s="45">
        <v>3</v>
      </c>
      <c r="F12" s="45">
        <v>23</v>
      </c>
      <c r="G12" s="45" t="str">
        <f t="shared" si="0"/>
        <v>C</v>
      </c>
      <c r="H12" s="45">
        <f t="shared" si="1"/>
        <v>360000</v>
      </c>
      <c r="I12" s="45">
        <f t="shared" si="2"/>
        <v>-20000</v>
      </c>
      <c r="J12" s="45">
        <f t="shared" si="3"/>
        <v>50000</v>
      </c>
      <c r="K12" s="45">
        <f t="shared" si="4"/>
        <v>390000</v>
      </c>
    </row>
    <row r="13" spans="1:11" x14ac:dyDescent="0.35">
      <c r="A13" s="45">
        <f t="shared" si="5"/>
        <v>10</v>
      </c>
      <c r="B13" s="45" t="s">
        <v>243</v>
      </c>
      <c r="C13" s="45">
        <v>1</v>
      </c>
      <c r="D13" s="45">
        <v>1</v>
      </c>
      <c r="E13" s="45">
        <v>2.95</v>
      </c>
      <c r="F13" s="45">
        <v>24</v>
      </c>
      <c r="G13" s="45" t="str">
        <f t="shared" si="0"/>
        <v>B</v>
      </c>
      <c r="H13" s="45">
        <f t="shared" si="1"/>
        <v>354000</v>
      </c>
      <c r="I13" s="45">
        <f t="shared" si="2"/>
        <v>20000</v>
      </c>
      <c r="J13" s="45">
        <f t="shared" si="3"/>
        <v>0</v>
      </c>
      <c r="K13" s="45">
        <f t="shared" si="4"/>
        <v>374000</v>
      </c>
    </row>
    <row r="14" spans="1:11" x14ac:dyDescent="0.35">
      <c r="A14" s="81" t="s">
        <v>21</v>
      </c>
      <c r="B14" s="82"/>
      <c r="C14" s="82"/>
      <c r="D14" s="82"/>
      <c r="E14" s="82"/>
      <c r="F14" s="83"/>
      <c r="G14" s="45"/>
      <c r="H14" s="45"/>
      <c r="I14" s="45"/>
      <c r="J14" s="45"/>
      <c r="K14" s="45"/>
    </row>
    <row r="15" spans="1:11" x14ac:dyDescent="0.35">
      <c r="A15" s="81" t="s">
        <v>90</v>
      </c>
      <c r="B15" s="82"/>
      <c r="C15" s="82"/>
      <c r="D15" s="82"/>
      <c r="E15" s="82"/>
      <c r="F15" s="83"/>
      <c r="G15" s="45"/>
      <c r="H15" s="45"/>
      <c r="I15" s="45"/>
      <c r="J15" s="45"/>
      <c r="K15" s="45"/>
    </row>
    <row r="16" spans="1:11" x14ac:dyDescent="0.35">
      <c r="A16" s="81" t="s">
        <v>126</v>
      </c>
      <c r="B16" s="82"/>
      <c r="C16" s="82"/>
      <c r="D16" s="82"/>
      <c r="E16" s="82"/>
      <c r="F16" s="83"/>
      <c r="G16" s="45"/>
      <c r="H16" s="45"/>
      <c r="I16" s="45"/>
      <c r="J16" s="45"/>
      <c r="K16" s="45"/>
    </row>
    <row r="17" spans="1:11" x14ac:dyDescent="0.35">
      <c r="A17" s="81" t="s">
        <v>91</v>
      </c>
      <c r="B17" s="82"/>
      <c r="C17" s="82"/>
      <c r="D17" s="82"/>
      <c r="E17" s="82"/>
      <c r="F17" s="83"/>
      <c r="G17" s="45"/>
      <c r="H17" s="45"/>
      <c r="I17" s="45"/>
      <c r="J17" s="45"/>
      <c r="K17" s="45"/>
    </row>
    <row r="19" spans="1:11" x14ac:dyDescent="0.35">
      <c r="A19" s="14" t="s">
        <v>498</v>
      </c>
    </row>
    <row r="20" spans="1:11" x14ac:dyDescent="0.35">
      <c r="A20" s="14" t="s">
        <v>499</v>
      </c>
    </row>
    <row r="21" spans="1:11" x14ac:dyDescent="0.35">
      <c r="A21" s="14" t="s">
        <v>500</v>
      </c>
    </row>
    <row r="22" spans="1:11" x14ac:dyDescent="0.35">
      <c r="A22" s="14" t="s">
        <v>501</v>
      </c>
    </row>
    <row r="23" spans="1:11" x14ac:dyDescent="0.35">
      <c r="A23" s="14" t="s">
        <v>502</v>
      </c>
    </row>
    <row r="24" spans="1:11" x14ac:dyDescent="0.35">
      <c r="A24" s="14" t="s">
        <v>503</v>
      </c>
    </row>
    <row r="25" spans="1:11" x14ac:dyDescent="0.35">
      <c r="A25" s="14" t="s">
        <v>504</v>
      </c>
    </row>
    <row r="26" spans="1:11" x14ac:dyDescent="0.35">
      <c r="A26" s="14" t="s">
        <v>505</v>
      </c>
    </row>
    <row r="27" spans="1:11" x14ac:dyDescent="0.35">
      <c r="A27" s="14" t="s">
        <v>506</v>
      </c>
    </row>
    <row r="28" spans="1:11" x14ac:dyDescent="0.35">
      <c r="A28" s="14" t="s">
        <v>507</v>
      </c>
    </row>
    <row r="29" spans="1:11" x14ac:dyDescent="0.35">
      <c r="A29" s="14" t="s">
        <v>508</v>
      </c>
    </row>
    <row r="30" spans="1:11" x14ac:dyDescent="0.35">
      <c r="A30" s="14" t="s">
        <v>509</v>
      </c>
    </row>
    <row r="31" spans="1:11" x14ac:dyDescent="0.35">
      <c r="A31" s="14" t="s">
        <v>510</v>
      </c>
    </row>
    <row r="32" spans="1:11" x14ac:dyDescent="0.35">
      <c r="A32" s="14" t="s">
        <v>511</v>
      </c>
    </row>
    <row r="33" spans="1:1" x14ac:dyDescent="0.35">
      <c r="A33" s="14" t="s">
        <v>512</v>
      </c>
    </row>
  </sheetData>
  <mergeCells count="4">
    <mergeCell ref="A14:F14"/>
    <mergeCell ref="A15:F15"/>
    <mergeCell ref="A16:F16"/>
    <mergeCell ref="A17:F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050D-4B45-4D20-B523-45FD177BF34E}">
  <dimension ref="A1:I30"/>
  <sheetViews>
    <sheetView topLeftCell="A5" zoomScale="70" zoomScaleNormal="70" workbookViewId="0">
      <selection activeCell="H17" sqref="H17"/>
    </sheetView>
  </sheetViews>
  <sheetFormatPr defaultRowHeight="18" x14ac:dyDescent="0.35"/>
  <cols>
    <col min="1" max="1" width="6" style="44" customWidth="1"/>
    <col min="2" max="2" width="23.21875" style="44" customWidth="1"/>
    <col min="3" max="3" width="10.109375" style="44" customWidth="1"/>
    <col min="4" max="4" width="11.109375" style="44" customWidth="1"/>
    <col min="5" max="5" width="8.88671875" style="44"/>
    <col min="6" max="6" width="11.77734375" style="44" customWidth="1"/>
    <col min="7" max="7" width="11.88671875" style="44" customWidth="1"/>
    <col min="8" max="8" width="8.88671875" style="44"/>
    <col min="9" max="9" width="11.77734375" style="44" customWidth="1"/>
    <col min="10" max="16384" width="8.88671875" style="44"/>
  </cols>
  <sheetData>
    <row r="1" spans="1:9" x14ac:dyDescent="0.35">
      <c r="D1" s="44" t="s">
        <v>513</v>
      </c>
    </row>
    <row r="2" spans="1:9" x14ac:dyDescent="0.35">
      <c r="A2" s="58"/>
      <c r="B2" s="58"/>
      <c r="C2" s="58"/>
      <c r="D2" s="58"/>
      <c r="E2" s="59"/>
      <c r="F2" s="47" t="s">
        <v>521</v>
      </c>
      <c r="G2" s="47">
        <v>3.2</v>
      </c>
      <c r="H2" s="47" t="s">
        <v>522</v>
      </c>
      <c r="I2" s="47">
        <v>4.2</v>
      </c>
    </row>
    <row r="3" spans="1:9" ht="36.6" x14ac:dyDescent="0.35">
      <c r="A3" s="55" t="s">
        <v>1</v>
      </c>
      <c r="B3" s="47" t="s">
        <v>454</v>
      </c>
      <c r="C3" s="47" t="s">
        <v>481</v>
      </c>
      <c r="D3" s="48" t="s">
        <v>514</v>
      </c>
      <c r="E3" s="56" t="s">
        <v>515</v>
      </c>
      <c r="F3" s="47" t="s">
        <v>516</v>
      </c>
      <c r="G3" s="47" t="s">
        <v>517</v>
      </c>
      <c r="H3" s="47" t="s">
        <v>518</v>
      </c>
      <c r="I3" s="48" t="s">
        <v>519</v>
      </c>
    </row>
    <row r="4" spans="1:9" x14ac:dyDescent="0.35">
      <c r="A4" s="45">
        <v>1</v>
      </c>
      <c r="B4" s="45" t="s">
        <v>166</v>
      </c>
      <c r="C4" s="45" t="s">
        <v>17</v>
      </c>
      <c r="D4" s="45">
        <v>1500</v>
      </c>
      <c r="E4" s="45">
        <v>25</v>
      </c>
      <c r="F4" s="45">
        <f>D4*E4*$G$2</f>
        <v>120000</v>
      </c>
      <c r="G4" s="45" t="str">
        <f>IF(E4&gt;25,"Loại 1",IF(E4&lt;22,"Loại 3",IF(E4&lt;=25,"Loại 2")))</f>
        <v>Loại 2</v>
      </c>
      <c r="H4" s="45">
        <f>IF(G4="Loại 1",$G$2*50000,IF(G4="Loại 2",$G$2*45000,IF(G4="Loại 3",$G$2*35000)))</f>
        <v>144000</v>
      </c>
      <c r="I4" s="45">
        <f>F4+H4</f>
        <v>264000</v>
      </c>
    </row>
    <row r="5" spans="1:9" x14ac:dyDescent="0.35">
      <c r="A5" s="45">
        <f>A4+1</f>
        <v>2</v>
      </c>
      <c r="B5" s="45" t="s">
        <v>167</v>
      </c>
      <c r="C5" s="45" t="s">
        <v>16</v>
      </c>
      <c r="D5" s="45">
        <v>1800</v>
      </c>
      <c r="E5" s="45">
        <v>24</v>
      </c>
      <c r="F5" s="45">
        <f t="shared" ref="F5:F13" si="0">D5*E5*$G$2</f>
        <v>138240</v>
      </c>
      <c r="G5" s="45" t="str">
        <f t="shared" ref="G5:G13" si="1">IF(E5&gt;25,"Loại 1",IF(E5&lt;22,"Loại 3",IF(E5&lt;=25,"Loại 2")))</f>
        <v>Loại 2</v>
      </c>
      <c r="H5" s="45">
        <f t="shared" ref="H5:H13" si="2">IF(G5="Loại 1",$G$2*50000,IF(G5="Loại 2",$G$2*45000,IF(G5="Loại 3",$G$2*35000)))</f>
        <v>144000</v>
      </c>
      <c r="I5" s="45">
        <f t="shared" ref="I5:I13" si="3">F5+H5</f>
        <v>282240</v>
      </c>
    </row>
    <row r="6" spans="1:9" x14ac:dyDescent="0.35">
      <c r="A6" s="45">
        <f t="shared" ref="A6:A13" si="4">A5+1</f>
        <v>3</v>
      </c>
      <c r="B6" s="45" t="s">
        <v>168</v>
      </c>
      <c r="C6" s="45" t="s">
        <v>44</v>
      </c>
      <c r="D6" s="45">
        <v>1500</v>
      </c>
      <c r="E6" s="45">
        <v>26</v>
      </c>
      <c r="F6" s="45">
        <f t="shared" si="0"/>
        <v>124800</v>
      </c>
      <c r="G6" s="45" t="str">
        <f t="shared" si="1"/>
        <v>Loại 1</v>
      </c>
      <c r="H6" s="45">
        <f t="shared" si="2"/>
        <v>160000</v>
      </c>
      <c r="I6" s="45">
        <f t="shared" si="3"/>
        <v>284800</v>
      </c>
    </row>
    <row r="7" spans="1:9" x14ac:dyDescent="0.35">
      <c r="A7" s="45">
        <f t="shared" si="4"/>
        <v>4</v>
      </c>
      <c r="B7" s="45" t="s">
        <v>169</v>
      </c>
      <c r="C7" s="45" t="s">
        <v>19</v>
      </c>
      <c r="D7" s="45">
        <v>1200</v>
      </c>
      <c r="E7" s="45">
        <v>28</v>
      </c>
      <c r="F7" s="45">
        <f t="shared" si="0"/>
        <v>107520</v>
      </c>
      <c r="G7" s="45" t="str">
        <f t="shared" si="1"/>
        <v>Loại 1</v>
      </c>
      <c r="H7" s="45">
        <f t="shared" si="2"/>
        <v>160000</v>
      </c>
      <c r="I7" s="45">
        <f t="shared" si="3"/>
        <v>267520</v>
      </c>
    </row>
    <row r="8" spans="1:9" x14ac:dyDescent="0.35">
      <c r="A8" s="45">
        <f t="shared" si="4"/>
        <v>5</v>
      </c>
      <c r="B8" s="45" t="s">
        <v>241</v>
      </c>
      <c r="C8" s="45" t="s">
        <v>17</v>
      </c>
      <c r="D8" s="45">
        <v>1400</v>
      </c>
      <c r="E8" s="45">
        <v>20</v>
      </c>
      <c r="F8" s="45">
        <f t="shared" si="0"/>
        <v>89600</v>
      </c>
      <c r="G8" s="45" t="str">
        <f t="shared" si="1"/>
        <v>Loại 3</v>
      </c>
      <c r="H8" s="45">
        <f t="shared" si="2"/>
        <v>112000</v>
      </c>
      <c r="I8" s="45">
        <f t="shared" si="3"/>
        <v>201600</v>
      </c>
    </row>
    <row r="9" spans="1:9" x14ac:dyDescent="0.35">
      <c r="A9" s="45">
        <f t="shared" si="4"/>
        <v>6</v>
      </c>
      <c r="B9" s="45" t="s">
        <v>171</v>
      </c>
      <c r="C9" s="45" t="s">
        <v>520</v>
      </c>
      <c r="D9" s="45">
        <v>1800</v>
      </c>
      <c r="E9" s="45">
        <v>24</v>
      </c>
      <c r="F9" s="45">
        <f t="shared" si="0"/>
        <v>138240</v>
      </c>
      <c r="G9" s="45" t="str">
        <f t="shared" si="1"/>
        <v>Loại 2</v>
      </c>
      <c r="H9" s="45">
        <f t="shared" si="2"/>
        <v>144000</v>
      </c>
      <c r="I9" s="45">
        <f t="shared" si="3"/>
        <v>282240</v>
      </c>
    </row>
    <row r="10" spans="1:9" x14ac:dyDescent="0.35">
      <c r="A10" s="45">
        <f t="shared" si="4"/>
        <v>7</v>
      </c>
      <c r="B10" s="45" t="s">
        <v>172</v>
      </c>
      <c r="C10" s="45" t="s">
        <v>18</v>
      </c>
      <c r="D10" s="45">
        <v>1200</v>
      </c>
      <c r="E10" s="45">
        <v>22</v>
      </c>
      <c r="F10" s="45">
        <f t="shared" si="0"/>
        <v>84480</v>
      </c>
      <c r="G10" s="45" t="str">
        <f t="shared" si="1"/>
        <v>Loại 2</v>
      </c>
      <c r="H10" s="45">
        <f t="shared" si="2"/>
        <v>144000</v>
      </c>
      <c r="I10" s="45">
        <f t="shared" si="3"/>
        <v>228480</v>
      </c>
    </row>
    <row r="11" spans="1:9" x14ac:dyDescent="0.35">
      <c r="A11" s="45">
        <f t="shared" si="4"/>
        <v>8</v>
      </c>
      <c r="B11" s="45" t="s">
        <v>242</v>
      </c>
      <c r="C11" s="45" t="s">
        <v>17</v>
      </c>
      <c r="D11" s="45">
        <v>1300</v>
      </c>
      <c r="E11" s="45">
        <v>25</v>
      </c>
      <c r="F11" s="45">
        <f t="shared" si="0"/>
        <v>104000</v>
      </c>
      <c r="G11" s="45" t="str">
        <f t="shared" si="1"/>
        <v>Loại 2</v>
      </c>
      <c r="H11" s="45">
        <f t="shared" si="2"/>
        <v>144000</v>
      </c>
      <c r="I11" s="45">
        <f t="shared" si="3"/>
        <v>248000</v>
      </c>
    </row>
    <row r="12" spans="1:9" x14ac:dyDescent="0.35">
      <c r="A12" s="45">
        <f t="shared" si="4"/>
        <v>9</v>
      </c>
      <c r="B12" s="45" t="s">
        <v>174</v>
      </c>
      <c r="C12" s="45" t="s">
        <v>20</v>
      </c>
      <c r="D12" s="45">
        <v>1500</v>
      </c>
      <c r="E12" s="45">
        <v>24</v>
      </c>
      <c r="F12" s="45">
        <f t="shared" si="0"/>
        <v>115200</v>
      </c>
      <c r="G12" s="45" t="str">
        <f t="shared" si="1"/>
        <v>Loại 2</v>
      </c>
      <c r="H12" s="45">
        <f t="shared" si="2"/>
        <v>144000</v>
      </c>
      <c r="I12" s="45">
        <f t="shared" si="3"/>
        <v>259200</v>
      </c>
    </row>
    <row r="13" spans="1:9" x14ac:dyDescent="0.35">
      <c r="A13" s="45">
        <f t="shared" si="4"/>
        <v>10</v>
      </c>
      <c r="B13" s="45" t="s">
        <v>243</v>
      </c>
      <c r="C13" s="45" t="s">
        <v>17</v>
      </c>
      <c r="D13" s="45">
        <v>1800</v>
      </c>
      <c r="E13" s="45">
        <v>26</v>
      </c>
      <c r="F13" s="45">
        <f t="shared" si="0"/>
        <v>149760</v>
      </c>
      <c r="G13" s="45" t="str">
        <f t="shared" si="1"/>
        <v>Loại 1</v>
      </c>
      <c r="H13" s="45">
        <f t="shared" si="2"/>
        <v>160000</v>
      </c>
      <c r="I13" s="45">
        <f t="shared" si="3"/>
        <v>309760</v>
      </c>
    </row>
    <row r="14" spans="1:9" x14ac:dyDescent="0.35">
      <c r="A14" s="81" t="s">
        <v>21</v>
      </c>
      <c r="B14" s="82"/>
      <c r="C14" s="82"/>
      <c r="D14" s="82"/>
      <c r="E14" s="83"/>
      <c r="F14" s="45"/>
      <c r="G14" s="45"/>
      <c r="H14" s="45"/>
      <c r="I14" s="45"/>
    </row>
    <row r="15" spans="1:9" x14ac:dyDescent="0.35">
      <c r="A15" s="81" t="s">
        <v>126</v>
      </c>
      <c r="B15" s="82"/>
      <c r="C15" s="82"/>
      <c r="D15" s="82"/>
      <c r="E15" s="83"/>
      <c r="F15" s="45"/>
      <c r="G15" s="45"/>
      <c r="H15" s="45"/>
      <c r="I15" s="45"/>
    </row>
    <row r="16" spans="1:9" x14ac:dyDescent="0.35">
      <c r="A16" s="81" t="s">
        <v>90</v>
      </c>
      <c r="B16" s="82"/>
      <c r="C16" s="82"/>
      <c r="D16" s="82"/>
      <c r="E16" s="83"/>
      <c r="F16" s="45"/>
      <c r="G16" s="45"/>
      <c r="H16" s="45"/>
      <c r="I16" s="45"/>
    </row>
    <row r="17" spans="1:9" x14ac:dyDescent="0.35">
      <c r="A17" s="81" t="s">
        <v>91</v>
      </c>
      <c r="B17" s="82"/>
      <c r="C17" s="82"/>
      <c r="D17" s="82"/>
      <c r="E17" s="83"/>
      <c r="F17" s="45"/>
      <c r="G17" s="45"/>
      <c r="H17" s="45"/>
      <c r="I17" s="45"/>
    </row>
    <row r="19" spans="1:9" ht="24.6" customHeight="1" x14ac:dyDescent="0.35">
      <c r="A19" s="38" t="s">
        <v>46</v>
      </c>
    </row>
    <row r="20" spans="1:9" x14ac:dyDescent="0.35">
      <c r="A20" s="14" t="s">
        <v>523</v>
      </c>
    </row>
    <row r="21" spans="1:9" x14ac:dyDescent="0.35">
      <c r="A21" s="14" t="s">
        <v>524</v>
      </c>
    </row>
    <row r="22" spans="1:9" x14ac:dyDescent="0.35">
      <c r="A22" s="14" t="s">
        <v>525</v>
      </c>
    </row>
    <row r="23" spans="1:9" x14ac:dyDescent="0.35">
      <c r="A23" s="14" t="s">
        <v>526</v>
      </c>
    </row>
    <row r="24" spans="1:9" x14ac:dyDescent="0.35">
      <c r="A24" s="14" t="s">
        <v>527</v>
      </c>
    </row>
    <row r="25" spans="1:9" x14ac:dyDescent="0.35">
      <c r="A25" s="14" t="s">
        <v>528</v>
      </c>
    </row>
    <row r="26" spans="1:9" x14ac:dyDescent="0.35">
      <c r="A26" s="14" t="s">
        <v>529</v>
      </c>
    </row>
    <row r="27" spans="1:9" x14ac:dyDescent="0.35">
      <c r="A27" s="14" t="s">
        <v>530</v>
      </c>
    </row>
    <row r="28" spans="1:9" x14ac:dyDescent="0.35">
      <c r="A28" s="14" t="s">
        <v>531</v>
      </c>
    </row>
    <row r="29" spans="1:9" x14ac:dyDescent="0.35">
      <c r="A29" s="29" t="s">
        <v>532</v>
      </c>
    </row>
    <row r="30" spans="1:9" x14ac:dyDescent="0.35">
      <c r="A30" s="44" t="s">
        <v>533</v>
      </c>
    </row>
  </sheetData>
  <mergeCells count="4">
    <mergeCell ref="A14:E14"/>
    <mergeCell ref="A15:E15"/>
    <mergeCell ref="A16:E16"/>
    <mergeCell ref="A17:E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C569-0E54-4149-BA2E-41918534F42F}">
  <dimension ref="A1:G23"/>
  <sheetViews>
    <sheetView zoomScale="70" zoomScaleNormal="70" workbookViewId="0">
      <selection activeCell="E4" sqref="E4"/>
    </sheetView>
  </sheetViews>
  <sheetFormatPr defaultRowHeight="18" x14ac:dyDescent="0.35"/>
  <cols>
    <col min="1" max="1" width="13.44140625" style="44" customWidth="1"/>
    <col min="2" max="2" width="15" style="44" customWidth="1"/>
    <col min="3" max="3" width="17.6640625" style="44" customWidth="1"/>
    <col min="4" max="4" width="11.5546875" style="44" customWidth="1"/>
    <col min="5" max="5" width="14.88671875" style="44" customWidth="1"/>
    <col min="6" max="6" width="15.88671875" style="44" customWidth="1"/>
    <col min="7" max="7" width="19" style="44" customWidth="1"/>
    <col min="8" max="16384" width="8.88671875" style="44"/>
  </cols>
  <sheetData>
    <row r="1" spans="1:7" x14ac:dyDescent="0.35">
      <c r="D1" s="44" t="s">
        <v>534</v>
      </c>
    </row>
    <row r="3" spans="1:7" x14ac:dyDescent="0.35">
      <c r="A3" s="47" t="s">
        <v>535</v>
      </c>
      <c r="B3" s="47" t="s">
        <v>536</v>
      </c>
      <c r="C3" s="47" t="s">
        <v>537</v>
      </c>
      <c r="D3" s="47" t="s">
        <v>538</v>
      </c>
      <c r="E3" s="47" t="s">
        <v>539</v>
      </c>
      <c r="F3" s="47" t="s">
        <v>540</v>
      </c>
      <c r="G3" s="47" t="s">
        <v>541</v>
      </c>
    </row>
    <row r="4" spans="1:7" x14ac:dyDescent="0.35">
      <c r="A4" s="45" t="s">
        <v>545</v>
      </c>
      <c r="B4" s="87">
        <v>38354</v>
      </c>
      <c r="C4" s="87">
        <v>38356</v>
      </c>
      <c r="D4" s="45">
        <f>C4-B4</f>
        <v>2</v>
      </c>
      <c r="E4" s="45"/>
      <c r="F4" s="45"/>
      <c r="G4" s="45"/>
    </row>
    <row r="5" spans="1:7" x14ac:dyDescent="0.35">
      <c r="A5" s="45" t="s">
        <v>542</v>
      </c>
      <c r="B5" s="87">
        <v>38356</v>
      </c>
      <c r="C5" s="87">
        <v>38358</v>
      </c>
      <c r="D5" s="45">
        <f t="shared" ref="D5:D11" si="0">C5-B5</f>
        <v>2</v>
      </c>
      <c r="E5" s="45"/>
      <c r="F5" s="45"/>
      <c r="G5" s="45"/>
    </row>
    <row r="6" spans="1:7" x14ac:dyDescent="0.35">
      <c r="A6" s="45" t="s">
        <v>545</v>
      </c>
      <c r="B6" s="87">
        <v>38356</v>
      </c>
      <c r="C6" s="87">
        <v>38357</v>
      </c>
      <c r="D6" s="45">
        <f t="shared" si="0"/>
        <v>1</v>
      </c>
      <c r="E6" s="45"/>
      <c r="F6" s="45"/>
      <c r="G6" s="45"/>
    </row>
    <row r="7" spans="1:7" x14ac:dyDescent="0.35">
      <c r="A7" s="45" t="s">
        <v>543</v>
      </c>
      <c r="B7" s="87">
        <v>38360</v>
      </c>
      <c r="C7" s="87">
        <v>38372</v>
      </c>
      <c r="D7" s="45">
        <f t="shared" si="0"/>
        <v>12</v>
      </c>
      <c r="E7" s="45"/>
      <c r="F7" s="45"/>
      <c r="G7" s="45"/>
    </row>
    <row r="8" spans="1:7" x14ac:dyDescent="0.35">
      <c r="A8" s="45" t="s">
        <v>545</v>
      </c>
      <c r="B8" s="87">
        <v>38361</v>
      </c>
      <c r="C8" s="87">
        <v>38487</v>
      </c>
      <c r="D8" s="45">
        <f t="shared" si="0"/>
        <v>126</v>
      </c>
      <c r="E8" s="45"/>
      <c r="F8" s="45"/>
      <c r="G8" s="45"/>
    </row>
    <row r="9" spans="1:7" x14ac:dyDescent="0.35">
      <c r="A9" s="45" t="s">
        <v>543</v>
      </c>
      <c r="B9" s="87">
        <v>38364</v>
      </c>
      <c r="C9" s="87">
        <v>38378</v>
      </c>
      <c r="D9" s="45">
        <f t="shared" si="0"/>
        <v>14</v>
      </c>
      <c r="E9" s="45"/>
      <c r="F9" s="45"/>
      <c r="G9" s="45"/>
    </row>
    <row r="10" spans="1:7" x14ac:dyDescent="0.35">
      <c r="A10" s="45" t="s">
        <v>542</v>
      </c>
      <c r="B10" s="87">
        <v>38359</v>
      </c>
      <c r="C10" s="87">
        <v>38364</v>
      </c>
      <c r="D10" s="45">
        <f t="shared" si="0"/>
        <v>5</v>
      </c>
      <c r="E10" s="45"/>
      <c r="F10" s="45"/>
      <c r="G10" s="45"/>
    </row>
    <row r="11" spans="1:7" x14ac:dyDescent="0.35">
      <c r="A11" s="45" t="s">
        <v>543</v>
      </c>
      <c r="B11" s="87">
        <v>38370</v>
      </c>
      <c r="C11" s="87">
        <v>38376</v>
      </c>
      <c r="D11" s="45">
        <f t="shared" si="0"/>
        <v>6</v>
      </c>
      <c r="E11" s="45"/>
      <c r="F11" s="45"/>
      <c r="G11" s="45"/>
    </row>
    <row r="12" spans="1:7" x14ac:dyDescent="0.35">
      <c r="A12" s="94" t="s">
        <v>544</v>
      </c>
      <c r="B12" s="95"/>
      <c r="C12" s="96"/>
      <c r="D12" s="45"/>
      <c r="E12" s="45"/>
      <c r="F12" s="45"/>
      <c r="G12" s="45"/>
    </row>
    <row r="13" spans="1:7" x14ac:dyDescent="0.35">
      <c r="A13" s="88" t="s">
        <v>546</v>
      </c>
      <c r="B13" s="89"/>
      <c r="C13" s="97" t="s">
        <v>542</v>
      </c>
      <c r="D13" s="45"/>
      <c r="E13" s="45"/>
      <c r="F13" s="45"/>
      <c r="G13" s="45"/>
    </row>
    <row r="14" spans="1:7" x14ac:dyDescent="0.35">
      <c r="A14" s="90"/>
      <c r="B14" s="91"/>
      <c r="C14" s="97" t="s">
        <v>545</v>
      </c>
      <c r="D14" s="45"/>
      <c r="E14" s="45"/>
      <c r="F14" s="45"/>
      <c r="G14" s="45"/>
    </row>
    <row r="15" spans="1:7" x14ac:dyDescent="0.35">
      <c r="A15" s="92"/>
      <c r="B15" s="93"/>
      <c r="C15" s="97" t="s">
        <v>543</v>
      </c>
      <c r="D15" s="45"/>
      <c r="E15" s="45"/>
      <c r="F15" s="45"/>
      <c r="G15" s="45"/>
    </row>
    <row r="17" spans="1:5" x14ac:dyDescent="0.35">
      <c r="A17" s="81" t="s">
        <v>547</v>
      </c>
      <c r="B17" s="82"/>
      <c r="C17" s="83"/>
      <c r="E17" s="44" t="s">
        <v>555</v>
      </c>
    </row>
    <row r="18" spans="1:5" x14ac:dyDescent="0.35">
      <c r="A18" s="52" t="s">
        <v>535</v>
      </c>
      <c r="B18" s="52" t="s">
        <v>548</v>
      </c>
      <c r="C18" s="52" t="s">
        <v>549</v>
      </c>
      <c r="E18" s="44" t="s">
        <v>556</v>
      </c>
    </row>
    <row r="19" spans="1:5" x14ac:dyDescent="0.35">
      <c r="A19" s="45" t="s">
        <v>542</v>
      </c>
      <c r="B19" s="45" t="s">
        <v>550</v>
      </c>
      <c r="C19" s="45" t="s">
        <v>553</v>
      </c>
      <c r="E19" s="44" t="s">
        <v>557</v>
      </c>
    </row>
    <row r="20" spans="1:5" x14ac:dyDescent="0.35">
      <c r="A20" s="45" t="s">
        <v>545</v>
      </c>
      <c r="B20" s="45" t="s">
        <v>551</v>
      </c>
      <c r="C20" s="45" t="s">
        <v>552</v>
      </c>
      <c r="E20" s="44" t="s">
        <v>558</v>
      </c>
    </row>
    <row r="21" spans="1:5" x14ac:dyDescent="0.35">
      <c r="A21" s="45" t="s">
        <v>543</v>
      </c>
      <c r="B21" s="45" t="s">
        <v>552</v>
      </c>
      <c r="C21" s="45" t="s">
        <v>554</v>
      </c>
      <c r="E21" s="44" t="s">
        <v>559</v>
      </c>
    </row>
    <row r="22" spans="1:5" x14ac:dyDescent="0.35">
      <c r="E22" s="44" t="s">
        <v>560</v>
      </c>
    </row>
    <row r="23" spans="1:5" x14ac:dyDescent="0.35">
      <c r="E23" s="44" t="s">
        <v>561</v>
      </c>
    </row>
  </sheetData>
  <mergeCells count="3">
    <mergeCell ref="A12:C12"/>
    <mergeCell ref="A13:B15"/>
    <mergeCell ref="A17:C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4292-006E-479B-A93A-002175510C64}">
  <dimension ref="A1:D3"/>
  <sheetViews>
    <sheetView workbookViewId="0">
      <selection activeCell="D3" sqref="D3"/>
    </sheetView>
  </sheetViews>
  <sheetFormatPr defaultRowHeight="18" x14ac:dyDescent="0.35"/>
  <cols>
    <col min="1" max="16384" width="8.88671875" style="44"/>
  </cols>
  <sheetData>
    <row r="1" spans="1:4" x14ac:dyDescent="0.35">
      <c r="D1" s="44" t="s">
        <v>562</v>
      </c>
    </row>
    <row r="3" spans="1:4" ht="36" x14ac:dyDescent="0.35">
      <c r="A3" s="44" t="s">
        <v>1</v>
      </c>
      <c r="B3" s="44" t="s">
        <v>454</v>
      </c>
      <c r="C3" s="98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83B0-1481-4CA0-8307-6E5B439503BB}">
  <dimension ref="A1:L25"/>
  <sheetViews>
    <sheetView topLeftCell="B1" zoomScale="90" zoomScaleNormal="90" workbookViewId="0">
      <selection activeCell="L10" sqref="L10"/>
    </sheetView>
  </sheetViews>
  <sheetFormatPr defaultRowHeight="15.6" x14ac:dyDescent="0.3"/>
  <cols>
    <col min="1" max="1" width="5.88671875" style="1" customWidth="1"/>
    <col min="2" max="2" width="20.44140625" style="1" customWidth="1"/>
    <col min="3" max="3" width="8.88671875" style="1"/>
    <col min="4" max="4" width="9.44140625" style="1" customWidth="1"/>
    <col min="5" max="7" width="8.88671875" style="1"/>
    <col min="8" max="8" width="10.21875" style="1" bestFit="1" customWidth="1"/>
    <col min="9" max="9" width="9.6640625" style="1" bestFit="1" customWidth="1"/>
    <col min="10" max="16384" width="8.88671875" style="1"/>
  </cols>
  <sheetData>
    <row r="1" spans="1:12" x14ac:dyDescent="0.3">
      <c r="C1" s="1" t="s">
        <v>28</v>
      </c>
    </row>
    <row r="2" spans="1:12" ht="68.400000000000006" customHeight="1" x14ac:dyDescent="0.3">
      <c r="A2" s="6" t="s">
        <v>1</v>
      </c>
      <c r="B2" s="6" t="s">
        <v>2</v>
      </c>
      <c r="C2" s="6" t="s">
        <v>29</v>
      </c>
      <c r="D2" s="7" t="s">
        <v>30</v>
      </c>
      <c r="E2" s="6" t="s">
        <v>31</v>
      </c>
      <c r="F2" s="11" t="s">
        <v>5</v>
      </c>
      <c r="G2" s="6" t="s">
        <v>6</v>
      </c>
      <c r="H2" s="8" t="s">
        <v>45</v>
      </c>
      <c r="I2" s="6" t="s">
        <v>32</v>
      </c>
      <c r="J2" s="6" t="s">
        <v>33</v>
      </c>
      <c r="K2" s="8" t="s">
        <v>34</v>
      </c>
      <c r="L2" s="8" t="s">
        <v>8</v>
      </c>
    </row>
    <row r="3" spans="1:12" x14ac:dyDescent="0.3">
      <c r="A3" s="2">
        <v>1</v>
      </c>
      <c r="B3" s="2" t="s">
        <v>9</v>
      </c>
      <c r="C3" s="2" t="s">
        <v>41</v>
      </c>
      <c r="D3" s="2" t="s">
        <v>16</v>
      </c>
      <c r="E3" s="2">
        <v>1200</v>
      </c>
      <c r="F3" s="2">
        <v>25</v>
      </c>
      <c r="G3" s="2">
        <f>E3*F3</f>
        <v>30000</v>
      </c>
      <c r="H3" s="2">
        <f>IF(C3 = "Nam",2000,2500)</f>
        <v>2000</v>
      </c>
      <c r="I3" s="2">
        <f>IF(OR(D3="GĐ",D3="PGĐ"),50000,0)</f>
        <v>0</v>
      </c>
      <c r="J3" s="2">
        <f>MIN(ROUND(2/3*G3,-3),25000)</f>
        <v>20000</v>
      </c>
      <c r="K3" s="2">
        <f>IF(AND(C3="Nam",G3&gt;30000),5000,0)</f>
        <v>0</v>
      </c>
      <c r="L3" s="2">
        <f>G3+H3+I3-J3-K3</f>
        <v>12000</v>
      </c>
    </row>
    <row r="4" spans="1:12" x14ac:dyDescent="0.3">
      <c r="A4" s="2">
        <f>A3+1</f>
        <v>2</v>
      </c>
      <c r="B4" s="2" t="s">
        <v>35</v>
      </c>
      <c r="C4" s="2" t="s">
        <v>42</v>
      </c>
      <c r="D4" s="2" t="s">
        <v>17</v>
      </c>
      <c r="E4" s="2">
        <v>1600</v>
      </c>
      <c r="F4" s="2">
        <v>24</v>
      </c>
      <c r="G4" s="2">
        <f t="shared" ref="G4:G12" si="0">E4*F4</f>
        <v>38400</v>
      </c>
      <c r="H4" s="2">
        <f t="shared" ref="H4:H12" si="1">IF(C4 = "Nam",2000,2500)</f>
        <v>2500</v>
      </c>
      <c r="I4" s="2">
        <f t="shared" ref="I4:I12" si="2">IF(OR(D4="GĐ",D4="PGĐ"),50000,0)</f>
        <v>0</v>
      </c>
      <c r="J4" s="2">
        <f t="shared" ref="J4:J12" si="3">MIN(ROUND(2/3*G4,-3),25000)</f>
        <v>25000</v>
      </c>
      <c r="K4" s="2">
        <f t="shared" ref="K4:K12" si="4">IF(AND(C4="Nam",G4&gt;30000),5000,0)</f>
        <v>0</v>
      </c>
      <c r="L4" s="2">
        <f t="shared" ref="L4:L11" si="5">G4+H4+I4-J4-K4</f>
        <v>15900</v>
      </c>
    </row>
    <row r="5" spans="1:12" x14ac:dyDescent="0.3">
      <c r="A5" s="2">
        <f t="shared" ref="A5:A12" si="6">A4+1</f>
        <v>3</v>
      </c>
      <c r="B5" s="2" t="s">
        <v>11</v>
      </c>
      <c r="C5" s="2" t="s">
        <v>43</v>
      </c>
      <c r="D5" s="2" t="s">
        <v>20</v>
      </c>
      <c r="E5" s="2">
        <v>1500</v>
      </c>
      <c r="F5" s="2">
        <v>26</v>
      </c>
      <c r="G5" s="2">
        <f t="shared" si="0"/>
        <v>39000</v>
      </c>
      <c r="H5" s="2">
        <f t="shared" si="1"/>
        <v>2500</v>
      </c>
      <c r="I5" s="2">
        <f t="shared" si="2"/>
        <v>0</v>
      </c>
      <c r="J5" s="2">
        <f t="shared" si="3"/>
        <v>25000</v>
      </c>
      <c r="K5" s="2">
        <f t="shared" si="4"/>
        <v>0</v>
      </c>
      <c r="L5" s="2">
        <f t="shared" si="5"/>
        <v>16500</v>
      </c>
    </row>
    <row r="6" spans="1:12" x14ac:dyDescent="0.3">
      <c r="A6" s="2">
        <f t="shared" si="6"/>
        <v>4</v>
      </c>
      <c r="B6" s="2" t="s">
        <v>36</v>
      </c>
      <c r="C6" s="2" t="s">
        <v>42</v>
      </c>
      <c r="D6" s="2" t="s">
        <v>17</v>
      </c>
      <c r="E6" s="2">
        <v>1300</v>
      </c>
      <c r="F6" s="2">
        <v>20</v>
      </c>
      <c r="G6" s="2">
        <f t="shared" si="0"/>
        <v>26000</v>
      </c>
      <c r="H6" s="2">
        <f t="shared" si="1"/>
        <v>2500</v>
      </c>
      <c r="I6" s="2">
        <f t="shared" si="2"/>
        <v>0</v>
      </c>
      <c r="J6" s="2">
        <f t="shared" si="3"/>
        <v>17000</v>
      </c>
      <c r="K6" s="2">
        <f t="shared" si="4"/>
        <v>0</v>
      </c>
      <c r="L6" s="2">
        <f t="shared" si="5"/>
        <v>11500</v>
      </c>
    </row>
    <row r="7" spans="1:12" x14ac:dyDescent="0.3">
      <c r="A7" s="2">
        <f t="shared" si="6"/>
        <v>5</v>
      </c>
      <c r="B7" s="2" t="s">
        <v>13</v>
      </c>
      <c r="C7" s="2" t="s">
        <v>41</v>
      </c>
      <c r="D7" s="2" t="s">
        <v>19</v>
      </c>
      <c r="E7" s="2">
        <v>1800</v>
      </c>
      <c r="F7" s="2">
        <v>23</v>
      </c>
      <c r="G7" s="2">
        <f t="shared" si="0"/>
        <v>41400</v>
      </c>
      <c r="H7" s="2">
        <f t="shared" si="1"/>
        <v>2000</v>
      </c>
      <c r="I7" s="2">
        <f t="shared" si="2"/>
        <v>0</v>
      </c>
      <c r="J7" s="2">
        <f t="shared" si="3"/>
        <v>25000</v>
      </c>
      <c r="K7" s="2">
        <f t="shared" si="4"/>
        <v>5000</v>
      </c>
      <c r="L7" s="2">
        <f t="shared" si="5"/>
        <v>13400</v>
      </c>
    </row>
    <row r="8" spans="1:12" x14ac:dyDescent="0.3">
      <c r="A8" s="2">
        <f t="shared" si="6"/>
        <v>6</v>
      </c>
      <c r="B8" s="2" t="s">
        <v>14</v>
      </c>
      <c r="C8" s="2" t="s">
        <v>41</v>
      </c>
      <c r="D8" s="2" t="s">
        <v>16</v>
      </c>
      <c r="E8" s="2">
        <v>1500</v>
      </c>
      <c r="F8" s="2">
        <v>22</v>
      </c>
      <c r="G8" s="2">
        <f t="shared" si="0"/>
        <v>33000</v>
      </c>
      <c r="H8" s="2">
        <f t="shared" si="1"/>
        <v>2000</v>
      </c>
      <c r="I8" s="2">
        <f t="shared" si="2"/>
        <v>0</v>
      </c>
      <c r="J8" s="2">
        <f t="shared" si="3"/>
        <v>22000</v>
      </c>
      <c r="K8" s="2">
        <f t="shared" si="4"/>
        <v>5000</v>
      </c>
      <c r="L8" s="2">
        <f t="shared" si="5"/>
        <v>8000</v>
      </c>
    </row>
    <row r="9" spans="1:12" x14ac:dyDescent="0.3">
      <c r="A9" s="2">
        <f t="shared" si="6"/>
        <v>7</v>
      </c>
      <c r="B9" s="2" t="s">
        <v>37</v>
      </c>
      <c r="C9" s="2" t="s">
        <v>42</v>
      </c>
      <c r="D9" s="2" t="s">
        <v>20</v>
      </c>
      <c r="E9" s="2">
        <v>1400</v>
      </c>
      <c r="F9" s="2">
        <v>27</v>
      </c>
      <c r="G9" s="2">
        <f t="shared" si="0"/>
        <v>37800</v>
      </c>
      <c r="H9" s="2">
        <f t="shared" si="1"/>
        <v>2500</v>
      </c>
      <c r="I9" s="2">
        <f t="shared" si="2"/>
        <v>0</v>
      </c>
      <c r="J9" s="2">
        <f t="shared" si="3"/>
        <v>25000</v>
      </c>
      <c r="K9" s="2">
        <f t="shared" si="4"/>
        <v>0</v>
      </c>
      <c r="L9" s="2">
        <f t="shared" si="5"/>
        <v>15300</v>
      </c>
    </row>
    <row r="10" spans="1:12" x14ac:dyDescent="0.3">
      <c r="A10" s="2">
        <f t="shared" si="6"/>
        <v>8</v>
      </c>
      <c r="B10" s="2" t="s">
        <v>38</v>
      </c>
      <c r="C10" s="2" t="s">
        <v>42</v>
      </c>
      <c r="D10" s="2" t="s">
        <v>44</v>
      </c>
      <c r="E10" s="2">
        <v>1600</v>
      </c>
      <c r="F10" s="2">
        <v>14</v>
      </c>
      <c r="G10" s="2">
        <f t="shared" si="0"/>
        <v>22400</v>
      </c>
      <c r="H10" s="2">
        <f t="shared" si="1"/>
        <v>2500</v>
      </c>
      <c r="I10" s="2">
        <f t="shared" si="2"/>
        <v>50000</v>
      </c>
      <c r="J10" s="2">
        <f t="shared" si="3"/>
        <v>15000</v>
      </c>
      <c r="K10" s="2">
        <f t="shared" si="4"/>
        <v>0</v>
      </c>
      <c r="L10" s="2">
        <f t="shared" si="5"/>
        <v>59900</v>
      </c>
    </row>
    <row r="11" spans="1:12" x14ac:dyDescent="0.3">
      <c r="A11" s="2">
        <f t="shared" si="6"/>
        <v>9</v>
      </c>
      <c r="B11" s="2" t="s">
        <v>39</v>
      </c>
      <c r="C11" s="2" t="s">
        <v>41</v>
      </c>
      <c r="D11" s="2" t="s">
        <v>76</v>
      </c>
      <c r="E11" s="2">
        <v>1500</v>
      </c>
      <c r="F11" s="2">
        <v>17</v>
      </c>
      <c r="G11" s="2">
        <f t="shared" si="0"/>
        <v>25500</v>
      </c>
      <c r="H11" s="2">
        <f t="shared" si="1"/>
        <v>2000</v>
      </c>
      <c r="I11" s="2">
        <f t="shared" si="2"/>
        <v>50000</v>
      </c>
      <c r="J11" s="2">
        <f t="shared" si="3"/>
        <v>17000</v>
      </c>
      <c r="K11" s="2">
        <f t="shared" si="4"/>
        <v>0</v>
      </c>
      <c r="L11" s="2">
        <f t="shared" si="5"/>
        <v>60500</v>
      </c>
    </row>
    <row r="12" spans="1:12" x14ac:dyDescent="0.3">
      <c r="A12" s="2">
        <f t="shared" si="6"/>
        <v>10</v>
      </c>
      <c r="B12" s="2" t="s">
        <v>40</v>
      </c>
      <c r="C12" s="2" t="s">
        <v>42</v>
      </c>
      <c r="D12" s="2" t="s">
        <v>17</v>
      </c>
      <c r="E12" s="2">
        <v>1300</v>
      </c>
      <c r="F12" s="2">
        <v>23</v>
      </c>
      <c r="G12" s="2">
        <f t="shared" si="0"/>
        <v>29900</v>
      </c>
      <c r="H12" s="2">
        <f t="shared" si="1"/>
        <v>2500</v>
      </c>
      <c r="I12" s="2">
        <f t="shared" si="2"/>
        <v>0</v>
      </c>
      <c r="J12" s="2">
        <f t="shared" si="3"/>
        <v>20000</v>
      </c>
      <c r="K12" s="2">
        <f t="shared" si="4"/>
        <v>0</v>
      </c>
      <c r="L12" s="2">
        <f>G12+H12+I12-J12-K12</f>
        <v>12400</v>
      </c>
    </row>
    <row r="13" spans="1:12" x14ac:dyDescent="0.3">
      <c r="A13" s="60" t="s">
        <v>21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/>
    </row>
    <row r="17" spans="1:1" x14ac:dyDescent="0.3">
      <c r="A17" s="9" t="s">
        <v>46</v>
      </c>
    </row>
    <row r="18" spans="1:1" x14ac:dyDescent="0.3">
      <c r="A18" s="5" t="s">
        <v>47</v>
      </c>
    </row>
    <row r="19" spans="1:1" x14ac:dyDescent="0.3">
      <c r="A19" s="5" t="s">
        <v>48</v>
      </c>
    </row>
    <row r="20" spans="1:1" x14ac:dyDescent="0.3">
      <c r="A20" s="5" t="s">
        <v>49</v>
      </c>
    </row>
    <row r="21" spans="1:1" x14ac:dyDescent="0.3">
      <c r="A21" s="5" t="s">
        <v>50</v>
      </c>
    </row>
    <row r="22" spans="1:1" x14ac:dyDescent="0.3">
      <c r="A22" s="5" t="s">
        <v>51</v>
      </c>
    </row>
    <row r="23" spans="1:1" x14ac:dyDescent="0.3">
      <c r="A23" s="5" t="s">
        <v>52</v>
      </c>
    </row>
    <row r="24" spans="1:1" x14ac:dyDescent="0.3">
      <c r="A24" s="5" t="s">
        <v>53</v>
      </c>
    </row>
    <row r="25" spans="1:1" x14ac:dyDescent="0.3">
      <c r="A25" s="10" t="s">
        <v>54</v>
      </c>
    </row>
  </sheetData>
  <mergeCells count="1">
    <mergeCell ref="A13:L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472F-9EE5-466F-989A-9D36ABBD89D0}">
  <dimension ref="A1:I30"/>
  <sheetViews>
    <sheetView tabSelected="1" zoomScale="60" zoomScaleNormal="60" workbookViewId="0">
      <selection activeCell="H4" sqref="H4"/>
    </sheetView>
  </sheetViews>
  <sheetFormatPr defaultRowHeight="18" x14ac:dyDescent="0.35"/>
  <cols>
    <col min="1" max="1" width="8.88671875" style="44"/>
    <col min="2" max="3" width="14.77734375" style="44" customWidth="1"/>
    <col min="4" max="4" width="12.21875" style="44" customWidth="1"/>
    <col min="5" max="5" width="11.44140625" style="44" customWidth="1"/>
    <col min="6" max="6" width="12.33203125" style="44" customWidth="1"/>
    <col min="7" max="7" width="12.21875" style="44" customWidth="1"/>
    <col min="8" max="8" width="19.6640625" style="44" customWidth="1"/>
    <col min="9" max="9" width="16.6640625" style="44" customWidth="1"/>
    <col min="10" max="16384" width="8.88671875" style="44"/>
  </cols>
  <sheetData>
    <row r="1" spans="1:9" x14ac:dyDescent="0.35">
      <c r="C1" s="44" t="s">
        <v>564</v>
      </c>
    </row>
    <row r="3" spans="1:9" ht="52.2" x14ac:dyDescent="0.35">
      <c r="A3" s="47" t="s">
        <v>1</v>
      </c>
      <c r="B3" s="48" t="s">
        <v>565</v>
      </c>
      <c r="C3" s="48" t="s">
        <v>566</v>
      </c>
      <c r="D3" s="48" t="s">
        <v>567</v>
      </c>
      <c r="E3" s="48" t="s">
        <v>568</v>
      </c>
      <c r="F3" s="48" t="s">
        <v>569</v>
      </c>
      <c r="G3" s="48" t="s">
        <v>570</v>
      </c>
      <c r="H3" s="48" t="s">
        <v>571</v>
      </c>
      <c r="I3" s="47" t="s">
        <v>572</v>
      </c>
    </row>
    <row r="4" spans="1:9" x14ac:dyDescent="0.35">
      <c r="A4" s="45">
        <v>1</v>
      </c>
      <c r="B4" s="45" t="s">
        <v>573</v>
      </c>
      <c r="C4" s="45" t="str">
        <f>VLOOKUP(RIGHT(B4,1),$A$18:$B$22,2,0)</f>
        <v>Xi măng</v>
      </c>
      <c r="D4" s="45">
        <v>30</v>
      </c>
      <c r="E4" s="45">
        <v>50</v>
      </c>
      <c r="F4" s="45" t="str">
        <f>VLOOKUP(RIGHT(B4,1),$A$16:$E$21,5,0)</f>
        <v>Bao</v>
      </c>
      <c r="G4" s="45">
        <f>SUM(D4*$C$18,E4*$D$18)</f>
        <v>4080000</v>
      </c>
      <c r="H4" s="45"/>
      <c r="I4" s="45"/>
    </row>
    <row r="5" spans="1:9" x14ac:dyDescent="0.35">
      <c r="A5" s="45">
        <f>A4+1</f>
        <v>2</v>
      </c>
      <c r="B5" s="45" t="s">
        <v>574</v>
      </c>
      <c r="C5" s="45" t="str">
        <f t="shared" ref="C5:C13" si="0">VLOOKUP(RIGHT(B5,1),$A$18:$B$22,2,0)</f>
        <v>Cát</v>
      </c>
      <c r="D5" s="45">
        <v>5</v>
      </c>
      <c r="E5" s="45">
        <v>6</v>
      </c>
      <c r="F5" s="45" t="str">
        <f t="shared" ref="F5:F13" si="1">VLOOKUP(RIGHT(B5,1),$A$16:$E$21,5,0)</f>
        <v>Khối</v>
      </c>
      <c r="G5" s="45">
        <f t="shared" ref="G5:G13" si="2">SUM(D5*$C$18,E5*$D$18)</f>
        <v>568000</v>
      </c>
      <c r="H5" s="45"/>
      <c r="I5" s="45"/>
    </row>
    <row r="6" spans="1:9" x14ac:dyDescent="0.35">
      <c r="A6" s="45">
        <f t="shared" ref="A6:A13" si="3">A5+1</f>
        <v>3</v>
      </c>
      <c r="B6" s="45" t="s">
        <v>574</v>
      </c>
      <c r="C6" s="45" t="str">
        <f t="shared" si="0"/>
        <v>Cát</v>
      </c>
      <c r="D6" s="45">
        <v>1</v>
      </c>
      <c r="E6" s="45">
        <v>4</v>
      </c>
      <c r="F6" s="45" t="str">
        <f t="shared" si="1"/>
        <v>Khối</v>
      </c>
      <c r="G6" s="45">
        <f t="shared" si="2"/>
        <v>248000</v>
      </c>
      <c r="H6" s="45"/>
      <c r="I6" s="45"/>
    </row>
    <row r="7" spans="1:9" x14ac:dyDescent="0.35">
      <c r="A7" s="45">
        <f t="shared" si="3"/>
        <v>4</v>
      </c>
      <c r="B7" s="45" t="s">
        <v>575</v>
      </c>
      <c r="C7" s="45" t="str">
        <f t="shared" si="0"/>
        <v>Gạch</v>
      </c>
      <c r="D7" s="45">
        <v>900</v>
      </c>
      <c r="E7" s="45">
        <v>500</v>
      </c>
      <c r="F7" s="45" t="str">
        <f t="shared" si="1"/>
        <v>Viên</v>
      </c>
      <c r="G7" s="45">
        <f t="shared" si="2"/>
        <v>74400000</v>
      </c>
      <c r="H7" s="45"/>
      <c r="I7" s="45"/>
    </row>
    <row r="8" spans="1:9" x14ac:dyDescent="0.35">
      <c r="A8" s="45">
        <f t="shared" si="3"/>
        <v>5</v>
      </c>
      <c r="B8" s="45" t="s">
        <v>573</v>
      </c>
      <c r="C8" s="45" t="str">
        <f t="shared" si="0"/>
        <v>Xi măng</v>
      </c>
      <c r="D8" s="45">
        <v>15</v>
      </c>
      <c r="E8" s="45">
        <v>30</v>
      </c>
      <c r="F8" s="45" t="str">
        <f t="shared" si="1"/>
        <v>Bao</v>
      </c>
      <c r="G8" s="45">
        <f t="shared" si="2"/>
        <v>2280000</v>
      </c>
      <c r="H8" s="45"/>
      <c r="I8" s="45"/>
    </row>
    <row r="9" spans="1:9" x14ac:dyDescent="0.35">
      <c r="A9" s="45">
        <f t="shared" si="3"/>
        <v>6</v>
      </c>
      <c r="B9" s="45" t="s">
        <v>576</v>
      </c>
      <c r="C9" s="45" t="str">
        <f t="shared" si="0"/>
        <v>Đá</v>
      </c>
      <c r="D9" s="45">
        <v>3</v>
      </c>
      <c r="E9" s="45">
        <v>0</v>
      </c>
      <c r="F9" s="45" t="str">
        <f t="shared" si="1"/>
        <v>Khối</v>
      </c>
      <c r="G9" s="45">
        <f t="shared" si="2"/>
        <v>168000</v>
      </c>
      <c r="H9" s="45"/>
      <c r="I9" s="45"/>
    </row>
    <row r="10" spans="1:9" x14ac:dyDescent="0.35">
      <c r="A10" s="45">
        <f t="shared" si="3"/>
        <v>7</v>
      </c>
      <c r="B10" s="45" t="s">
        <v>574</v>
      </c>
      <c r="C10" s="45" t="str">
        <f t="shared" si="0"/>
        <v>Cát</v>
      </c>
      <c r="D10" s="45">
        <v>4</v>
      </c>
      <c r="E10" s="45">
        <v>0</v>
      </c>
      <c r="F10" s="45" t="str">
        <f t="shared" si="1"/>
        <v>Khối</v>
      </c>
      <c r="G10" s="45">
        <f t="shared" si="2"/>
        <v>224000</v>
      </c>
      <c r="H10" s="45"/>
      <c r="I10" s="45"/>
    </row>
    <row r="11" spans="1:9" x14ac:dyDescent="0.35">
      <c r="A11" s="45">
        <f t="shared" si="3"/>
        <v>8</v>
      </c>
      <c r="B11" s="45" t="s">
        <v>576</v>
      </c>
      <c r="C11" s="45" t="str">
        <f t="shared" si="0"/>
        <v>Đá</v>
      </c>
      <c r="D11" s="45">
        <v>0</v>
      </c>
      <c r="E11" s="45">
        <v>5</v>
      </c>
      <c r="F11" s="45" t="str">
        <f t="shared" si="1"/>
        <v>Khối</v>
      </c>
      <c r="G11" s="45">
        <f t="shared" si="2"/>
        <v>240000</v>
      </c>
      <c r="H11" s="45"/>
      <c r="I11" s="45"/>
    </row>
    <row r="12" spans="1:9" x14ac:dyDescent="0.35">
      <c r="A12" s="45">
        <f t="shared" si="3"/>
        <v>9</v>
      </c>
      <c r="B12" s="45" t="s">
        <v>576</v>
      </c>
      <c r="C12" s="45" t="str">
        <f t="shared" si="0"/>
        <v>Đá</v>
      </c>
      <c r="D12" s="45">
        <v>8</v>
      </c>
      <c r="E12" s="45">
        <v>0</v>
      </c>
      <c r="F12" s="45" t="str">
        <f t="shared" si="1"/>
        <v>Khối</v>
      </c>
      <c r="G12" s="45">
        <f t="shared" si="2"/>
        <v>448000</v>
      </c>
      <c r="H12" s="45"/>
      <c r="I12" s="45"/>
    </row>
    <row r="13" spans="1:9" x14ac:dyDescent="0.35">
      <c r="A13" s="45">
        <f t="shared" si="3"/>
        <v>10</v>
      </c>
      <c r="B13" s="45" t="s">
        <v>575</v>
      </c>
      <c r="C13" s="45" t="str">
        <f t="shared" si="0"/>
        <v>Gạch</v>
      </c>
      <c r="D13" s="45">
        <v>1500</v>
      </c>
      <c r="E13" s="45">
        <v>0</v>
      </c>
      <c r="F13" s="45" t="str">
        <f t="shared" si="1"/>
        <v>Viên</v>
      </c>
      <c r="G13" s="45">
        <f t="shared" si="2"/>
        <v>84000000</v>
      </c>
      <c r="H13" s="45"/>
      <c r="I13" s="45"/>
    </row>
    <row r="14" spans="1:9" x14ac:dyDescent="0.35">
      <c r="G14" s="81" t="s">
        <v>544</v>
      </c>
      <c r="H14" s="83"/>
      <c r="I14" s="45"/>
    </row>
    <row r="15" spans="1:9" x14ac:dyDescent="0.35">
      <c r="A15" s="94" t="s">
        <v>577</v>
      </c>
      <c r="B15" s="95"/>
      <c r="C15" s="95"/>
      <c r="D15" s="95"/>
      <c r="E15" s="96"/>
      <c r="G15" s="44" t="s">
        <v>587</v>
      </c>
    </row>
    <row r="16" spans="1:9" ht="34.799999999999997" x14ac:dyDescent="0.35">
      <c r="A16" s="99" t="s">
        <v>565</v>
      </c>
      <c r="B16" s="99" t="s">
        <v>566</v>
      </c>
      <c r="C16" s="94" t="s">
        <v>578</v>
      </c>
      <c r="D16" s="96"/>
      <c r="E16" s="99" t="s">
        <v>581</v>
      </c>
      <c r="G16" s="48" t="s">
        <v>566</v>
      </c>
      <c r="H16" s="47" t="s">
        <v>588</v>
      </c>
    </row>
    <row r="17" spans="1:8" x14ac:dyDescent="0.35">
      <c r="A17" s="100"/>
      <c r="B17" s="100"/>
      <c r="C17" s="47" t="s">
        <v>579</v>
      </c>
      <c r="D17" s="47" t="s">
        <v>580</v>
      </c>
      <c r="E17" s="100"/>
      <c r="G17" s="45" t="s">
        <v>394</v>
      </c>
      <c r="H17" s="45"/>
    </row>
    <row r="18" spans="1:8" x14ac:dyDescent="0.35">
      <c r="A18" s="45" t="s">
        <v>382</v>
      </c>
      <c r="B18" s="45" t="s">
        <v>394</v>
      </c>
      <c r="C18" s="45">
        <v>56000</v>
      </c>
      <c r="D18" s="45">
        <v>48000</v>
      </c>
      <c r="E18" s="45" t="s">
        <v>584</v>
      </c>
      <c r="G18" s="45" t="s">
        <v>392</v>
      </c>
      <c r="H18" s="45"/>
    </row>
    <row r="19" spans="1:8" x14ac:dyDescent="0.35">
      <c r="A19" s="45" t="s">
        <v>176</v>
      </c>
      <c r="B19" s="45" t="s">
        <v>392</v>
      </c>
      <c r="C19" s="45">
        <v>30000</v>
      </c>
      <c r="D19" s="45">
        <v>12000</v>
      </c>
      <c r="E19" s="45" t="s">
        <v>585</v>
      </c>
      <c r="G19" s="45" t="s">
        <v>391</v>
      </c>
      <c r="H19" s="45"/>
    </row>
    <row r="20" spans="1:8" x14ac:dyDescent="0.35">
      <c r="A20" s="45" t="s">
        <v>383</v>
      </c>
      <c r="B20" s="45" t="s">
        <v>391</v>
      </c>
      <c r="C20" s="45">
        <v>500</v>
      </c>
      <c r="D20" s="45">
        <v>250</v>
      </c>
      <c r="E20" s="45" t="s">
        <v>586</v>
      </c>
      <c r="G20" s="45" t="s">
        <v>583</v>
      </c>
      <c r="H20" s="45"/>
    </row>
    <row r="21" spans="1:8" x14ac:dyDescent="0.35">
      <c r="A21" s="45" t="s">
        <v>582</v>
      </c>
      <c r="B21" s="45" t="s">
        <v>583</v>
      </c>
      <c r="C21" s="45">
        <v>12000</v>
      </c>
      <c r="D21" s="45">
        <v>9000</v>
      </c>
      <c r="E21" s="45" t="s">
        <v>585</v>
      </c>
    </row>
    <row r="22" spans="1:8" ht="19.2" customHeight="1" x14ac:dyDescent="0.35">
      <c r="A22" s="38" t="s">
        <v>46</v>
      </c>
    </row>
    <row r="23" spans="1:8" x14ac:dyDescent="0.35">
      <c r="A23" s="14" t="s">
        <v>589</v>
      </c>
    </row>
    <row r="24" spans="1:8" x14ac:dyDescent="0.35">
      <c r="A24" s="14" t="s">
        <v>590</v>
      </c>
    </row>
    <row r="25" spans="1:8" x14ac:dyDescent="0.35">
      <c r="A25" s="14" t="s">
        <v>591</v>
      </c>
    </row>
    <row r="26" spans="1:8" x14ac:dyDescent="0.35">
      <c r="A26" s="14" t="s">
        <v>592</v>
      </c>
    </row>
    <row r="27" spans="1:8" x14ac:dyDescent="0.35">
      <c r="A27" s="14" t="s">
        <v>593</v>
      </c>
    </row>
    <row r="28" spans="1:8" x14ac:dyDescent="0.35">
      <c r="A28" s="14" t="s">
        <v>594</v>
      </c>
    </row>
    <row r="29" spans="1:8" x14ac:dyDescent="0.35">
      <c r="A29" s="14" t="s">
        <v>595</v>
      </c>
    </row>
    <row r="30" spans="1:8" x14ac:dyDescent="0.35">
      <c r="A30" s="14" t="s">
        <v>596</v>
      </c>
    </row>
  </sheetData>
  <mergeCells count="6">
    <mergeCell ref="A16:A17"/>
    <mergeCell ref="B16:B17"/>
    <mergeCell ref="E16:E17"/>
    <mergeCell ref="A15:E15"/>
    <mergeCell ref="C16:D16"/>
    <mergeCell ref="G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E6EA-0282-4CFB-AE5B-56CFD6F33AB0}">
  <dimension ref="A1:F19"/>
  <sheetViews>
    <sheetView workbookViewId="0">
      <selection activeCell="D3" sqref="D3"/>
    </sheetView>
  </sheetViews>
  <sheetFormatPr defaultRowHeight="14.4" x14ac:dyDescent="0.3"/>
  <cols>
    <col min="1" max="1" width="18.77734375" customWidth="1"/>
    <col min="2" max="2" width="17.88671875" customWidth="1"/>
    <col min="3" max="3" width="12.44140625" customWidth="1"/>
    <col min="4" max="4" width="16.88671875" customWidth="1"/>
    <col min="5" max="5" width="16.33203125" customWidth="1"/>
    <col min="6" max="6" width="17" customWidth="1"/>
  </cols>
  <sheetData>
    <row r="1" spans="1:6" ht="15.6" x14ac:dyDescent="0.3">
      <c r="A1" s="1"/>
      <c r="B1" s="1"/>
      <c r="C1" s="1" t="s">
        <v>55</v>
      </c>
      <c r="D1" s="1"/>
      <c r="E1" s="1"/>
      <c r="F1" s="1"/>
    </row>
    <row r="2" spans="1:6" ht="29.4" customHeight="1" x14ac:dyDescent="0.3">
      <c r="A2" s="12" t="s">
        <v>56</v>
      </c>
      <c r="B2" s="13" t="s">
        <v>57</v>
      </c>
      <c r="C2" s="12" t="s">
        <v>58</v>
      </c>
      <c r="D2" s="13" t="s">
        <v>59</v>
      </c>
      <c r="E2" s="12" t="s">
        <v>60</v>
      </c>
      <c r="F2" s="13" t="s">
        <v>61</v>
      </c>
    </row>
    <row r="3" spans="1:6" ht="15.6" x14ac:dyDescent="0.3">
      <c r="A3" s="2" t="s">
        <v>62</v>
      </c>
      <c r="B3" s="2">
        <v>14</v>
      </c>
      <c r="C3" s="2">
        <v>13</v>
      </c>
      <c r="D3" s="2">
        <f>B3+(2*C3)</f>
        <v>40</v>
      </c>
      <c r="E3" s="2"/>
      <c r="F3" s="2"/>
    </row>
    <row r="4" spans="1:6" ht="15.6" x14ac:dyDescent="0.3">
      <c r="A4" s="2" t="s">
        <v>63</v>
      </c>
      <c r="B4" s="2">
        <v>20</v>
      </c>
      <c r="C4" s="2">
        <v>14</v>
      </c>
      <c r="D4" s="2">
        <f t="shared" ref="D4:D8" si="0">B4+(2*C4)</f>
        <v>48</v>
      </c>
      <c r="E4" s="2"/>
      <c r="F4" s="2"/>
    </row>
    <row r="5" spans="1:6" ht="15.6" x14ac:dyDescent="0.3">
      <c r="A5" s="2" t="s">
        <v>64</v>
      </c>
      <c r="B5" s="2">
        <v>21</v>
      </c>
      <c r="C5" s="2">
        <v>11</v>
      </c>
      <c r="D5" s="2">
        <f t="shared" si="0"/>
        <v>43</v>
      </c>
      <c r="E5" s="2"/>
      <c r="F5" s="2"/>
    </row>
    <row r="6" spans="1:6" ht="15.6" x14ac:dyDescent="0.3">
      <c r="A6" s="2" t="s">
        <v>65</v>
      </c>
      <c r="B6" s="2">
        <v>23</v>
      </c>
      <c r="C6" s="2">
        <v>8</v>
      </c>
      <c r="D6" s="2">
        <f t="shared" si="0"/>
        <v>39</v>
      </c>
      <c r="E6" s="2"/>
      <c r="F6" s="2"/>
    </row>
    <row r="7" spans="1:6" ht="15.6" x14ac:dyDescent="0.3">
      <c r="A7" s="2" t="s">
        <v>66</v>
      </c>
      <c r="B7" s="2">
        <v>22</v>
      </c>
      <c r="C7" s="2">
        <v>10</v>
      </c>
      <c r="D7" s="2">
        <f t="shared" si="0"/>
        <v>42</v>
      </c>
      <c r="E7" s="2"/>
      <c r="F7" s="2"/>
    </row>
    <row r="8" spans="1:6" ht="15.6" x14ac:dyDescent="0.3">
      <c r="A8" s="2" t="s">
        <v>67</v>
      </c>
      <c r="B8" s="2">
        <v>20</v>
      </c>
      <c r="C8" s="2">
        <v>7</v>
      </c>
      <c r="D8" s="2">
        <f t="shared" si="0"/>
        <v>34</v>
      </c>
      <c r="E8" s="2"/>
      <c r="F8" s="2"/>
    </row>
    <row r="11" spans="1:6" ht="15.6" x14ac:dyDescent="0.3">
      <c r="A11" s="1" t="s">
        <v>26</v>
      </c>
    </row>
    <row r="12" spans="1:6" ht="15.6" x14ac:dyDescent="0.3">
      <c r="A12" s="14" t="s">
        <v>68</v>
      </c>
    </row>
    <row r="13" spans="1:6" ht="15.6" x14ac:dyDescent="0.3">
      <c r="A13" s="15" t="s">
        <v>69</v>
      </c>
    </row>
    <row r="14" spans="1:6" ht="15.6" x14ac:dyDescent="0.3">
      <c r="A14" s="14" t="s">
        <v>70</v>
      </c>
    </row>
    <row r="15" spans="1:6" ht="15.6" x14ac:dyDescent="0.3">
      <c r="A15" s="14" t="s">
        <v>71</v>
      </c>
    </row>
    <row r="16" spans="1:6" ht="15.6" x14ac:dyDescent="0.3">
      <c r="A16" s="14" t="s">
        <v>72</v>
      </c>
    </row>
    <row r="17" spans="1:1" ht="15.6" x14ac:dyDescent="0.3">
      <c r="A17" s="14" t="s">
        <v>73</v>
      </c>
    </row>
    <row r="18" spans="1:1" ht="15.6" x14ac:dyDescent="0.3">
      <c r="A18" s="14" t="s">
        <v>74</v>
      </c>
    </row>
    <row r="19" spans="1:1" ht="15.6" x14ac:dyDescent="0.3">
      <c r="A19" s="14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16BF-BFC3-4A16-BC26-6BA066BC7964}">
  <dimension ref="A1:I26"/>
  <sheetViews>
    <sheetView zoomScale="80" zoomScaleNormal="80" workbookViewId="0">
      <selection activeCell="B5" sqref="B5:B13"/>
    </sheetView>
  </sheetViews>
  <sheetFormatPr defaultRowHeight="15.6" x14ac:dyDescent="0.3"/>
  <cols>
    <col min="1" max="1" width="4.88671875" style="1" customWidth="1"/>
    <col min="2" max="2" width="17.44140625" style="1" customWidth="1"/>
    <col min="3" max="5" width="8.88671875" style="1"/>
    <col min="6" max="6" width="9.88671875" style="1" bestFit="1" customWidth="1"/>
    <col min="7" max="7" width="9.44140625" style="1" bestFit="1" customWidth="1"/>
    <col min="8" max="8" width="16.88671875" style="1" customWidth="1"/>
    <col min="9" max="9" width="13.88671875" style="1" customWidth="1"/>
    <col min="10" max="16384" width="8.88671875" style="1"/>
  </cols>
  <sheetData>
    <row r="1" spans="1:9" x14ac:dyDescent="0.3">
      <c r="D1" s="1" t="s">
        <v>77</v>
      </c>
    </row>
    <row r="2" spans="1:9" ht="9.6" customHeight="1" x14ac:dyDescent="0.3"/>
    <row r="3" spans="1:9" ht="60" x14ac:dyDescent="0.3">
      <c r="A3" s="18" t="s">
        <v>1</v>
      </c>
      <c r="B3" s="19" t="s">
        <v>2</v>
      </c>
      <c r="C3" s="18" t="s">
        <v>30</v>
      </c>
      <c r="D3" s="19" t="s">
        <v>78</v>
      </c>
      <c r="E3" s="20" t="s">
        <v>5</v>
      </c>
      <c r="F3" s="19" t="s">
        <v>32</v>
      </c>
      <c r="G3" s="19" t="s">
        <v>6</v>
      </c>
      <c r="H3" s="19" t="s">
        <v>79</v>
      </c>
      <c r="I3" s="19" t="s">
        <v>80</v>
      </c>
    </row>
    <row r="4" spans="1:9" x14ac:dyDescent="0.3">
      <c r="A4" s="2">
        <v>1</v>
      </c>
      <c r="B4" s="2" t="s">
        <v>9</v>
      </c>
      <c r="C4" s="2" t="s">
        <v>16</v>
      </c>
      <c r="D4" s="2">
        <v>18000</v>
      </c>
      <c r="E4" s="2">
        <v>25</v>
      </c>
      <c r="F4" s="2">
        <f>IF(C4="GĐ",50000,IF(OR(C4="PGĐ",C4="TP"),40000,0))</f>
        <v>40000</v>
      </c>
      <c r="G4" s="2">
        <f>IF(E4&lt;=25,D4*E4,(D4*E4)+100000)</f>
        <v>450000</v>
      </c>
      <c r="H4" s="2">
        <f>MIN(ROUND(2/3*G4,-3),300000)</f>
        <v>300000</v>
      </c>
      <c r="I4" s="2">
        <f>G4+F4-H4</f>
        <v>190000</v>
      </c>
    </row>
    <row r="5" spans="1:9" x14ac:dyDescent="0.3">
      <c r="A5" s="2">
        <f>A4+1</f>
        <v>2</v>
      </c>
      <c r="B5" s="2" t="s">
        <v>10</v>
      </c>
      <c r="C5" s="2" t="s">
        <v>76</v>
      </c>
      <c r="D5" s="2">
        <v>21000</v>
      </c>
      <c r="E5" s="2">
        <v>24</v>
      </c>
      <c r="F5" s="2">
        <f t="shared" ref="F5:F13" si="0">IF(C5="GĐ",50000,IF(OR(C5="PGĐ",C5="TP"),40000,0))</f>
        <v>40000</v>
      </c>
      <c r="G5" s="2">
        <f t="shared" ref="G5:G13" si="1">IF(E5&lt;=25,D5*E5,(D5*E5)+100000)</f>
        <v>504000</v>
      </c>
      <c r="H5" s="2">
        <f t="shared" ref="H5:H13" si="2">MIN(ROUND(2/3*G5,-3),300000)</f>
        <v>300000</v>
      </c>
      <c r="I5" s="2">
        <f t="shared" ref="I5:I13" si="3">G5+F5-H5</f>
        <v>244000</v>
      </c>
    </row>
    <row r="6" spans="1:9" x14ac:dyDescent="0.3">
      <c r="A6" s="2">
        <f t="shared" ref="A6:A12" si="4">A5+1</f>
        <v>3</v>
      </c>
      <c r="B6" s="2" t="s">
        <v>11</v>
      </c>
      <c r="C6" s="2" t="s">
        <v>20</v>
      </c>
      <c r="D6" s="2">
        <v>15000</v>
      </c>
      <c r="E6" s="2">
        <v>26</v>
      </c>
      <c r="F6" s="2">
        <f t="shared" si="0"/>
        <v>0</v>
      </c>
      <c r="G6" s="2">
        <f t="shared" si="1"/>
        <v>490000</v>
      </c>
      <c r="H6" s="2">
        <f t="shared" si="2"/>
        <v>300000</v>
      </c>
      <c r="I6" s="2">
        <f t="shared" si="3"/>
        <v>190000</v>
      </c>
    </row>
    <row r="7" spans="1:9" x14ac:dyDescent="0.3">
      <c r="A7" s="2">
        <f t="shared" si="4"/>
        <v>4</v>
      </c>
      <c r="B7" s="2" t="s">
        <v>36</v>
      </c>
      <c r="C7" s="2" t="s">
        <v>17</v>
      </c>
      <c r="D7" s="2">
        <v>17000</v>
      </c>
      <c r="E7" s="2">
        <v>20</v>
      </c>
      <c r="F7" s="2">
        <f t="shared" si="0"/>
        <v>0</v>
      </c>
      <c r="G7" s="2">
        <f t="shared" si="1"/>
        <v>340000</v>
      </c>
      <c r="H7" s="2">
        <f t="shared" si="2"/>
        <v>227000</v>
      </c>
      <c r="I7" s="2">
        <f t="shared" si="3"/>
        <v>113000</v>
      </c>
    </row>
    <row r="8" spans="1:9" x14ac:dyDescent="0.3">
      <c r="A8" s="2">
        <f t="shared" si="4"/>
        <v>5</v>
      </c>
      <c r="B8" s="2" t="s">
        <v>13</v>
      </c>
      <c r="C8" s="2" t="s">
        <v>18</v>
      </c>
      <c r="D8" s="2">
        <v>19000</v>
      </c>
      <c r="E8" s="2">
        <v>23</v>
      </c>
      <c r="F8" s="2">
        <f t="shared" si="0"/>
        <v>0</v>
      </c>
      <c r="G8" s="2">
        <f t="shared" si="1"/>
        <v>437000</v>
      </c>
      <c r="H8" s="2">
        <f t="shared" si="2"/>
        <v>291000</v>
      </c>
      <c r="I8" s="2">
        <f t="shared" si="3"/>
        <v>146000</v>
      </c>
    </row>
    <row r="9" spans="1:9" x14ac:dyDescent="0.3">
      <c r="A9" s="2">
        <f t="shared" si="4"/>
        <v>6</v>
      </c>
      <c r="B9" s="2" t="s">
        <v>14</v>
      </c>
      <c r="C9" s="2" t="s">
        <v>19</v>
      </c>
      <c r="D9" s="2">
        <v>12000</v>
      </c>
      <c r="E9" s="2">
        <v>22</v>
      </c>
      <c r="F9" s="2">
        <f t="shared" si="0"/>
        <v>0</v>
      </c>
      <c r="G9" s="2">
        <f t="shared" si="1"/>
        <v>264000</v>
      </c>
      <c r="H9" s="2">
        <f t="shared" si="2"/>
        <v>176000</v>
      </c>
      <c r="I9" s="2">
        <f t="shared" si="3"/>
        <v>88000</v>
      </c>
    </row>
    <row r="10" spans="1:9" x14ac:dyDescent="0.3">
      <c r="A10" s="2">
        <f t="shared" si="4"/>
        <v>7</v>
      </c>
      <c r="B10" s="2" t="s">
        <v>37</v>
      </c>
      <c r="C10" s="2" t="s">
        <v>20</v>
      </c>
      <c r="D10" s="2">
        <v>18000</v>
      </c>
      <c r="E10" s="2">
        <v>27</v>
      </c>
      <c r="F10" s="2">
        <f t="shared" si="0"/>
        <v>0</v>
      </c>
      <c r="G10" s="2">
        <f t="shared" si="1"/>
        <v>586000</v>
      </c>
      <c r="H10" s="2">
        <f t="shared" si="2"/>
        <v>300000</v>
      </c>
      <c r="I10" s="2">
        <f t="shared" si="3"/>
        <v>286000</v>
      </c>
    </row>
    <row r="11" spans="1:9" x14ac:dyDescent="0.3">
      <c r="A11" s="2">
        <f t="shared" si="4"/>
        <v>8</v>
      </c>
      <c r="B11" s="2" t="s">
        <v>38</v>
      </c>
      <c r="C11" s="2" t="s">
        <v>44</v>
      </c>
      <c r="D11" s="2">
        <v>29000</v>
      </c>
      <c r="E11" s="2">
        <v>14</v>
      </c>
      <c r="F11" s="2">
        <f t="shared" si="0"/>
        <v>50000</v>
      </c>
      <c r="G11" s="2">
        <f t="shared" si="1"/>
        <v>406000</v>
      </c>
      <c r="H11" s="2">
        <f t="shared" si="2"/>
        <v>271000</v>
      </c>
      <c r="I11" s="2">
        <f t="shared" si="3"/>
        <v>185000</v>
      </c>
    </row>
    <row r="12" spans="1:9" x14ac:dyDescent="0.3">
      <c r="A12" s="2">
        <f t="shared" si="4"/>
        <v>9</v>
      </c>
      <c r="B12" s="2" t="s">
        <v>81</v>
      </c>
      <c r="C12" s="2" t="s">
        <v>19</v>
      </c>
      <c r="D12" s="2">
        <v>12000</v>
      </c>
      <c r="E12" s="2">
        <v>17</v>
      </c>
      <c r="F12" s="2">
        <f t="shared" si="0"/>
        <v>0</v>
      </c>
      <c r="G12" s="2">
        <f t="shared" si="1"/>
        <v>204000</v>
      </c>
      <c r="H12" s="2">
        <f t="shared" si="2"/>
        <v>136000</v>
      </c>
      <c r="I12" s="2">
        <f t="shared" si="3"/>
        <v>68000</v>
      </c>
    </row>
    <row r="13" spans="1:9" x14ac:dyDescent="0.3">
      <c r="A13" s="2">
        <f>A12+1</f>
        <v>10</v>
      </c>
      <c r="B13" s="2" t="s">
        <v>82</v>
      </c>
      <c r="C13" s="2" t="s">
        <v>17</v>
      </c>
      <c r="D13" s="2">
        <v>17000</v>
      </c>
      <c r="E13" s="2">
        <v>23</v>
      </c>
      <c r="F13" s="2">
        <f t="shared" si="0"/>
        <v>0</v>
      </c>
      <c r="G13" s="2">
        <f t="shared" si="1"/>
        <v>391000</v>
      </c>
      <c r="H13" s="2">
        <f t="shared" si="2"/>
        <v>261000</v>
      </c>
      <c r="I13" s="2">
        <f t="shared" si="3"/>
        <v>130000</v>
      </c>
    </row>
    <row r="14" spans="1:9" x14ac:dyDescent="0.3">
      <c r="A14" s="63" t="s">
        <v>21</v>
      </c>
      <c r="B14" s="64"/>
      <c r="C14" s="64"/>
      <c r="D14" s="64"/>
      <c r="E14" s="65"/>
      <c r="F14" s="2">
        <f>SUM(F4:F13)</f>
        <v>130000</v>
      </c>
      <c r="G14" s="2">
        <f>SUM(G4:G13)</f>
        <v>4072000</v>
      </c>
      <c r="H14" s="2">
        <f>SUM(H4:H13)</f>
        <v>2562000</v>
      </c>
      <c r="I14" s="2">
        <f>SUM(I4:I13)</f>
        <v>1640000</v>
      </c>
    </row>
    <row r="15" spans="1:9" x14ac:dyDescent="0.3">
      <c r="A15" s="63" t="s">
        <v>89</v>
      </c>
      <c r="B15" s="64"/>
      <c r="C15" s="64"/>
      <c r="D15" s="64"/>
      <c r="E15" s="65"/>
      <c r="F15" s="2">
        <f>AVERAGE(F4:F13)</f>
        <v>13000</v>
      </c>
      <c r="G15" s="2">
        <f>AVERAGE(G4:G13)</f>
        <v>407200</v>
      </c>
      <c r="H15" s="2">
        <f>AVERAGE(H4:H13)</f>
        <v>256200</v>
      </c>
      <c r="I15" s="2">
        <f>AVERAGE(I4:I13)</f>
        <v>164000</v>
      </c>
    </row>
    <row r="16" spans="1:9" x14ac:dyDescent="0.3">
      <c r="A16" s="63" t="s">
        <v>90</v>
      </c>
      <c r="B16" s="64"/>
      <c r="C16" s="64"/>
      <c r="D16" s="64"/>
      <c r="E16" s="65"/>
      <c r="F16" s="2">
        <f>MAX(F4:F13)</f>
        <v>50000</v>
      </c>
      <c r="G16" s="2">
        <f>MAX(G4:G13)</f>
        <v>586000</v>
      </c>
      <c r="H16" s="2">
        <f>MAX(H4:H13)</f>
        <v>300000</v>
      </c>
      <c r="I16" s="2">
        <f>MAX(I4:I13)</f>
        <v>286000</v>
      </c>
    </row>
    <row r="17" spans="1:9" x14ac:dyDescent="0.3">
      <c r="A17" s="63" t="s">
        <v>91</v>
      </c>
      <c r="B17" s="64"/>
      <c r="C17" s="64"/>
      <c r="D17" s="64"/>
      <c r="E17" s="65"/>
      <c r="F17" s="2">
        <f>MIN(F4:F13)</f>
        <v>0</v>
      </c>
      <c r="G17" s="2">
        <f>MIN(G4:G13)</f>
        <v>204000</v>
      </c>
      <c r="H17" s="2">
        <f>MIN(H4:H13)</f>
        <v>136000</v>
      </c>
      <c r="I17" s="2">
        <f>MIN(I4:I13)</f>
        <v>68000</v>
      </c>
    </row>
    <row r="20" spans="1:9" x14ac:dyDescent="0.3">
      <c r="A20" s="17" t="s">
        <v>46</v>
      </c>
    </row>
    <row r="21" spans="1:9" x14ac:dyDescent="0.3">
      <c r="A21" s="5" t="s">
        <v>83</v>
      </c>
    </row>
    <row r="22" spans="1:9" x14ac:dyDescent="0.3">
      <c r="A22" s="5" t="s">
        <v>84</v>
      </c>
    </row>
    <row r="23" spans="1:9" x14ac:dyDescent="0.3">
      <c r="A23" s="5" t="s">
        <v>85</v>
      </c>
    </row>
    <row r="24" spans="1:9" x14ac:dyDescent="0.3">
      <c r="A24" s="5" t="s">
        <v>86</v>
      </c>
    </row>
    <row r="25" spans="1:9" x14ac:dyDescent="0.3">
      <c r="A25" s="5" t="s">
        <v>87</v>
      </c>
    </row>
    <row r="26" spans="1:9" x14ac:dyDescent="0.3">
      <c r="A26" s="5" t="s">
        <v>88</v>
      </c>
    </row>
  </sheetData>
  <mergeCells count="4">
    <mergeCell ref="A14:E14"/>
    <mergeCell ref="A15:E15"/>
    <mergeCell ref="A16:E16"/>
    <mergeCell ref="A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C421-DDB3-4C5E-AA86-61B509ECEEFB}">
  <dimension ref="A1:I25"/>
  <sheetViews>
    <sheetView workbookViewId="0">
      <selection activeCell="H20" sqref="H20"/>
    </sheetView>
  </sheetViews>
  <sheetFormatPr defaultRowHeight="15.6" x14ac:dyDescent="0.3"/>
  <cols>
    <col min="1" max="1" width="8.88671875" style="1"/>
    <col min="2" max="2" width="11.21875" style="1" customWidth="1"/>
    <col min="3" max="3" width="15.6640625" style="1" customWidth="1"/>
    <col min="4" max="16384" width="8.88671875" style="1"/>
  </cols>
  <sheetData>
    <row r="1" spans="1:9" x14ac:dyDescent="0.3">
      <c r="D1" s="1" t="s">
        <v>125</v>
      </c>
    </row>
    <row r="3" spans="1:9" ht="41.4" x14ac:dyDescent="0.3">
      <c r="A3" s="20" t="s">
        <v>1</v>
      </c>
      <c r="B3" s="19" t="s">
        <v>92</v>
      </c>
      <c r="C3" s="19" t="s">
        <v>93</v>
      </c>
      <c r="D3" s="19" t="s">
        <v>94</v>
      </c>
      <c r="E3" s="19" t="s">
        <v>95</v>
      </c>
      <c r="F3" s="19" t="s">
        <v>96</v>
      </c>
      <c r="G3" s="23" t="s">
        <v>97</v>
      </c>
      <c r="H3" s="19" t="s">
        <v>98</v>
      </c>
      <c r="I3" s="20" t="s">
        <v>99</v>
      </c>
    </row>
    <row r="4" spans="1:9" x14ac:dyDescent="0.3">
      <c r="A4" s="2">
        <v>1</v>
      </c>
      <c r="B4" s="2" t="s">
        <v>100</v>
      </c>
      <c r="C4" s="2" t="s">
        <v>110</v>
      </c>
      <c r="D4" s="2" t="s">
        <v>120</v>
      </c>
      <c r="E4" s="2">
        <v>150</v>
      </c>
      <c r="F4" s="2">
        <v>1480</v>
      </c>
      <c r="G4" s="2">
        <f>E4*F4</f>
        <v>222000</v>
      </c>
      <c r="H4" s="2">
        <f>IF(D4="SGN",5%*G4,IF(D4="CLN",4%*G4,2%*G4))</f>
        <v>4440</v>
      </c>
      <c r="I4" s="2">
        <f>G4+H4</f>
        <v>226440</v>
      </c>
    </row>
    <row r="5" spans="1:9" x14ac:dyDescent="0.3">
      <c r="A5" s="2">
        <f>A4+1</f>
        <v>2</v>
      </c>
      <c r="B5" s="2" t="s">
        <v>101</v>
      </c>
      <c r="C5" s="2" t="s">
        <v>111</v>
      </c>
      <c r="D5" s="2" t="s">
        <v>121</v>
      </c>
      <c r="E5" s="2">
        <v>270</v>
      </c>
      <c r="F5" s="2">
        <v>1280</v>
      </c>
      <c r="G5" s="2">
        <f t="shared" ref="G5:G13" si="0">E5*F5</f>
        <v>345600</v>
      </c>
      <c r="H5" s="2">
        <f t="shared" ref="H5:H13" si="1">IF(D5="SGN",5%*G5,IF(D5="CLN",4%*G5,2%*G5))</f>
        <v>17280</v>
      </c>
      <c r="I5" s="2">
        <f t="shared" ref="I5:I13" si="2">G5+H5</f>
        <v>362880</v>
      </c>
    </row>
    <row r="6" spans="1:9" x14ac:dyDescent="0.3">
      <c r="A6" s="2">
        <f t="shared" ref="A6:A13" si="3">A5+1</f>
        <v>3</v>
      </c>
      <c r="B6" s="2" t="s">
        <v>102</v>
      </c>
      <c r="C6" s="2" t="s">
        <v>112</v>
      </c>
      <c r="D6" s="2" t="s">
        <v>122</v>
      </c>
      <c r="E6" s="2">
        <v>100</v>
      </c>
      <c r="F6" s="2">
        <v>1400</v>
      </c>
      <c r="G6" s="2">
        <f t="shared" si="0"/>
        <v>140000</v>
      </c>
      <c r="H6" s="2">
        <f t="shared" si="1"/>
        <v>5600</v>
      </c>
      <c r="I6" s="2">
        <f t="shared" si="2"/>
        <v>145600</v>
      </c>
    </row>
    <row r="7" spans="1:9" x14ac:dyDescent="0.3">
      <c r="A7" s="2">
        <f t="shared" si="3"/>
        <v>4</v>
      </c>
      <c r="B7" s="2" t="s">
        <v>103</v>
      </c>
      <c r="C7" s="2" t="s">
        <v>113</v>
      </c>
      <c r="D7" s="2" t="s">
        <v>121</v>
      </c>
      <c r="E7" s="2">
        <v>150</v>
      </c>
      <c r="F7" s="2">
        <v>1260</v>
      </c>
      <c r="G7" s="2">
        <f t="shared" si="0"/>
        <v>189000</v>
      </c>
      <c r="H7" s="2">
        <f t="shared" si="1"/>
        <v>9450</v>
      </c>
      <c r="I7" s="2">
        <f t="shared" si="2"/>
        <v>198450</v>
      </c>
    </row>
    <row r="8" spans="1:9" x14ac:dyDescent="0.3">
      <c r="A8" s="2">
        <f t="shared" si="3"/>
        <v>5</v>
      </c>
      <c r="B8" s="2" t="s">
        <v>104</v>
      </c>
      <c r="C8" s="2" t="s">
        <v>114</v>
      </c>
      <c r="D8" s="2" t="s">
        <v>123</v>
      </c>
      <c r="E8" s="2">
        <v>100</v>
      </c>
      <c r="F8" s="2">
        <v>1240</v>
      </c>
      <c r="G8" s="2">
        <f t="shared" si="0"/>
        <v>124000</v>
      </c>
      <c r="H8" s="2">
        <f t="shared" si="1"/>
        <v>2480</v>
      </c>
      <c r="I8" s="2">
        <f t="shared" si="2"/>
        <v>126480</v>
      </c>
    </row>
    <row r="9" spans="1:9" x14ac:dyDescent="0.3">
      <c r="A9" s="2">
        <f t="shared" si="3"/>
        <v>6</v>
      </c>
      <c r="B9" s="2" t="s">
        <v>105</v>
      </c>
      <c r="C9" s="2" t="s">
        <v>115</v>
      </c>
      <c r="D9" s="2" t="s">
        <v>120</v>
      </c>
      <c r="E9" s="2">
        <v>150</v>
      </c>
      <c r="F9" s="2">
        <v>1300</v>
      </c>
      <c r="G9" s="2">
        <f t="shared" si="0"/>
        <v>195000</v>
      </c>
      <c r="H9" s="2">
        <f t="shared" si="1"/>
        <v>3900</v>
      </c>
      <c r="I9" s="2">
        <f t="shared" si="2"/>
        <v>198900</v>
      </c>
    </row>
    <row r="10" spans="1:9" x14ac:dyDescent="0.3">
      <c r="A10" s="2">
        <f t="shared" si="3"/>
        <v>7</v>
      </c>
      <c r="B10" s="2" t="s">
        <v>106</v>
      </c>
      <c r="C10" s="2" t="s">
        <v>116</v>
      </c>
      <c r="D10" s="2" t="s">
        <v>122</v>
      </c>
      <c r="E10" s="2">
        <v>170</v>
      </c>
      <c r="F10" s="2">
        <v>1560</v>
      </c>
      <c r="G10" s="2">
        <f t="shared" si="0"/>
        <v>265200</v>
      </c>
      <c r="H10" s="2">
        <f t="shared" si="1"/>
        <v>10608</v>
      </c>
      <c r="I10" s="2">
        <f t="shared" si="2"/>
        <v>275808</v>
      </c>
    </row>
    <row r="11" spans="1:9" x14ac:dyDescent="0.3">
      <c r="A11" s="2">
        <f t="shared" si="3"/>
        <v>8</v>
      </c>
      <c r="B11" s="2" t="s">
        <v>107</v>
      </c>
      <c r="C11" s="2" t="s">
        <v>117</v>
      </c>
      <c r="D11" s="2" t="s">
        <v>121</v>
      </c>
      <c r="E11" s="2">
        <v>290</v>
      </c>
      <c r="F11" s="2">
        <v>1440</v>
      </c>
      <c r="G11" s="2">
        <f t="shared" si="0"/>
        <v>417600</v>
      </c>
      <c r="H11" s="2">
        <f t="shared" si="1"/>
        <v>20880</v>
      </c>
      <c r="I11" s="2">
        <f t="shared" si="2"/>
        <v>438480</v>
      </c>
    </row>
    <row r="12" spans="1:9" x14ac:dyDescent="0.3">
      <c r="A12" s="2">
        <f t="shared" si="3"/>
        <v>9</v>
      </c>
      <c r="B12" s="2" t="s">
        <v>108</v>
      </c>
      <c r="C12" s="2" t="s">
        <v>118</v>
      </c>
      <c r="D12" s="2" t="s">
        <v>122</v>
      </c>
      <c r="E12" s="2">
        <v>120</v>
      </c>
      <c r="F12" s="2">
        <v>1220</v>
      </c>
      <c r="G12" s="2">
        <f t="shared" si="0"/>
        <v>146400</v>
      </c>
      <c r="H12" s="2">
        <f t="shared" si="1"/>
        <v>5856</v>
      </c>
      <c r="I12" s="2">
        <f t="shared" si="2"/>
        <v>152256</v>
      </c>
    </row>
    <row r="13" spans="1:9" x14ac:dyDescent="0.3">
      <c r="A13" s="2">
        <f t="shared" si="3"/>
        <v>10</v>
      </c>
      <c r="B13" s="2" t="s">
        <v>109</v>
      </c>
      <c r="C13" s="2" t="s">
        <v>119</v>
      </c>
      <c r="D13" s="2" t="s">
        <v>124</v>
      </c>
      <c r="E13" s="2">
        <v>240</v>
      </c>
      <c r="F13" s="2">
        <v>1240</v>
      </c>
      <c r="G13" s="2">
        <f t="shared" si="0"/>
        <v>297600</v>
      </c>
      <c r="H13" s="2">
        <f t="shared" si="1"/>
        <v>5952</v>
      </c>
      <c r="I13" s="2">
        <f t="shared" si="2"/>
        <v>303552</v>
      </c>
    </row>
    <row r="14" spans="1:9" x14ac:dyDescent="0.3">
      <c r="A14" s="66" t="s">
        <v>21</v>
      </c>
      <c r="B14" s="67"/>
      <c r="C14" s="67"/>
      <c r="D14" s="67"/>
      <c r="E14" s="67"/>
      <c r="F14" s="68"/>
      <c r="G14" s="22">
        <f>SUM(G4:G13)</f>
        <v>2342400</v>
      </c>
      <c r="H14" s="22">
        <f>SUM(H4:H13)</f>
        <v>86446</v>
      </c>
      <c r="I14" s="22">
        <f>SUM(I4:I13)</f>
        <v>2428846</v>
      </c>
    </row>
    <row r="15" spans="1:9" x14ac:dyDescent="0.3">
      <c r="A15" s="66" t="s">
        <v>126</v>
      </c>
      <c r="B15" s="67"/>
      <c r="C15" s="67"/>
      <c r="D15" s="67"/>
      <c r="E15" s="67"/>
      <c r="F15" s="68"/>
      <c r="G15" s="22">
        <f>AVERAGE(G4:G13)</f>
        <v>234240</v>
      </c>
      <c r="H15" s="22">
        <f>AVERAGE(H4:H13)</f>
        <v>8644.6</v>
      </c>
      <c r="I15" s="22">
        <f>AVERAGE(I4:I13)</f>
        <v>242884.6</v>
      </c>
    </row>
    <row r="16" spans="1:9" x14ac:dyDescent="0.3">
      <c r="A16" s="66" t="s">
        <v>90</v>
      </c>
      <c r="B16" s="67"/>
      <c r="C16" s="67"/>
      <c r="D16" s="67"/>
      <c r="E16" s="67"/>
      <c r="F16" s="68"/>
      <c r="G16" s="22">
        <f>MAX(G4:G13)</f>
        <v>417600</v>
      </c>
      <c r="H16" s="22">
        <f>MAX(H4:H13)</f>
        <v>20880</v>
      </c>
      <c r="I16" s="22">
        <f>MAX(I4:I13)</f>
        <v>438480</v>
      </c>
    </row>
    <row r="17" spans="1:9" x14ac:dyDescent="0.3">
      <c r="A17" s="66" t="s">
        <v>91</v>
      </c>
      <c r="B17" s="67"/>
      <c r="C17" s="67"/>
      <c r="D17" s="67"/>
      <c r="E17" s="67"/>
      <c r="F17" s="68"/>
      <c r="G17" s="22">
        <f>MIN(G4:G13)</f>
        <v>124000</v>
      </c>
      <c r="H17" s="22">
        <f>MIN(H4:H13)</f>
        <v>2480</v>
      </c>
      <c r="I17" s="22">
        <f>MIN(I4:I13)</f>
        <v>126480</v>
      </c>
    </row>
    <row r="19" spans="1:9" x14ac:dyDescent="0.3">
      <c r="A19" s="17" t="s">
        <v>46</v>
      </c>
    </row>
    <row r="20" spans="1:9" x14ac:dyDescent="0.3">
      <c r="A20" s="5" t="s">
        <v>127</v>
      </c>
    </row>
    <row r="21" spans="1:9" x14ac:dyDescent="0.3">
      <c r="A21" s="5" t="s">
        <v>128</v>
      </c>
    </row>
    <row r="22" spans="1:9" x14ac:dyDescent="0.3">
      <c r="A22" s="5" t="s">
        <v>129</v>
      </c>
    </row>
    <row r="23" spans="1:9" x14ac:dyDescent="0.3">
      <c r="A23" s="5" t="s">
        <v>130</v>
      </c>
    </row>
    <row r="24" spans="1:9" x14ac:dyDescent="0.3">
      <c r="A24" s="5" t="s">
        <v>131</v>
      </c>
    </row>
    <row r="25" spans="1:9" x14ac:dyDescent="0.3">
      <c r="A25" s="5" t="s">
        <v>132</v>
      </c>
    </row>
  </sheetData>
  <mergeCells count="4">
    <mergeCell ref="A14:F14"/>
    <mergeCell ref="A15:F15"/>
    <mergeCell ref="A16:F16"/>
    <mergeCell ref="A17:F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7D56-C504-46A8-A85D-CC730346645D}">
  <dimension ref="A1:I30"/>
  <sheetViews>
    <sheetView workbookViewId="0">
      <selection activeCell="H17" sqref="H17"/>
    </sheetView>
  </sheetViews>
  <sheetFormatPr defaultRowHeight="15.6" x14ac:dyDescent="0.3"/>
  <cols>
    <col min="1" max="1" width="8.88671875" style="1"/>
    <col min="2" max="2" width="17.5546875" style="1" customWidth="1"/>
    <col min="3" max="16384" width="8.88671875" style="1"/>
  </cols>
  <sheetData>
    <row r="1" spans="1:9" x14ac:dyDescent="0.3">
      <c r="D1" s="1" t="s">
        <v>133</v>
      </c>
    </row>
    <row r="3" spans="1:9" ht="31.2" x14ac:dyDescent="0.3">
      <c r="A3" s="19" t="s">
        <v>134</v>
      </c>
      <c r="B3" s="19" t="s">
        <v>135</v>
      </c>
      <c r="C3" s="23" t="s">
        <v>142</v>
      </c>
      <c r="D3" s="23" t="s">
        <v>141</v>
      </c>
      <c r="E3" s="23" t="s">
        <v>140</v>
      </c>
      <c r="F3" s="23" t="s">
        <v>136</v>
      </c>
      <c r="G3" s="23" t="s">
        <v>137</v>
      </c>
      <c r="H3" s="23" t="s">
        <v>138</v>
      </c>
      <c r="I3" s="23" t="s">
        <v>139</v>
      </c>
    </row>
    <row r="4" spans="1:9" x14ac:dyDescent="0.3">
      <c r="A4" s="2">
        <v>1</v>
      </c>
      <c r="B4" s="2" t="s">
        <v>143</v>
      </c>
      <c r="C4" s="2" t="s">
        <v>147</v>
      </c>
      <c r="D4" s="2">
        <v>1</v>
      </c>
      <c r="E4" s="2">
        <f>IF(C4="A",400,300)</f>
        <v>400</v>
      </c>
      <c r="F4" s="2">
        <v>500</v>
      </c>
      <c r="G4" s="2">
        <f>IF(AND(C4="A",D4=1),3,IF(AND(C4="A",D4=2),2,IF(AND(C4="B",D4=1),1,IF(OR(C4="B",D4=1),0.5,0))))</f>
        <v>3</v>
      </c>
      <c r="H4" s="2">
        <f>IF(F4&gt;E4,(F4-E4)*G4*20%,IF(F4&lt;=E4,0))</f>
        <v>60</v>
      </c>
      <c r="I4" s="2"/>
    </row>
    <row r="5" spans="1:9" x14ac:dyDescent="0.3">
      <c r="A5" s="2">
        <f>A4+1</f>
        <v>2</v>
      </c>
      <c r="B5" s="2" t="s">
        <v>144</v>
      </c>
      <c r="C5" s="2" t="s">
        <v>148</v>
      </c>
      <c r="D5" s="2">
        <v>1</v>
      </c>
      <c r="E5" s="2">
        <f t="shared" ref="E5:E13" si="0">IF(C5="A",400,300)</f>
        <v>300</v>
      </c>
      <c r="F5" s="2">
        <v>350</v>
      </c>
      <c r="G5" s="2">
        <f t="shared" ref="G5:G13" si="1">IF(AND(C5="A",D5=1),3,IF(AND(C5="A",D5=2),2,IF(AND(C5="B",D5=1),1,IF(OR(C5="B",D5=1),0.5,0))))</f>
        <v>1</v>
      </c>
      <c r="H5" s="2">
        <f t="shared" ref="H5:H13" si="2">IF(F5&gt;E5,(F5-E5)*G5*20%,IF(F5&lt;=E5,0))</f>
        <v>10</v>
      </c>
    </row>
    <row r="6" spans="1:9" x14ac:dyDescent="0.3">
      <c r="A6" s="2">
        <f t="shared" ref="A6:A13" si="3">A5+1</f>
        <v>3</v>
      </c>
      <c r="B6" s="2" t="s">
        <v>145</v>
      </c>
      <c r="C6" s="2" t="s">
        <v>147</v>
      </c>
      <c r="D6" s="2">
        <v>2</v>
      </c>
      <c r="E6" s="2">
        <f t="shared" si="0"/>
        <v>400</v>
      </c>
      <c r="F6" s="2">
        <v>250</v>
      </c>
      <c r="G6" s="2">
        <f t="shared" si="1"/>
        <v>2</v>
      </c>
      <c r="H6" s="2">
        <f t="shared" si="2"/>
        <v>0</v>
      </c>
      <c r="I6" s="2"/>
    </row>
    <row r="7" spans="1:9" x14ac:dyDescent="0.3">
      <c r="A7" s="2">
        <f t="shared" si="3"/>
        <v>4</v>
      </c>
      <c r="B7" s="2" t="s">
        <v>145</v>
      </c>
      <c r="C7" s="2" t="s">
        <v>148</v>
      </c>
      <c r="D7" s="2">
        <v>2</v>
      </c>
      <c r="E7" s="2">
        <f t="shared" si="0"/>
        <v>300</v>
      </c>
      <c r="F7" s="2">
        <v>125</v>
      </c>
      <c r="G7" s="2">
        <f t="shared" si="1"/>
        <v>0.5</v>
      </c>
      <c r="H7" s="2">
        <f t="shared" si="2"/>
        <v>0</v>
      </c>
      <c r="I7" s="2"/>
    </row>
    <row r="8" spans="1:9" x14ac:dyDescent="0.3">
      <c r="A8" s="2">
        <f t="shared" si="3"/>
        <v>5</v>
      </c>
      <c r="B8" s="2" t="s">
        <v>146</v>
      </c>
      <c r="C8" s="2" t="s">
        <v>148</v>
      </c>
      <c r="D8" s="2">
        <v>1</v>
      </c>
      <c r="E8" s="2">
        <f t="shared" si="0"/>
        <v>300</v>
      </c>
      <c r="F8" s="2">
        <v>320</v>
      </c>
      <c r="G8" s="2">
        <f t="shared" si="1"/>
        <v>1</v>
      </c>
      <c r="H8" s="2">
        <f t="shared" si="2"/>
        <v>4</v>
      </c>
      <c r="I8" s="2"/>
    </row>
    <row r="9" spans="1:9" x14ac:dyDescent="0.3">
      <c r="A9" s="2">
        <f t="shared" si="3"/>
        <v>6</v>
      </c>
      <c r="B9" s="2" t="s">
        <v>143</v>
      </c>
      <c r="C9" s="2" t="s">
        <v>148</v>
      </c>
      <c r="D9" s="2">
        <v>1</v>
      </c>
      <c r="E9" s="2">
        <f t="shared" si="0"/>
        <v>300</v>
      </c>
      <c r="F9" s="2">
        <v>465</v>
      </c>
      <c r="G9" s="2">
        <f t="shared" si="1"/>
        <v>1</v>
      </c>
      <c r="H9" s="2">
        <f t="shared" si="2"/>
        <v>33</v>
      </c>
      <c r="I9" s="2"/>
    </row>
    <row r="10" spans="1:9" x14ac:dyDescent="0.3">
      <c r="A10" s="2">
        <f t="shared" si="3"/>
        <v>7</v>
      </c>
      <c r="B10" s="2" t="s">
        <v>146</v>
      </c>
      <c r="C10" s="2" t="s">
        <v>148</v>
      </c>
      <c r="D10" s="2">
        <v>2</v>
      </c>
      <c r="E10" s="2">
        <f t="shared" si="0"/>
        <v>300</v>
      </c>
      <c r="F10" s="2">
        <v>870</v>
      </c>
      <c r="G10" s="2">
        <f t="shared" si="1"/>
        <v>0.5</v>
      </c>
      <c r="H10" s="2">
        <f t="shared" si="2"/>
        <v>57</v>
      </c>
      <c r="I10" s="2"/>
    </row>
    <row r="11" spans="1:9" x14ac:dyDescent="0.3">
      <c r="A11" s="2">
        <f t="shared" si="3"/>
        <v>8</v>
      </c>
      <c r="B11" s="2" t="s">
        <v>144</v>
      </c>
      <c r="C11" s="2" t="s">
        <v>148</v>
      </c>
      <c r="D11" s="2">
        <v>1</v>
      </c>
      <c r="E11" s="2">
        <f t="shared" si="0"/>
        <v>300</v>
      </c>
      <c r="F11" s="2">
        <v>1110</v>
      </c>
      <c r="G11" s="2">
        <f t="shared" si="1"/>
        <v>1</v>
      </c>
      <c r="H11" s="2">
        <f>IF(F11&gt;E11,(F11-E11)*G11*20%,IF(F11&lt;=E11,0))</f>
        <v>162</v>
      </c>
      <c r="I11" s="2"/>
    </row>
    <row r="12" spans="1:9" x14ac:dyDescent="0.3">
      <c r="A12" s="2">
        <f t="shared" si="3"/>
        <v>9</v>
      </c>
      <c r="B12" s="2" t="s">
        <v>144</v>
      </c>
      <c r="C12" s="2" t="s">
        <v>147</v>
      </c>
      <c r="D12" s="2">
        <v>1</v>
      </c>
      <c r="E12" s="2">
        <f t="shared" si="0"/>
        <v>400</v>
      </c>
      <c r="F12" s="2">
        <v>235</v>
      </c>
      <c r="G12" s="2">
        <f t="shared" si="1"/>
        <v>3</v>
      </c>
      <c r="H12" s="2">
        <f t="shared" si="2"/>
        <v>0</v>
      </c>
      <c r="I12" s="2"/>
    </row>
    <row r="13" spans="1:9" x14ac:dyDescent="0.3">
      <c r="A13" s="2">
        <f t="shared" si="3"/>
        <v>10</v>
      </c>
      <c r="B13" s="2" t="s">
        <v>146</v>
      </c>
      <c r="C13" s="2" t="s">
        <v>147</v>
      </c>
      <c r="D13" s="2">
        <v>2</v>
      </c>
      <c r="E13" s="2">
        <f t="shared" si="0"/>
        <v>400</v>
      </c>
      <c r="F13" s="2">
        <v>220</v>
      </c>
      <c r="G13" s="2">
        <f t="shared" si="1"/>
        <v>2</v>
      </c>
      <c r="H13" s="2">
        <f t="shared" si="2"/>
        <v>0</v>
      </c>
      <c r="I13" s="2"/>
    </row>
    <row r="14" spans="1:9" x14ac:dyDescent="0.3">
      <c r="A14" s="66" t="s">
        <v>21</v>
      </c>
      <c r="B14" s="67"/>
      <c r="C14" s="67"/>
      <c r="D14" s="68"/>
      <c r="E14" s="2">
        <f>SUM(E4:E13)</f>
        <v>3400</v>
      </c>
      <c r="F14" s="2">
        <f>SUM(F4:F13)</f>
        <v>4445</v>
      </c>
      <c r="G14" s="2">
        <f>SUM(G4:G13)</f>
        <v>15</v>
      </c>
      <c r="H14" s="2">
        <f>SUM(H4:H13)</f>
        <v>326</v>
      </c>
      <c r="I14" s="2"/>
    </row>
    <row r="15" spans="1:9" x14ac:dyDescent="0.3">
      <c r="A15" s="66" t="s">
        <v>90</v>
      </c>
      <c r="B15" s="67"/>
      <c r="C15" s="67"/>
      <c r="D15" s="68"/>
      <c r="E15" s="2">
        <f>MAX(E4:E13)</f>
        <v>400</v>
      </c>
      <c r="F15" s="2">
        <f>MAX(F4:F13)</f>
        <v>1110</v>
      </c>
      <c r="G15" s="2">
        <f>MAX(G4:G13)</f>
        <v>3</v>
      </c>
      <c r="H15" s="2">
        <f>MAX(H4:H13)</f>
        <v>162</v>
      </c>
      <c r="I15" s="2"/>
    </row>
    <row r="16" spans="1:9" x14ac:dyDescent="0.3">
      <c r="A16" s="66" t="s">
        <v>91</v>
      </c>
      <c r="B16" s="67"/>
      <c r="C16" s="67"/>
      <c r="D16" s="68"/>
      <c r="E16" s="2">
        <f>MIN(E4:E13)</f>
        <v>300</v>
      </c>
      <c r="F16" s="2">
        <f>MIN(F4:F13)</f>
        <v>125</v>
      </c>
      <c r="G16" s="2">
        <f>MIN(G4:G13)</f>
        <v>0.5</v>
      </c>
      <c r="H16" s="2">
        <f>MIN(H4:H13)</f>
        <v>0</v>
      </c>
      <c r="I16" s="2"/>
    </row>
    <row r="17" spans="1:9" x14ac:dyDescent="0.3">
      <c r="A17" s="66" t="s">
        <v>89</v>
      </c>
      <c r="B17" s="67"/>
      <c r="C17" s="67"/>
      <c r="D17" s="68"/>
      <c r="E17" s="2">
        <f>AVERAGE(E4:E13)</f>
        <v>340</v>
      </c>
      <c r="F17" s="2">
        <f>AVERAGE(F4:F13)</f>
        <v>444.5</v>
      </c>
      <c r="G17" s="2">
        <f>AVERAGE(G4:G13)</f>
        <v>1.5</v>
      </c>
      <c r="H17" s="2">
        <f>AVERAGE(H4:H13)</f>
        <v>32.6</v>
      </c>
      <c r="I17" s="2"/>
    </row>
    <row r="19" spans="1:9" x14ac:dyDescent="0.3">
      <c r="A19" s="17" t="s">
        <v>46</v>
      </c>
    </row>
    <row r="20" spans="1:9" x14ac:dyDescent="0.3">
      <c r="A20" s="5" t="s">
        <v>149</v>
      </c>
    </row>
    <row r="21" spans="1:9" x14ac:dyDescent="0.3">
      <c r="A21" s="24" t="s">
        <v>150</v>
      </c>
    </row>
    <row r="22" spans="1:9" x14ac:dyDescent="0.3">
      <c r="A22" s="24" t="s">
        <v>151</v>
      </c>
    </row>
    <row r="23" spans="1:9" x14ac:dyDescent="0.3">
      <c r="A23" s="5" t="s">
        <v>152</v>
      </c>
    </row>
    <row r="24" spans="1:9" x14ac:dyDescent="0.3">
      <c r="A24" s="24" t="s">
        <v>153</v>
      </c>
    </row>
    <row r="25" spans="1:9" x14ac:dyDescent="0.3">
      <c r="A25" s="24" t="s">
        <v>154</v>
      </c>
    </row>
    <row r="26" spans="1:9" x14ac:dyDescent="0.3">
      <c r="A26" s="24" t="s">
        <v>155</v>
      </c>
    </row>
    <row r="27" spans="1:9" x14ac:dyDescent="0.3">
      <c r="A27" s="24" t="s">
        <v>156</v>
      </c>
    </row>
    <row r="28" spans="1:9" x14ac:dyDescent="0.3">
      <c r="A28" s="5" t="s">
        <v>157</v>
      </c>
    </row>
    <row r="29" spans="1:9" x14ac:dyDescent="0.3">
      <c r="A29" s="24" t="s">
        <v>158</v>
      </c>
    </row>
    <row r="30" spans="1:9" x14ac:dyDescent="0.3">
      <c r="A30" s="24" t="s">
        <v>159</v>
      </c>
    </row>
  </sheetData>
  <mergeCells count="4">
    <mergeCell ref="A14:D14"/>
    <mergeCell ref="A15:D15"/>
    <mergeCell ref="A16:D16"/>
    <mergeCell ref="A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5CD1-E4FE-47F2-AFE1-CB73695F5433}">
  <dimension ref="A1:M28"/>
  <sheetViews>
    <sheetView zoomScale="80" zoomScaleNormal="80" workbookViewId="0">
      <selection activeCell="K11" sqref="K11"/>
    </sheetView>
  </sheetViews>
  <sheetFormatPr defaultRowHeight="15.6" x14ac:dyDescent="0.3"/>
  <cols>
    <col min="1" max="1" width="4.77734375" style="1" customWidth="1"/>
    <col min="2" max="2" width="19.6640625" style="1" customWidth="1"/>
    <col min="3" max="3" width="9.88671875" style="1" customWidth="1"/>
    <col min="4" max="4" width="8.88671875" style="1" customWidth="1"/>
    <col min="5" max="16384" width="8.88671875" style="1"/>
  </cols>
  <sheetData>
    <row r="1" spans="1:13" x14ac:dyDescent="0.3">
      <c r="D1" s="1" t="s">
        <v>160</v>
      </c>
    </row>
    <row r="3" spans="1:13" ht="49.2" x14ac:dyDescent="0.3">
      <c r="A3" s="19" t="s">
        <v>1</v>
      </c>
      <c r="B3" s="19" t="s">
        <v>2</v>
      </c>
      <c r="C3" s="23" t="s">
        <v>161</v>
      </c>
      <c r="D3" s="23" t="s">
        <v>4</v>
      </c>
      <c r="E3" s="23" t="s">
        <v>162</v>
      </c>
      <c r="F3" s="23" t="s">
        <v>163</v>
      </c>
      <c r="G3" s="23" t="s">
        <v>164</v>
      </c>
      <c r="H3" s="25" t="s">
        <v>6</v>
      </c>
      <c r="I3" s="25" t="s">
        <v>165</v>
      </c>
      <c r="J3" s="23" t="s">
        <v>190</v>
      </c>
      <c r="K3" s="23" t="s">
        <v>189</v>
      </c>
      <c r="L3" s="23" t="s">
        <v>7</v>
      </c>
      <c r="M3" s="23" t="s">
        <v>8</v>
      </c>
    </row>
    <row r="4" spans="1:13" x14ac:dyDescent="0.3">
      <c r="A4" s="2">
        <v>1</v>
      </c>
      <c r="B4" s="2" t="s">
        <v>166</v>
      </c>
      <c r="C4" s="2">
        <v>300</v>
      </c>
      <c r="D4" s="2" t="s">
        <v>16</v>
      </c>
      <c r="E4" s="2" t="s">
        <v>147</v>
      </c>
      <c r="F4" s="2">
        <v>1</v>
      </c>
      <c r="G4" s="2">
        <v>25</v>
      </c>
      <c r="H4" s="2">
        <f>C4*G4*IF(D4="TP",50,IF(D4="PP",40,20))</f>
        <v>375000</v>
      </c>
      <c r="I4" s="2">
        <f>IF(F4&lt;=2,F4*1000,F4*2000)</f>
        <v>1000</v>
      </c>
      <c r="J4" s="2">
        <f>IF(E4="A",300000,IF(E4="B",200000,150000))</f>
        <v>300000</v>
      </c>
      <c r="K4" s="2">
        <f>H4+I4+J4</f>
        <v>676000</v>
      </c>
      <c r="L4" s="2">
        <f>ROUND(2/3*(K4),-3)</f>
        <v>451000</v>
      </c>
      <c r="M4" s="2">
        <f>K4-L4</f>
        <v>225000</v>
      </c>
    </row>
    <row r="5" spans="1:13" x14ac:dyDescent="0.3">
      <c r="A5" s="2">
        <f>A4+1</f>
        <v>2</v>
      </c>
      <c r="B5" s="2" t="s">
        <v>167</v>
      </c>
      <c r="C5" s="2">
        <v>150</v>
      </c>
      <c r="D5" s="2" t="s">
        <v>17</v>
      </c>
      <c r="E5" s="2" t="s">
        <v>176</v>
      </c>
      <c r="F5" s="2">
        <v>3</v>
      </c>
      <c r="G5" s="2">
        <v>24</v>
      </c>
      <c r="H5" s="2">
        <f t="shared" ref="H5:H12" si="0">C5*G5*IF(D5="TP",50,IF(D5="PP",40,20))</f>
        <v>72000</v>
      </c>
      <c r="I5" s="2">
        <f t="shared" ref="I5:I13" si="1">IF(F5&lt;=2,F5*1000,F5*2000)</f>
        <v>6000</v>
      </c>
      <c r="J5" s="2">
        <f t="shared" ref="J5:J13" si="2">IF(E5="A",300000,IF(E5="B",200000,150000))</f>
        <v>150000</v>
      </c>
      <c r="K5" s="2">
        <f t="shared" ref="K5:K13" si="3">H5+I5+J5</f>
        <v>228000</v>
      </c>
      <c r="L5" s="2">
        <f t="shared" ref="L5:L13" si="4">ROUND(2/3*(K5),-3)</f>
        <v>152000</v>
      </c>
      <c r="M5" s="2">
        <f t="shared" ref="M5:M13" si="5">K5-L5</f>
        <v>76000</v>
      </c>
    </row>
    <row r="6" spans="1:13" x14ac:dyDescent="0.3">
      <c r="A6" s="2">
        <f t="shared" ref="A6:A13" si="6">A5+1</f>
        <v>3</v>
      </c>
      <c r="B6" s="2" t="s">
        <v>168</v>
      </c>
      <c r="C6" s="2">
        <v>200</v>
      </c>
      <c r="D6" s="2" t="s">
        <v>17</v>
      </c>
      <c r="E6" s="2" t="s">
        <v>147</v>
      </c>
      <c r="F6" s="2">
        <v>2</v>
      </c>
      <c r="G6" s="2">
        <v>26</v>
      </c>
      <c r="H6" s="2">
        <f t="shared" si="0"/>
        <v>104000</v>
      </c>
      <c r="I6" s="2">
        <f t="shared" si="1"/>
        <v>2000</v>
      </c>
      <c r="J6" s="2">
        <f t="shared" si="2"/>
        <v>300000</v>
      </c>
      <c r="K6" s="2">
        <f t="shared" si="3"/>
        <v>406000</v>
      </c>
      <c r="L6" s="2">
        <f t="shared" si="4"/>
        <v>271000</v>
      </c>
      <c r="M6" s="2">
        <f t="shared" si="5"/>
        <v>135000</v>
      </c>
    </row>
    <row r="7" spans="1:13" x14ac:dyDescent="0.3">
      <c r="A7" s="2">
        <f t="shared" si="6"/>
        <v>4</v>
      </c>
      <c r="B7" s="2" t="s">
        <v>169</v>
      </c>
      <c r="C7" s="2">
        <v>150</v>
      </c>
      <c r="D7" s="2" t="s">
        <v>17</v>
      </c>
      <c r="E7" s="2" t="s">
        <v>148</v>
      </c>
      <c r="F7" s="2">
        <v>4</v>
      </c>
      <c r="G7" s="2">
        <v>27</v>
      </c>
      <c r="H7" s="2">
        <f t="shared" si="0"/>
        <v>81000</v>
      </c>
      <c r="I7" s="2">
        <f t="shared" si="1"/>
        <v>8000</v>
      </c>
      <c r="J7" s="2">
        <f t="shared" si="2"/>
        <v>200000</v>
      </c>
      <c r="K7" s="2">
        <f t="shared" si="3"/>
        <v>289000</v>
      </c>
      <c r="L7" s="2">
        <f t="shared" si="4"/>
        <v>193000</v>
      </c>
      <c r="M7" s="2">
        <f t="shared" si="5"/>
        <v>96000</v>
      </c>
    </row>
    <row r="8" spans="1:13" x14ac:dyDescent="0.3">
      <c r="A8" s="2">
        <f t="shared" si="6"/>
        <v>5</v>
      </c>
      <c r="B8" s="2" t="s">
        <v>170</v>
      </c>
      <c r="C8" s="2">
        <v>250</v>
      </c>
      <c r="D8" s="2" t="s">
        <v>20</v>
      </c>
      <c r="E8" s="2" t="s">
        <v>148</v>
      </c>
      <c r="F8" s="2">
        <v>1</v>
      </c>
      <c r="G8" s="2">
        <v>25</v>
      </c>
      <c r="H8" s="2">
        <f t="shared" si="0"/>
        <v>250000</v>
      </c>
      <c r="I8" s="2">
        <f t="shared" si="1"/>
        <v>1000</v>
      </c>
      <c r="J8" s="2">
        <f t="shared" si="2"/>
        <v>200000</v>
      </c>
      <c r="K8" s="2">
        <f t="shared" si="3"/>
        <v>451000</v>
      </c>
      <c r="L8" s="2">
        <f t="shared" si="4"/>
        <v>301000</v>
      </c>
      <c r="M8" s="2">
        <f t="shared" si="5"/>
        <v>150000</v>
      </c>
    </row>
    <row r="9" spans="1:13" x14ac:dyDescent="0.3">
      <c r="A9" s="2">
        <f t="shared" si="6"/>
        <v>6</v>
      </c>
      <c r="B9" s="2" t="s">
        <v>171</v>
      </c>
      <c r="C9" s="2">
        <v>200</v>
      </c>
      <c r="D9" s="2" t="s">
        <v>17</v>
      </c>
      <c r="E9" s="2" t="s">
        <v>147</v>
      </c>
      <c r="F9" s="2">
        <v>3</v>
      </c>
      <c r="G9" s="2">
        <v>26</v>
      </c>
      <c r="H9" s="2">
        <f t="shared" si="0"/>
        <v>104000</v>
      </c>
      <c r="I9" s="2">
        <f t="shared" si="1"/>
        <v>6000</v>
      </c>
      <c r="J9" s="2">
        <f t="shared" si="2"/>
        <v>300000</v>
      </c>
      <c r="K9" s="2">
        <f t="shared" si="3"/>
        <v>410000</v>
      </c>
      <c r="L9" s="2">
        <f t="shared" si="4"/>
        <v>273000</v>
      </c>
      <c r="M9" s="2">
        <f t="shared" si="5"/>
        <v>137000</v>
      </c>
    </row>
    <row r="10" spans="1:13" x14ac:dyDescent="0.3">
      <c r="A10" s="2">
        <f t="shared" si="6"/>
        <v>7</v>
      </c>
      <c r="B10" s="2" t="s">
        <v>172</v>
      </c>
      <c r="C10" s="2">
        <v>250</v>
      </c>
      <c r="D10" s="2" t="s">
        <v>20</v>
      </c>
      <c r="E10" s="2" t="s">
        <v>147</v>
      </c>
      <c r="F10" s="2">
        <v>2</v>
      </c>
      <c r="G10" s="2">
        <v>24</v>
      </c>
      <c r="H10" s="2">
        <f t="shared" si="0"/>
        <v>240000</v>
      </c>
      <c r="I10" s="2">
        <f t="shared" si="1"/>
        <v>2000</v>
      </c>
      <c r="J10" s="2">
        <f t="shared" si="2"/>
        <v>300000</v>
      </c>
      <c r="K10" s="2">
        <f t="shared" si="3"/>
        <v>542000</v>
      </c>
      <c r="L10" s="2">
        <f t="shared" si="4"/>
        <v>361000</v>
      </c>
      <c r="M10" s="2">
        <f t="shared" si="5"/>
        <v>181000</v>
      </c>
    </row>
    <row r="11" spans="1:13" x14ac:dyDescent="0.3">
      <c r="A11" s="2">
        <f t="shared" si="6"/>
        <v>8</v>
      </c>
      <c r="B11" s="2" t="s">
        <v>173</v>
      </c>
      <c r="C11" s="2">
        <v>150</v>
      </c>
      <c r="D11" s="2" t="s">
        <v>17</v>
      </c>
      <c r="E11" s="2" t="s">
        <v>148</v>
      </c>
      <c r="F11" s="2">
        <v>4</v>
      </c>
      <c r="G11" s="2">
        <v>27</v>
      </c>
      <c r="H11" s="2">
        <f t="shared" si="0"/>
        <v>81000</v>
      </c>
      <c r="I11" s="2">
        <f t="shared" si="1"/>
        <v>8000</v>
      </c>
      <c r="J11" s="2">
        <f t="shared" si="2"/>
        <v>200000</v>
      </c>
      <c r="K11" s="2">
        <f t="shared" si="3"/>
        <v>289000</v>
      </c>
      <c r="L11" s="2">
        <f t="shared" si="4"/>
        <v>193000</v>
      </c>
      <c r="M11" s="2">
        <f t="shared" si="5"/>
        <v>96000</v>
      </c>
    </row>
    <row r="12" spans="1:13" x14ac:dyDescent="0.3">
      <c r="A12" s="2">
        <f t="shared" si="6"/>
        <v>9</v>
      </c>
      <c r="B12" s="2" t="s">
        <v>174</v>
      </c>
      <c r="C12" s="2">
        <v>200</v>
      </c>
      <c r="D12" s="2" t="s">
        <v>17</v>
      </c>
      <c r="E12" s="2" t="s">
        <v>176</v>
      </c>
      <c r="F12" s="2">
        <v>2</v>
      </c>
      <c r="G12" s="2">
        <v>25</v>
      </c>
      <c r="H12" s="2">
        <f t="shared" si="0"/>
        <v>100000</v>
      </c>
      <c r="I12" s="2">
        <f t="shared" si="1"/>
        <v>2000</v>
      </c>
      <c r="J12" s="2">
        <f t="shared" si="2"/>
        <v>150000</v>
      </c>
      <c r="K12" s="2">
        <f t="shared" si="3"/>
        <v>252000</v>
      </c>
      <c r="L12" s="2">
        <f t="shared" si="4"/>
        <v>168000</v>
      </c>
      <c r="M12" s="2">
        <f t="shared" si="5"/>
        <v>84000</v>
      </c>
    </row>
    <row r="13" spans="1:13" x14ac:dyDescent="0.3">
      <c r="A13" s="2">
        <f t="shared" si="6"/>
        <v>10</v>
      </c>
      <c r="B13" s="2" t="s">
        <v>175</v>
      </c>
      <c r="C13" s="2">
        <v>200</v>
      </c>
      <c r="D13" s="2" t="s">
        <v>17</v>
      </c>
      <c r="E13" s="2" t="s">
        <v>147</v>
      </c>
      <c r="F13" s="2">
        <v>1</v>
      </c>
      <c r="G13" s="2">
        <v>28</v>
      </c>
      <c r="H13" s="2">
        <f>C13*G13*IF(D13="TP",50,IF(D13="PP",40,20))</f>
        <v>112000</v>
      </c>
      <c r="I13" s="2">
        <f t="shared" si="1"/>
        <v>1000</v>
      </c>
      <c r="J13" s="2">
        <f t="shared" si="2"/>
        <v>300000</v>
      </c>
      <c r="K13" s="2">
        <f t="shared" si="3"/>
        <v>413000</v>
      </c>
      <c r="L13" s="2">
        <f t="shared" si="4"/>
        <v>275000</v>
      </c>
      <c r="M13" s="2">
        <f t="shared" si="5"/>
        <v>138000</v>
      </c>
    </row>
    <row r="14" spans="1:13" x14ac:dyDescent="0.3">
      <c r="A14" s="66" t="s">
        <v>21</v>
      </c>
      <c r="B14" s="67"/>
      <c r="C14" s="67"/>
      <c r="D14" s="67"/>
      <c r="E14" s="67"/>
      <c r="F14" s="67"/>
      <c r="G14" s="68"/>
      <c r="H14" s="2"/>
      <c r="I14" s="2"/>
      <c r="J14" s="2"/>
      <c r="K14" s="2"/>
      <c r="L14" s="2"/>
      <c r="M14" s="2"/>
    </row>
    <row r="16" spans="1:13" x14ac:dyDescent="0.3">
      <c r="A16" s="17" t="s">
        <v>46</v>
      </c>
    </row>
    <row r="17" spans="1:1" x14ac:dyDescent="0.3">
      <c r="A17" s="5" t="s">
        <v>177</v>
      </c>
    </row>
    <row r="18" spans="1:1" x14ac:dyDescent="0.3">
      <c r="A18" s="5" t="s">
        <v>178</v>
      </c>
    </row>
    <row r="19" spans="1:1" x14ac:dyDescent="0.3">
      <c r="A19" s="5" t="s">
        <v>179</v>
      </c>
    </row>
    <row r="20" spans="1:1" x14ac:dyDescent="0.3">
      <c r="A20" s="5" t="s">
        <v>180</v>
      </c>
    </row>
    <row r="21" spans="1:1" x14ac:dyDescent="0.3">
      <c r="A21" s="5" t="s">
        <v>181</v>
      </c>
    </row>
    <row r="22" spans="1:1" x14ac:dyDescent="0.3">
      <c r="A22" s="5" t="s">
        <v>182</v>
      </c>
    </row>
    <row r="23" spans="1:1" x14ac:dyDescent="0.3">
      <c r="A23" s="5" t="s">
        <v>183</v>
      </c>
    </row>
    <row r="24" spans="1:1" x14ac:dyDescent="0.3">
      <c r="A24" s="5" t="s">
        <v>184</v>
      </c>
    </row>
    <row r="25" spans="1:1" x14ac:dyDescent="0.3">
      <c r="A25" s="5" t="s">
        <v>185</v>
      </c>
    </row>
    <row r="26" spans="1:1" x14ac:dyDescent="0.3">
      <c r="A26" s="5" t="s">
        <v>186</v>
      </c>
    </row>
    <row r="27" spans="1:1" x14ac:dyDescent="0.3">
      <c r="A27" s="5" t="s">
        <v>187</v>
      </c>
    </row>
    <row r="28" spans="1:1" x14ac:dyDescent="0.3">
      <c r="A28" s="10" t="s">
        <v>188</v>
      </c>
    </row>
  </sheetData>
  <mergeCells count="1">
    <mergeCell ref="A14: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A365-C903-4F2E-9E87-F9FA514424AE}">
  <dimension ref="A1:J27"/>
  <sheetViews>
    <sheetView zoomScale="80" zoomScaleNormal="80" workbookViewId="0">
      <selection activeCell="H15" sqref="H15"/>
    </sheetView>
  </sheetViews>
  <sheetFormatPr defaultRowHeight="14.4" x14ac:dyDescent="0.3"/>
  <cols>
    <col min="1" max="1" width="5.33203125" customWidth="1"/>
    <col min="2" max="2" width="16.21875" customWidth="1"/>
  </cols>
  <sheetData>
    <row r="1" spans="1:10" x14ac:dyDescent="0.3">
      <c r="D1" t="s">
        <v>191</v>
      </c>
    </row>
    <row r="3" spans="1:10" ht="57.6" customHeight="1" x14ac:dyDescent="0.3">
      <c r="A3" s="18" t="s">
        <v>1</v>
      </c>
      <c r="B3" s="19" t="s">
        <v>192</v>
      </c>
      <c r="C3" s="23" t="s">
        <v>193</v>
      </c>
      <c r="D3" s="23" t="s">
        <v>194</v>
      </c>
      <c r="E3" s="23" t="s">
        <v>195</v>
      </c>
      <c r="F3" s="25" t="s">
        <v>196</v>
      </c>
      <c r="G3" s="25" t="s">
        <v>197</v>
      </c>
      <c r="H3" s="26" t="s">
        <v>198</v>
      </c>
      <c r="I3" s="26" t="s">
        <v>199</v>
      </c>
      <c r="J3" s="23" t="s">
        <v>200</v>
      </c>
    </row>
    <row r="4" spans="1:10" ht="15.6" x14ac:dyDescent="0.3">
      <c r="A4" s="2">
        <v>1</v>
      </c>
      <c r="B4" s="2" t="s">
        <v>201</v>
      </c>
      <c r="C4" s="2" t="s">
        <v>203</v>
      </c>
      <c r="D4" s="2">
        <v>3</v>
      </c>
      <c r="E4" s="2">
        <v>6</v>
      </c>
      <c r="F4" s="2">
        <f>E4-D4</f>
        <v>3</v>
      </c>
      <c r="G4" s="2">
        <f>IF(LEFT(C4,2)="L1",30000,IF(LEFT(C4,2)="L2",25000,IF(LEFT(C4,2)="L3",20000)))</f>
        <v>30000</v>
      </c>
      <c r="H4" s="2">
        <f>F4*G4</f>
        <v>90000</v>
      </c>
      <c r="I4" s="2">
        <f>IF(RIGHT(C4,2)="QT",15000,IF(RIGHT(C4,2)="BD",12000,IF(RIGHT(C4,2)="TL",10000)))</f>
        <v>12000</v>
      </c>
      <c r="J4" s="2">
        <f>H4+I4</f>
        <v>102000</v>
      </c>
    </row>
    <row r="5" spans="1:10" ht="15.6" x14ac:dyDescent="0.3">
      <c r="A5" s="2">
        <f>A4+1</f>
        <v>2</v>
      </c>
      <c r="B5" s="2" t="s">
        <v>10</v>
      </c>
      <c r="C5" s="2" t="s">
        <v>203</v>
      </c>
      <c r="D5" s="2">
        <v>5</v>
      </c>
      <c r="E5" s="2">
        <v>8</v>
      </c>
      <c r="F5" s="2">
        <f t="shared" ref="F5:F13" si="0">E5-D5</f>
        <v>3</v>
      </c>
      <c r="G5" s="2">
        <f t="shared" ref="G5:G13" si="1">IF(LEFT(C5,2)="L1",30000,IF(LEFT(C5,2)="L2",25000,IF(LEFT(C5,2)="L3",20000)))</f>
        <v>30000</v>
      </c>
      <c r="H5" s="2">
        <f t="shared" ref="H5:H13" si="2">F5*G5</f>
        <v>90000</v>
      </c>
      <c r="I5" s="2">
        <f t="shared" ref="I5:I13" si="3">IF(RIGHT(C5,2)="QT",15000,IF(RIGHT(C5,2)="BD",12000,IF(RIGHT(C5,2)="TL",10000)))</f>
        <v>12000</v>
      </c>
      <c r="J5" s="2">
        <f t="shared" ref="J5:J13" si="4">H5+I5</f>
        <v>102000</v>
      </c>
    </row>
    <row r="6" spans="1:10" ht="15.6" x14ac:dyDescent="0.3">
      <c r="A6" s="2">
        <f t="shared" ref="A6:A13" si="5">A5+1</f>
        <v>3</v>
      </c>
      <c r="B6" s="2" t="s">
        <v>11</v>
      </c>
      <c r="C6" s="2" t="s">
        <v>204</v>
      </c>
      <c r="D6" s="2">
        <v>12</v>
      </c>
      <c r="E6" s="2">
        <v>14</v>
      </c>
      <c r="F6" s="2">
        <f t="shared" si="0"/>
        <v>2</v>
      </c>
      <c r="G6" s="2">
        <f t="shared" si="1"/>
        <v>25000</v>
      </c>
      <c r="H6" s="2">
        <f t="shared" si="2"/>
        <v>50000</v>
      </c>
      <c r="I6" s="2">
        <f t="shared" si="3"/>
        <v>10000</v>
      </c>
      <c r="J6" s="2">
        <f t="shared" si="4"/>
        <v>60000</v>
      </c>
    </row>
    <row r="7" spans="1:10" ht="15.6" x14ac:dyDescent="0.3">
      <c r="A7" s="2">
        <f t="shared" si="5"/>
        <v>4</v>
      </c>
      <c r="B7" s="2" t="s">
        <v>202</v>
      </c>
      <c r="C7" s="2" t="s">
        <v>205</v>
      </c>
      <c r="D7" s="2">
        <v>15</v>
      </c>
      <c r="E7" s="2">
        <v>20</v>
      </c>
      <c r="F7" s="2">
        <f t="shared" si="0"/>
        <v>5</v>
      </c>
      <c r="G7" s="2">
        <f t="shared" si="1"/>
        <v>20000</v>
      </c>
      <c r="H7" s="2">
        <f t="shared" si="2"/>
        <v>100000</v>
      </c>
      <c r="I7" s="2">
        <f t="shared" si="3"/>
        <v>15000</v>
      </c>
      <c r="J7" s="2">
        <f t="shared" si="4"/>
        <v>115000</v>
      </c>
    </row>
    <row r="8" spans="1:10" ht="15.6" x14ac:dyDescent="0.3">
      <c r="A8" s="2">
        <f t="shared" si="5"/>
        <v>5</v>
      </c>
      <c r="B8" s="2" t="s">
        <v>13</v>
      </c>
      <c r="C8" s="2" t="s">
        <v>204</v>
      </c>
      <c r="D8" s="2">
        <v>16</v>
      </c>
      <c r="E8" s="2">
        <v>22</v>
      </c>
      <c r="F8" s="2">
        <f t="shared" si="0"/>
        <v>6</v>
      </c>
      <c r="G8" s="2">
        <f t="shared" si="1"/>
        <v>25000</v>
      </c>
      <c r="H8" s="2">
        <f t="shared" si="2"/>
        <v>150000</v>
      </c>
      <c r="I8" s="2">
        <f t="shared" si="3"/>
        <v>10000</v>
      </c>
      <c r="J8" s="2">
        <f t="shared" si="4"/>
        <v>160000</v>
      </c>
    </row>
    <row r="9" spans="1:10" ht="15.6" x14ac:dyDescent="0.3">
      <c r="A9" s="2">
        <f t="shared" si="5"/>
        <v>6</v>
      </c>
      <c r="B9" s="2" t="s">
        <v>14</v>
      </c>
      <c r="C9" s="2" t="s">
        <v>205</v>
      </c>
      <c r="D9" s="2">
        <v>18</v>
      </c>
      <c r="E9" s="2">
        <v>24</v>
      </c>
      <c r="F9" s="2">
        <f t="shared" si="0"/>
        <v>6</v>
      </c>
      <c r="G9" s="2">
        <f t="shared" si="1"/>
        <v>20000</v>
      </c>
      <c r="H9" s="2">
        <f t="shared" si="2"/>
        <v>120000</v>
      </c>
      <c r="I9" s="2">
        <f t="shared" si="3"/>
        <v>15000</v>
      </c>
      <c r="J9" s="2">
        <f t="shared" si="4"/>
        <v>135000</v>
      </c>
    </row>
    <row r="10" spans="1:10" ht="15.6" x14ac:dyDescent="0.3">
      <c r="A10" s="2">
        <f t="shared" si="5"/>
        <v>7</v>
      </c>
      <c r="B10" s="2" t="s">
        <v>37</v>
      </c>
      <c r="C10" s="2" t="s">
        <v>206</v>
      </c>
      <c r="D10" s="2">
        <v>18</v>
      </c>
      <c r="E10" s="2">
        <v>22</v>
      </c>
      <c r="F10" s="2">
        <f t="shared" si="0"/>
        <v>4</v>
      </c>
      <c r="G10" s="2">
        <f t="shared" si="1"/>
        <v>30000</v>
      </c>
      <c r="H10" s="2">
        <f t="shared" si="2"/>
        <v>120000</v>
      </c>
      <c r="I10" s="2">
        <f t="shared" si="3"/>
        <v>15000</v>
      </c>
      <c r="J10" s="2">
        <f t="shared" si="4"/>
        <v>135000</v>
      </c>
    </row>
    <row r="11" spans="1:10" ht="15.6" x14ac:dyDescent="0.3">
      <c r="A11" s="2">
        <f t="shared" si="5"/>
        <v>8</v>
      </c>
      <c r="B11" s="2" t="s">
        <v>38</v>
      </c>
      <c r="C11" s="2" t="s">
        <v>207</v>
      </c>
      <c r="D11" s="2">
        <v>19</v>
      </c>
      <c r="E11" s="2">
        <v>24</v>
      </c>
      <c r="F11" s="2">
        <f t="shared" si="0"/>
        <v>5</v>
      </c>
      <c r="G11" s="2">
        <f t="shared" si="1"/>
        <v>20000</v>
      </c>
      <c r="H11" s="2">
        <f t="shared" si="2"/>
        <v>100000</v>
      </c>
      <c r="I11" s="2">
        <f t="shared" si="3"/>
        <v>12000</v>
      </c>
      <c r="J11" s="2">
        <f t="shared" si="4"/>
        <v>112000</v>
      </c>
    </row>
    <row r="12" spans="1:10" ht="15.6" x14ac:dyDescent="0.3">
      <c r="A12" s="2">
        <f t="shared" si="5"/>
        <v>9</v>
      </c>
      <c r="B12" s="2" t="s">
        <v>81</v>
      </c>
      <c r="C12" s="2" t="s">
        <v>208</v>
      </c>
      <c r="D12" s="2">
        <v>19</v>
      </c>
      <c r="E12" s="2">
        <v>22</v>
      </c>
      <c r="F12" s="2">
        <f t="shared" si="0"/>
        <v>3</v>
      </c>
      <c r="G12" s="2">
        <f t="shared" si="1"/>
        <v>25000</v>
      </c>
      <c r="H12" s="2">
        <f t="shared" si="2"/>
        <v>75000</v>
      </c>
      <c r="I12" s="2">
        <f t="shared" si="3"/>
        <v>15000</v>
      </c>
      <c r="J12" s="2">
        <f t="shared" si="4"/>
        <v>90000</v>
      </c>
    </row>
    <row r="13" spans="1:10" ht="15.6" x14ac:dyDescent="0.3">
      <c r="A13" s="2">
        <f t="shared" si="5"/>
        <v>10</v>
      </c>
      <c r="B13" s="2" t="s">
        <v>82</v>
      </c>
      <c r="C13" s="2" t="s">
        <v>209</v>
      </c>
      <c r="D13" s="2">
        <v>20</v>
      </c>
      <c r="E13" s="2">
        <v>23</v>
      </c>
      <c r="F13" s="2">
        <f t="shared" si="0"/>
        <v>3</v>
      </c>
      <c r="G13" s="2">
        <f t="shared" si="1"/>
        <v>30000</v>
      </c>
      <c r="H13" s="2">
        <f t="shared" si="2"/>
        <v>90000</v>
      </c>
      <c r="I13" s="2">
        <f t="shared" si="3"/>
        <v>10000</v>
      </c>
      <c r="J13" s="2">
        <f t="shared" si="4"/>
        <v>100000</v>
      </c>
    </row>
    <row r="14" spans="1:10" ht="15.6" x14ac:dyDescent="0.3">
      <c r="A14" s="66" t="s">
        <v>21</v>
      </c>
      <c r="B14" s="67"/>
      <c r="C14" s="67"/>
      <c r="D14" s="67"/>
      <c r="E14" s="68"/>
      <c r="F14" s="21"/>
      <c r="G14" s="21">
        <f>SUM(G4:G13)</f>
        <v>255000</v>
      </c>
      <c r="H14" s="21"/>
      <c r="I14" s="21"/>
      <c r="J14" s="21"/>
    </row>
    <row r="16" spans="1:10" x14ac:dyDescent="0.3">
      <c r="A16" s="17" t="s">
        <v>46</v>
      </c>
    </row>
    <row r="17" spans="1:1" x14ac:dyDescent="0.3">
      <c r="A17" s="27" t="s">
        <v>210</v>
      </c>
    </row>
    <row r="18" spans="1:1" x14ac:dyDescent="0.3">
      <c r="A18" s="27" t="s">
        <v>211</v>
      </c>
    </row>
    <row r="19" spans="1:1" ht="15.6" x14ac:dyDescent="0.3">
      <c r="A19" s="24" t="s">
        <v>212</v>
      </c>
    </row>
    <row r="20" spans="1:1" ht="15.6" x14ac:dyDescent="0.3">
      <c r="A20" s="24" t="s">
        <v>213</v>
      </c>
    </row>
    <row r="21" spans="1:1" ht="15.6" x14ac:dyDescent="0.3">
      <c r="A21" s="24" t="s">
        <v>214</v>
      </c>
    </row>
    <row r="22" spans="1:1" x14ac:dyDescent="0.3">
      <c r="A22" s="27" t="s">
        <v>215</v>
      </c>
    </row>
    <row r="23" spans="1:1" x14ac:dyDescent="0.3">
      <c r="A23" s="27" t="s">
        <v>216</v>
      </c>
    </row>
    <row r="24" spans="1:1" ht="15.6" x14ac:dyDescent="0.3">
      <c r="A24" s="24" t="s">
        <v>217</v>
      </c>
    </row>
    <row r="25" spans="1:1" ht="15.6" x14ac:dyDescent="0.3">
      <c r="A25" s="24" t="s">
        <v>218</v>
      </c>
    </row>
    <row r="26" spans="1:1" ht="15.6" x14ac:dyDescent="0.3">
      <c r="A26" s="24" t="s">
        <v>219</v>
      </c>
    </row>
    <row r="27" spans="1:1" x14ac:dyDescent="0.3">
      <c r="A27" s="27" t="s">
        <v>220</v>
      </c>
    </row>
  </sheetData>
  <mergeCells count="1">
    <mergeCell ref="A14:E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C6AB-C6DD-401E-9628-3847504E13AE}">
  <dimension ref="A1:I26"/>
  <sheetViews>
    <sheetView zoomScale="80" zoomScaleNormal="80" workbookViewId="0">
      <selection activeCell="G14" sqref="G14"/>
    </sheetView>
  </sheetViews>
  <sheetFormatPr defaultRowHeight="15.6" x14ac:dyDescent="0.3"/>
  <cols>
    <col min="1" max="1" width="8.88671875" style="1"/>
    <col min="2" max="2" width="21.33203125" style="1" customWidth="1"/>
    <col min="3" max="5" width="8.88671875" style="1"/>
    <col min="6" max="6" width="11.6640625" style="1" customWidth="1"/>
    <col min="7" max="7" width="12.6640625" style="1" customWidth="1"/>
    <col min="8" max="8" width="12.5546875" style="1" customWidth="1"/>
    <col min="9" max="9" width="14" style="1" customWidth="1"/>
    <col min="10" max="16384" width="8.88671875" style="1"/>
  </cols>
  <sheetData>
    <row r="1" spans="1:9" x14ac:dyDescent="0.3">
      <c r="D1" s="1" t="s">
        <v>221</v>
      </c>
    </row>
    <row r="3" spans="1:9" ht="46.8" x14ac:dyDescent="0.3">
      <c r="A3" s="23" t="s">
        <v>222</v>
      </c>
      <c r="B3" s="19" t="s">
        <v>223</v>
      </c>
      <c r="C3" s="23" t="s">
        <v>224</v>
      </c>
      <c r="D3" s="23" t="s">
        <v>225</v>
      </c>
      <c r="E3" s="23" t="s">
        <v>226</v>
      </c>
      <c r="F3" s="23" t="s">
        <v>227</v>
      </c>
      <c r="G3" s="19" t="s">
        <v>228</v>
      </c>
      <c r="H3" s="19" t="s">
        <v>229</v>
      </c>
      <c r="I3" s="19" t="s">
        <v>230</v>
      </c>
    </row>
    <row r="4" spans="1:9" x14ac:dyDescent="0.3">
      <c r="A4" s="2" t="s">
        <v>231</v>
      </c>
      <c r="B4" s="2" t="s">
        <v>166</v>
      </c>
      <c r="C4" s="2" t="s">
        <v>244</v>
      </c>
      <c r="D4" s="2">
        <v>210</v>
      </c>
      <c r="E4" s="2">
        <v>280</v>
      </c>
      <c r="F4" s="2">
        <f>E4-D4</f>
        <v>70</v>
      </c>
      <c r="G4" s="2">
        <f>IF(LEFT(C4,2)="KD",500,IF(LEFT(C4,2)="CQ",800,1000))</f>
        <v>800</v>
      </c>
      <c r="H4" s="2">
        <f>IF(MID(A4,2,2)="K1",1000,IF(MID(A4,2,2)="K2",1500,IF(MID(A4,2,2)="K3",2000)))</f>
        <v>1000</v>
      </c>
      <c r="I4" s="2">
        <f>G4*F4+H4</f>
        <v>57000</v>
      </c>
    </row>
    <row r="5" spans="1:9" x14ac:dyDescent="0.3">
      <c r="A5" s="2" t="s">
        <v>232</v>
      </c>
      <c r="B5" s="2" t="s">
        <v>167</v>
      </c>
      <c r="C5" s="2" t="s">
        <v>245</v>
      </c>
      <c r="D5" s="2">
        <v>220</v>
      </c>
      <c r="E5" s="2">
        <v>330</v>
      </c>
      <c r="F5" s="2">
        <f t="shared" ref="F5:F13" si="0">E5-D5</f>
        <v>110</v>
      </c>
      <c r="G5" s="2">
        <f t="shared" ref="G5:G13" si="1">IF(LEFT(C5,2)="KD",500,IF(LEFT(C5,2)="CQ",800,1000))</f>
        <v>500</v>
      </c>
      <c r="H5" s="2">
        <f t="shared" ref="H5:H13" si="2">IF(MID(A5,2,2)="K1",1000,IF(MID(A5,2,2)="K2",1500,IF(MID(A5,2,2)="K3",2000)))</f>
        <v>1500</v>
      </c>
      <c r="I5" s="2">
        <f t="shared" ref="I5:I13" si="3">G5*F5+H5</f>
        <v>56500</v>
      </c>
    </row>
    <row r="6" spans="1:9" x14ac:dyDescent="0.3">
      <c r="A6" s="2" t="s">
        <v>233</v>
      </c>
      <c r="B6" s="2" t="s">
        <v>168</v>
      </c>
      <c r="C6" s="2" t="s">
        <v>246</v>
      </c>
      <c r="D6" s="2">
        <v>270</v>
      </c>
      <c r="E6" s="2">
        <v>300</v>
      </c>
      <c r="F6" s="2">
        <f t="shared" si="0"/>
        <v>30</v>
      </c>
      <c r="G6" s="2">
        <f t="shared" si="1"/>
        <v>1000</v>
      </c>
      <c r="H6" s="2">
        <f t="shared" si="2"/>
        <v>1500</v>
      </c>
      <c r="I6" s="2">
        <f t="shared" si="3"/>
        <v>31500</v>
      </c>
    </row>
    <row r="7" spans="1:9" x14ac:dyDescent="0.3">
      <c r="A7" s="2" t="s">
        <v>234</v>
      </c>
      <c r="B7" s="2" t="s">
        <v>169</v>
      </c>
      <c r="C7" s="2" t="s">
        <v>247</v>
      </c>
      <c r="D7" s="2">
        <v>270</v>
      </c>
      <c r="E7" s="2">
        <v>350</v>
      </c>
      <c r="F7" s="2">
        <f t="shared" si="0"/>
        <v>80</v>
      </c>
      <c r="G7" s="2">
        <f t="shared" si="1"/>
        <v>1000</v>
      </c>
      <c r="H7" s="2">
        <f t="shared" si="2"/>
        <v>2000</v>
      </c>
      <c r="I7" s="2">
        <f t="shared" si="3"/>
        <v>82000</v>
      </c>
    </row>
    <row r="8" spans="1:9" x14ac:dyDescent="0.3">
      <c r="A8" s="2" t="s">
        <v>235</v>
      </c>
      <c r="B8" s="2" t="s">
        <v>241</v>
      </c>
      <c r="C8" s="2" t="s">
        <v>244</v>
      </c>
      <c r="D8" s="2">
        <v>300</v>
      </c>
      <c r="E8" s="2">
        <v>340</v>
      </c>
      <c r="F8" s="2">
        <f t="shared" si="0"/>
        <v>40</v>
      </c>
      <c r="G8" s="2">
        <f t="shared" si="1"/>
        <v>800</v>
      </c>
      <c r="H8" s="2">
        <f t="shared" si="2"/>
        <v>1500</v>
      </c>
      <c r="I8" s="2">
        <f t="shared" si="3"/>
        <v>33500</v>
      </c>
    </row>
    <row r="9" spans="1:9" x14ac:dyDescent="0.3">
      <c r="A9" s="2" t="s">
        <v>236</v>
      </c>
      <c r="B9" s="2" t="s">
        <v>171</v>
      </c>
      <c r="C9" s="2" t="s">
        <v>248</v>
      </c>
      <c r="D9" s="2">
        <v>280</v>
      </c>
      <c r="E9" s="2">
        <v>330</v>
      </c>
      <c r="F9" s="2">
        <f t="shared" si="0"/>
        <v>50</v>
      </c>
      <c r="G9" s="2">
        <f t="shared" si="1"/>
        <v>1000</v>
      </c>
      <c r="H9" s="2">
        <f t="shared" si="2"/>
        <v>1000</v>
      </c>
      <c r="I9" s="2">
        <f t="shared" si="3"/>
        <v>51000</v>
      </c>
    </row>
    <row r="10" spans="1:9" x14ac:dyDescent="0.3">
      <c r="A10" s="2" t="s">
        <v>237</v>
      </c>
      <c r="B10" s="2" t="s">
        <v>172</v>
      </c>
      <c r="C10" s="2" t="s">
        <v>249</v>
      </c>
      <c r="D10" s="2">
        <v>210</v>
      </c>
      <c r="E10" s="2">
        <v>340</v>
      </c>
      <c r="F10" s="2">
        <f t="shared" si="0"/>
        <v>130</v>
      </c>
      <c r="G10" s="2">
        <f t="shared" si="1"/>
        <v>500</v>
      </c>
      <c r="H10" s="2">
        <f t="shared" si="2"/>
        <v>2000</v>
      </c>
      <c r="I10" s="2">
        <f t="shared" si="3"/>
        <v>67000</v>
      </c>
    </row>
    <row r="11" spans="1:9" x14ac:dyDescent="0.3">
      <c r="A11" s="2" t="s">
        <v>238</v>
      </c>
      <c r="B11" s="2" t="s">
        <v>242</v>
      </c>
      <c r="C11" s="2" t="s">
        <v>250</v>
      </c>
      <c r="D11" s="2">
        <v>230</v>
      </c>
      <c r="E11" s="2">
        <v>280</v>
      </c>
      <c r="F11" s="2">
        <f t="shared" si="0"/>
        <v>50</v>
      </c>
      <c r="G11" s="2">
        <f t="shared" si="1"/>
        <v>1000</v>
      </c>
      <c r="H11" s="2">
        <f t="shared" si="2"/>
        <v>1500</v>
      </c>
      <c r="I11" s="2">
        <f t="shared" si="3"/>
        <v>51500</v>
      </c>
    </row>
    <row r="12" spans="1:9" x14ac:dyDescent="0.3">
      <c r="A12" s="2" t="s">
        <v>239</v>
      </c>
      <c r="B12" s="2" t="s">
        <v>174</v>
      </c>
      <c r="C12" s="2" t="s">
        <v>251</v>
      </c>
      <c r="D12" s="2">
        <v>260</v>
      </c>
      <c r="E12" s="2">
        <v>320</v>
      </c>
      <c r="F12" s="2">
        <f t="shared" si="0"/>
        <v>60</v>
      </c>
      <c r="G12" s="2">
        <f t="shared" si="1"/>
        <v>1000</v>
      </c>
      <c r="H12" s="2">
        <f t="shared" si="2"/>
        <v>1000</v>
      </c>
      <c r="I12" s="2">
        <f t="shared" si="3"/>
        <v>61000</v>
      </c>
    </row>
    <row r="13" spans="1:9" x14ac:dyDescent="0.3">
      <c r="A13" s="2" t="s">
        <v>240</v>
      </c>
      <c r="B13" s="2" t="s">
        <v>243</v>
      </c>
      <c r="C13" s="2" t="s">
        <v>250</v>
      </c>
      <c r="D13" s="2">
        <v>270</v>
      </c>
      <c r="E13" s="2">
        <v>340</v>
      </c>
      <c r="F13" s="2">
        <f t="shared" si="0"/>
        <v>70</v>
      </c>
      <c r="G13" s="2">
        <f t="shared" si="1"/>
        <v>1000</v>
      </c>
      <c r="H13" s="2">
        <f t="shared" si="2"/>
        <v>2000</v>
      </c>
      <c r="I13" s="2">
        <f t="shared" si="3"/>
        <v>72000</v>
      </c>
    </row>
    <row r="14" spans="1:9" x14ac:dyDescent="0.3">
      <c r="A14" s="66" t="s">
        <v>21</v>
      </c>
      <c r="B14" s="67"/>
      <c r="C14" s="67"/>
      <c r="D14" s="67"/>
      <c r="E14" s="68"/>
      <c r="F14" s="2">
        <f>SUM(F4:F13)</f>
        <v>690</v>
      </c>
      <c r="G14" s="2"/>
      <c r="H14" s="2"/>
      <c r="I14" s="2"/>
    </row>
    <row r="16" spans="1:9" x14ac:dyDescent="0.3">
      <c r="A16" s="14" t="s">
        <v>46</v>
      </c>
      <c r="H16" s="1" t="s">
        <v>262</v>
      </c>
    </row>
    <row r="17" spans="1:1" x14ac:dyDescent="0.3">
      <c r="A17" s="27" t="s">
        <v>252</v>
      </c>
    </row>
    <row r="18" spans="1:1" x14ac:dyDescent="0.3">
      <c r="A18" s="27" t="s">
        <v>253</v>
      </c>
    </row>
    <row r="19" spans="1:1" x14ac:dyDescent="0.3">
      <c r="A19" s="14" t="s">
        <v>254</v>
      </c>
    </row>
    <row r="20" spans="1:1" x14ac:dyDescent="0.3">
      <c r="A20" s="14" t="s">
        <v>255</v>
      </c>
    </row>
    <row r="21" spans="1:1" x14ac:dyDescent="0.3">
      <c r="A21" s="14" t="s">
        <v>256</v>
      </c>
    </row>
    <row r="22" spans="1:1" x14ac:dyDescent="0.3">
      <c r="A22" s="27" t="s">
        <v>257</v>
      </c>
    </row>
    <row r="23" spans="1:1" x14ac:dyDescent="0.3">
      <c r="A23" s="14" t="s">
        <v>258</v>
      </c>
    </row>
    <row r="24" spans="1:1" x14ac:dyDescent="0.3">
      <c r="A24" s="14" t="s">
        <v>259</v>
      </c>
    </row>
    <row r="25" spans="1:1" x14ac:dyDescent="0.3">
      <c r="A25" s="14" t="s">
        <v>260</v>
      </c>
    </row>
    <row r="26" spans="1:1" x14ac:dyDescent="0.3">
      <c r="A26" s="14" t="s">
        <v>261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B1gui</vt:lpstr>
      <vt:lpstr>Sheet4</vt:lpstr>
      <vt:lpstr>th5</vt:lpstr>
      <vt:lpstr>th6</vt:lpstr>
      <vt:lpstr>th7</vt:lpstr>
      <vt:lpstr>th8</vt:lpstr>
      <vt:lpstr>th9</vt:lpstr>
      <vt:lpstr>th10</vt:lpstr>
      <vt:lpstr>bai11</vt:lpstr>
      <vt:lpstr>bai12</vt:lpstr>
      <vt:lpstr>B13</vt:lpstr>
      <vt:lpstr>B14</vt:lpstr>
      <vt:lpstr>B15</vt:lpstr>
      <vt:lpstr>B18</vt:lpstr>
      <vt:lpstr>B19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NGHIÊM THỊ VÂN ANH</dc:creator>
  <cp:lastModifiedBy>NGHIÊM THỊ VÂN ANH</cp:lastModifiedBy>
  <dcterms:created xsi:type="dcterms:W3CDTF">2023-10-12T08:53:54Z</dcterms:created>
  <dcterms:modified xsi:type="dcterms:W3CDTF">2023-10-22T08:08:32Z</dcterms:modified>
</cp:coreProperties>
</file>