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16" i="2" l="1"/>
  <c r="C16" i="2"/>
  <c r="J4" i="2"/>
  <c r="J5" i="2"/>
  <c r="J6" i="2"/>
  <c r="J7" i="2"/>
  <c r="J8" i="2"/>
  <c r="J9" i="2"/>
  <c r="J10" i="2"/>
  <c r="J3" i="2"/>
  <c r="D13" i="2"/>
  <c r="E13" i="2"/>
  <c r="C13" i="2"/>
  <c r="I4" i="2"/>
  <c r="I5" i="2"/>
  <c r="I6" i="2"/>
  <c r="I7" i="2"/>
  <c r="I8" i="2"/>
  <c r="I9" i="2"/>
  <c r="I10" i="2"/>
  <c r="I3" i="2"/>
  <c r="F4" i="2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C4" i="2"/>
  <c r="C5" i="2"/>
  <c r="C6" i="2"/>
  <c r="C7" i="2"/>
  <c r="C8" i="2"/>
  <c r="C9" i="2"/>
  <c r="C10" i="2"/>
  <c r="C3" i="2"/>
  <c r="F3" i="2"/>
  <c r="F5" i="2"/>
  <c r="F6" i="2"/>
  <c r="F7" i="2"/>
  <c r="F8" i="2"/>
  <c r="F9" i="2"/>
  <c r="F10" i="2"/>
  <c r="N10" i="1"/>
  <c r="M10" i="1"/>
  <c r="N11" i="1"/>
  <c r="M11" i="1"/>
  <c r="L11" i="1"/>
  <c r="J5" i="1"/>
  <c r="J6" i="1"/>
  <c r="J7" i="1"/>
  <c r="J8" i="1"/>
  <c r="J9" i="1"/>
  <c r="J10" i="1"/>
  <c r="J11" i="1"/>
  <c r="J12" i="1"/>
  <c r="J13" i="1"/>
  <c r="J14" i="1"/>
  <c r="J15" i="1"/>
  <c r="J4" i="1"/>
  <c r="L10" i="1"/>
  <c r="H5" i="1"/>
  <c r="H6" i="1"/>
  <c r="H7" i="1"/>
  <c r="H8" i="1"/>
  <c r="H9" i="1"/>
  <c r="H10" i="1"/>
  <c r="H11" i="1"/>
  <c r="H12" i="1"/>
  <c r="H13" i="1"/>
  <c r="H14" i="1"/>
  <c r="H15" i="1"/>
  <c r="H4" i="1"/>
  <c r="I5" i="1"/>
  <c r="I6" i="1"/>
  <c r="I7" i="1"/>
  <c r="I8" i="1"/>
  <c r="I9" i="1"/>
  <c r="I10" i="1"/>
  <c r="I11" i="1"/>
  <c r="I12" i="1"/>
  <c r="I13" i="1"/>
  <c r="I14" i="1"/>
  <c r="I15" i="1"/>
  <c r="I4" i="1"/>
  <c r="G5" i="1"/>
  <c r="G6" i="1"/>
  <c r="G7" i="1"/>
  <c r="G8" i="1"/>
  <c r="G9" i="1"/>
  <c r="G10" i="1"/>
  <c r="G11" i="1"/>
  <c r="G12" i="1"/>
  <c r="G13" i="1"/>
  <c r="G14" i="1"/>
  <c r="G15" i="1"/>
  <c r="G4" i="1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<sst xmlns="http://schemas.openxmlformats.org/spreadsheetml/2006/main" count="102" uniqueCount="62">
  <si>
    <t>Công ty du lịch ABC</t>
  </si>
  <si>
    <t>STT</t>
  </si>
  <si>
    <t>Họ lót</t>
  </si>
  <si>
    <t>Tên</t>
  </si>
  <si>
    <t>Mã DL</t>
  </si>
  <si>
    <t>Tên Địa phương</t>
  </si>
  <si>
    <t>Giá vé</t>
  </si>
  <si>
    <t>Chi phí</t>
  </si>
  <si>
    <t>Tổng cộng</t>
  </si>
  <si>
    <t>VTA</t>
  </si>
  <si>
    <t>NTB</t>
  </si>
  <si>
    <t>ĐLB</t>
  </si>
  <si>
    <t>ĐLA</t>
  </si>
  <si>
    <t>VTB</t>
  </si>
  <si>
    <t>NTA</t>
  </si>
  <si>
    <t>Bảng 1</t>
  </si>
  <si>
    <t>DANH SÁCH KHÁCH DU LỊCH</t>
  </si>
  <si>
    <t>Mã ĐP</t>
  </si>
  <si>
    <t>VT</t>
  </si>
  <si>
    <t>NT</t>
  </si>
  <si>
    <t>ĐL</t>
  </si>
  <si>
    <t>Tên ĐP</t>
  </si>
  <si>
    <t>Vũng Tàu</t>
  </si>
  <si>
    <t>Nha Trang</t>
  </si>
  <si>
    <t>Đà Lạt</t>
  </si>
  <si>
    <t>Chi Phí</t>
  </si>
  <si>
    <t>A</t>
  </si>
  <si>
    <t>B</t>
  </si>
  <si>
    <t>Dùng hàm  iNDEX+MATCH</t>
  </si>
  <si>
    <t>Tính doanh thu (Câu 7.5)</t>
  </si>
  <si>
    <t>ĐP</t>
  </si>
  <si>
    <t>Doanh Thu</t>
  </si>
  <si>
    <t>Mã</t>
  </si>
  <si>
    <t>TT</t>
  </si>
  <si>
    <t>Mã hàng</t>
  </si>
  <si>
    <t>Tên hàng</t>
  </si>
  <si>
    <t>ngày bán</t>
  </si>
  <si>
    <t>Số lượng</t>
  </si>
  <si>
    <t>Trị giá</t>
  </si>
  <si>
    <t>Thuế</t>
  </si>
  <si>
    <t>Huê hồng</t>
  </si>
  <si>
    <t>Thu</t>
  </si>
  <si>
    <t>thời điểm</t>
  </si>
  <si>
    <t>TV</t>
  </si>
  <si>
    <t>TL</t>
  </si>
  <si>
    <t>MG</t>
  </si>
  <si>
    <t>Bảng 2</t>
  </si>
  <si>
    <t>Mã Hàng</t>
  </si>
  <si>
    <t>Ti vi</t>
  </si>
  <si>
    <t>Tủ lạnh</t>
  </si>
  <si>
    <t>Máy giặt</t>
  </si>
  <si>
    <t>Tỉ lệ thuế</t>
  </si>
  <si>
    <t>Doanh thu</t>
  </si>
  <si>
    <t>Tháng</t>
  </si>
  <si>
    <t>Doanh thu theo thời điểm</t>
  </si>
  <si>
    <t>Doanh thu tổng</t>
  </si>
  <si>
    <t>Tháng 10</t>
  </si>
  <si>
    <t>Tháng 11</t>
  </si>
  <si>
    <t>Tháng 12</t>
  </si>
  <si>
    <t>TV-tháng 10</t>
  </si>
  <si>
    <t>TV-tháng 11</t>
  </si>
  <si>
    <t>TV-tháng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</si>
</sst>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165" fontId="4" fillId="0" borderId="1" xfId="0" applyNumberFormat="1" applyFont="1" applyBorder="1"/>
    <xf numFmtId="3" fontId="4" fillId="0" borderId="1" xfId="0" applyNumberFormat="1" applyFont="1" applyBorder="1"/>
    <xf numFmtId="14" fontId="4" fillId="0" borderId="1" xfId="0" applyNumberFormat="1" applyFont="1" applyBorder="1"/>
    <xf numFmtId="9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D3" workbookViewId="0">
      <selection activeCell="H16" sqref="H16"/>
    </sheetView>
  </sheetViews>
  <sheetFormatPr defaultRowHeight="21" x14ac:dyDescent="0.35"/>
  <cols>
    <col min="1" max="1" width="7.7109375" style="1" customWidth="1"/>
    <col min="2" max="4" width="9.140625" style="1"/>
    <col min="5" max="5" width="21.140625" style="1" bestFit="1" customWidth="1"/>
    <col min="6" max="6" width="10.85546875" style="1" customWidth="1"/>
    <col min="7" max="7" width="18.85546875" style="1" customWidth="1"/>
    <col min="8" max="8" width="14" style="1" bestFit="1" customWidth="1"/>
    <col min="9" max="9" width="20.42578125" style="1" customWidth="1"/>
    <col min="10" max="10" width="12.140625" style="1" customWidth="1"/>
    <col min="11" max="11" width="15.42578125" style="1" customWidth="1"/>
    <col min="12" max="12" width="14" style="1" bestFit="1" customWidth="1"/>
    <col min="13" max="13" width="17.7109375" style="1" customWidth="1"/>
    <col min="14" max="14" width="13.5703125" style="1" customWidth="1"/>
    <col min="15" max="15" width="14.42578125" style="1" customWidth="1"/>
    <col min="16" max="16384" width="9.140625" style="1"/>
  </cols>
  <sheetData>
    <row r="1" spans="1:15" x14ac:dyDescent="0.35">
      <c r="A1" s="1" t="s">
        <v>0</v>
      </c>
    </row>
    <row r="2" spans="1:15" x14ac:dyDescent="0.35">
      <c r="A2" s="3" t="s">
        <v>16</v>
      </c>
      <c r="B2" s="3"/>
      <c r="C2" s="3"/>
      <c r="D2" s="3"/>
      <c r="E2" s="3"/>
      <c r="F2" s="3"/>
      <c r="G2" s="3"/>
      <c r="H2" s="3"/>
      <c r="K2" s="1" t="s">
        <v>15</v>
      </c>
      <c r="N2" s="3" t="s">
        <v>25</v>
      </c>
      <c r="O2" s="3"/>
    </row>
    <row r="3" spans="1:15" ht="42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28</v>
      </c>
      <c r="J3" s="6" t="s">
        <v>32</v>
      </c>
      <c r="K3" s="4" t="s">
        <v>17</v>
      </c>
      <c r="L3" s="4" t="s">
        <v>21</v>
      </c>
      <c r="M3" s="4" t="s">
        <v>6</v>
      </c>
      <c r="N3" s="4" t="s">
        <v>26</v>
      </c>
      <c r="O3" s="4" t="s">
        <v>27</v>
      </c>
    </row>
    <row r="4" spans="1:15" x14ac:dyDescent="0.35">
      <c r="A4" s="2">
        <v>1</v>
      </c>
      <c r="B4" s="2"/>
      <c r="C4" s="2"/>
      <c r="D4" s="2" t="s">
        <v>9</v>
      </c>
      <c r="E4" s="2" t="str">
        <f>VLOOKUP(LEFT(D4,2),$K$3:$O$6,2,0)</f>
        <v>Vũng Tàu</v>
      </c>
      <c r="F4" s="2">
        <f>VLOOKUP(LEFT(D4,2),$K$3:$O$6,3,0)</f>
        <v>10000</v>
      </c>
      <c r="G4" s="2">
        <f>VLOOKUP(LEFT(D4,2),$K$3:$O$6,IF(RIGHT(D4,1)="A",4,5),0)</f>
        <v>500000</v>
      </c>
      <c r="H4" s="2">
        <f>F4+G4</f>
        <v>510000</v>
      </c>
      <c r="I4" s="1">
        <f>INDEX($K$3:$O$6,MATCH(LEFT(D4,2),$K$3:$K$6,0),MATCH(RIGHT(D4,1),$K$3:$O$3,0))</f>
        <v>500000</v>
      </c>
      <c r="J4" s="6" t="str">
        <f>LEFT(D4,2)</f>
        <v>VT</v>
      </c>
      <c r="K4" s="2" t="s">
        <v>18</v>
      </c>
      <c r="L4" s="2" t="s">
        <v>22</v>
      </c>
      <c r="M4" s="2">
        <v>10000</v>
      </c>
      <c r="N4" s="2">
        <v>500000</v>
      </c>
      <c r="O4" s="2">
        <v>450000</v>
      </c>
    </row>
    <row r="5" spans="1:15" x14ac:dyDescent="0.35">
      <c r="A5" s="2">
        <v>2</v>
      </c>
      <c r="B5" s="2"/>
      <c r="C5" s="2"/>
      <c r="D5" s="2" t="s">
        <v>10</v>
      </c>
      <c r="E5" s="2" t="str">
        <f t="shared" ref="E5:E15" si="0">VLOOKUP(LEFT(D5,2),$K$3:$O$6,2,0)</f>
        <v>Nha Trang</v>
      </c>
      <c r="F5" s="2">
        <f t="shared" ref="F5:F15" si="1">VLOOKUP(LEFT(D5,2),$K$3:$O$6,3,0)</f>
        <v>30000</v>
      </c>
      <c r="G5" s="2">
        <f t="shared" ref="G5:G15" si="2">VLOOKUP(LEFT(D5,2),$K$3:$O$6,IF(RIGHT(D5,1)="A",4,5),0)</f>
        <v>650000</v>
      </c>
      <c r="H5" s="2">
        <f t="shared" ref="H5:H15" si="3">F5+G5</f>
        <v>680000</v>
      </c>
      <c r="I5" s="1">
        <f t="shared" ref="I5:I15" si="4">INDEX($K$3:$O$6,MATCH(LEFT(D5,2),$K$3:$K$6,0),MATCH(RIGHT(D5,1),$K$3:$O$3,0))</f>
        <v>650000</v>
      </c>
      <c r="J5" s="6" t="str">
        <f t="shared" ref="J5:J15" si="5">LEFT(D5,2)</f>
        <v>NT</v>
      </c>
      <c r="K5" s="2" t="s">
        <v>19</v>
      </c>
      <c r="L5" s="2" t="s">
        <v>23</v>
      </c>
      <c r="M5" s="2">
        <v>30000</v>
      </c>
      <c r="N5" s="2">
        <v>700000</v>
      </c>
      <c r="O5" s="2">
        <v>650000</v>
      </c>
    </row>
    <row r="6" spans="1:15" x14ac:dyDescent="0.35">
      <c r="A6" s="2">
        <v>3</v>
      </c>
      <c r="B6" s="2"/>
      <c r="C6" s="2"/>
      <c r="D6" s="2" t="s">
        <v>11</v>
      </c>
      <c r="E6" s="2" t="str">
        <f t="shared" si="0"/>
        <v>Đà Lạt</v>
      </c>
      <c r="F6" s="2">
        <f t="shared" si="1"/>
        <v>25000</v>
      </c>
      <c r="G6" s="2">
        <f t="shared" si="2"/>
        <v>550000</v>
      </c>
      <c r="H6" s="2">
        <f t="shared" si="3"/>
        <v>575000</v>
      </c>
      <c r="I6" s="1">
        <f t="shared" si="4"/>
        <v>550000</v>
      </c>
      <c r="J6" s="6" t="str">
        <f t="shared" si="5"/>
        <v>ĐL</v>
      </c>
      <c r="K6" s="2" t="s">
        <v>20</v>
      </c>
      <c r="L6" s="2" t="s">
        <v>24</v>
      </c>
      <c r="M6" s="2">
        <v>25000</v>
      </c>
      <c r="N6" s="2">
        <v>600000</v>
      </c>
      <c r="O6" s="2">
        <v>550000</v>
      </c>
    </row>
    <row r="7" spans="1:15" x14ac:dyDescent="0.35">
      <c r="A7" s="2">
        <v>4</v>
      </c>
      <c r="B7" s="2"/>
      <c r="C7" s="2"/>
      <c r="D7" s="2" t="s">
        <v>12</v>
      </c>
      <c r="E7" s="2" t="str">
        <f t="shared" si="0"/>
        <v>Đà Lạt</v>
      </c>
      <c r="F7" s="2">
        <f t="shared" si="1"/>
        <v>25000</v>
      </c>
      <c r="G7" s="2">
        <f t="shared" si="2"/>
        <v>600000</v>
      </c>
      <c r="H7" s="2">
        <f t="shared" si="3"/>
        <v>625000</v>
      </c>
      <c r="I7" s="1">
        <f t="shared" si="4"/>
        <v>600000</v>
      </c>
      <c r="J7" s="6" t="str">
        <f t="shared" si="5"/>
        <v>ĐL</v>
      </c>
    </row>
    <row r="8" spans="1:15" x14ac:dyDescent="0.35">
      <c r="A8" s="2">
        <v>5</v>
      </c>
      <c r="B8" s="2"/>
      <c r="C8" s="2"/>
      <c r="D8" s="2" t="s">
        <v>13</v>
      </c>
      <c r="E8" s="2" t="str">
        <f t="shared" si="0"/>
        <v>Vũng Tàu</v>
      </c>
      <c r="F8" s="2">
        <f t="shared" si="1"/>
        <v>10000</v>
      </c>
      <c r="G8" s="2">
        <f t="shared" si="2"/>
        <v>450000</v>
      </c>
      <c r="H8" s="2">
        <f t="shared" si="3"/>
        <v>460000</v>
      </c>
      <c r="I8" s="1">
        <f t="shared" si="4"/>
        <v>450000</v>
      </c>
      <c r="J8" s="6" t="str">
        <f t="shared" si="5"/>
        <v>VT</v>
      </c>
      <c r="K8" s="1" t="s">
        <v>29</v>
      </c>
    </row>
    <row r="9" spans="1:15" x14ac:dyDescent="0.35">
      <c r="A9" s="2">
        <v>6</v>
      </c>
      <c r="B9" s="2"/>
      <c r="C9" s="2"/>
      <c r="D9" s="2" t="s">
        <v>9</v>
      </c>
      <c r="E9" s="2" t="str">
        <f t="shared" si="0"/>
        <v>Vũng Tàu</v>
      </c>
      <c r="F9" s="2">
        <f t="shared" si="1"/>
        <v>10000</v>
      </c>
      <c r="G9" s="2">
        <f t="shared" si="2"/>
        <v>500000</v>
      </c>
      <c r="H9" s="2">
        <f t="shared" si="3"/>
        <v>510000</v>
      </c>
      <c r="I9" s="1">
        <f t="shared" si="4"/>
        <v>500000</v>
      </c>
      <c r="J9" s="6" t="str">
        <f t="shared" si="5"/>
        <v>VT</v>
      </c>
      <c r="K9" s="2" t="s">
        <v>30</v>
      </c>
      <c r="L9" s="2" t="s">
        <v>18</v>
      </c>
      <c r="M9" s="2" t="s">
        <v>19</v>
      </c>
      <c r="N9" s="2" t="s">
        <v>20</v>
      </c>
    </row>
    <row r="10" spans="1:15" x14ac:dyDescent="0.35">
      <c r="A10" s="2">
        <v>7</v>
      </c>
      <c r="B10" s="2"/>
      <c r="C10" s="2"/>
      <c r="D10" s="2" t="s">
        <v>10</v>
      </c>
      <c r="E10" s="2" t="str">
        <f t="shared" si="0"/>
        <v>Nha Trang</v>
      </c>
      <c r="F10" s="2">
        <f t="shared" si="1"/>
        <v>30000</v>
      </c>
      <c r="G10" s="2">
        <f t="shared" si="2"/>
        <v>650000</v>
      </c>
      <c r="H10" s="2">
        <f t="shared" si="3"/>
        <v>680000</v>
      </c>
      <c r="I10" s="1">
        <f t="shared" si="4"/>
        <v>650000</v>
      </c>
      <c r="J10" s="6" t="str">
        <f t="shared" si="5"/>
        <v>NT</v>
      </c>
      <c r="K10" s="2" t="s">
        <v>31</v>
      </c>
      <c r="L10" s="2">
        <f>SUMIF($E$4:$E$15,"Vũng Tàu",$H$4:$H$15)</f>
        <v>2450000</v>
      </c>
      <c r="M10" s="2">
        <f>SUMIF($E$4:$E$15,"Nha Trang",$H$4:$H$15)</f>
        <v>2090000</v>
      </c>
      <c r="N10" s="2">
        <f>SUMIF($E$4:$E$15,"Đà Lạt",$H$4:$H$15)</f>
        <v>2350000</v>
      </c>
    </row>
    <row r="11" spans="1:15" x14ac:dyDescent="0.35">
      <c r="A11" s="2">
        <v>8</v>
      </c>
      <c r="B11" s="2"/>
      <c r="C11" s="2"/>
      <c r="D11" s="2" t="s">
        <v>13</v>
      </c>
      <c r="E11" s="2" t="str">
        <f t="shared" si="0"/>
        <v>Vũng Tàu</v>
      </c>
      <c r="F11" s="2">
        <f t="shared" si="1"/>
        <v>10000</v>
      </c>
      <c r="G11" s="2">
        <f t="shared" si="2"/>
        <v>450000</v>
      </c>
      <c r="H11" s="2">
        <f t="shared" si="3"/>
        <v>460000</v>
      </c>
      <c r="I11" s="1">
        <f t="shared" si="4"/>
        <v>450000</v>
      </c>
      <c r="J11" s="6" t="str">
        <f t="shared" si="5"/>
        <v>VT</v>
      </c>
      <c r="K11" s="2" t="s">
        <v>31</v>
      </c>
      <c r="L11" s="2">
        <f>SUMIF($J$4:$J$15,L9,$H$4:$H$15)</f>
        <v>2450000</v>
      </c>
      <c r="M11" s="2">
        <f>SUMIF($J$4:$J$15,M9,$H$4:$H$15)</f>
        <v>2090000</v>
      </c>
      <c r="N11" s="2">
        <f>SUMIF($J$4:$J$15,N9,$H$4:$H$15)</f>
        <v>2350000</v>
      </c>
    </row>
    <row r="12" spans="1:15" x14ac:dyDescent="0.35">
      <c r="A12" s="2">
        <v>9</v>
      </c>
      <c r="B12" s="2"/>
      <c r="C12" s="2"/>
      <c r="D12" s="2" t="s">
        <v>11</v>
      </c>
      <c r="E12" s="2" t="str">
        <f t="shared" si="0"/>
        <v>Đà Lạt</v>
      </c>
      <c r="F12" s="2">
        <f t="shared" si="1"/>
        <v>25000</v>
      </c>
      <c r="G12" s="2">
        <f t="shared" si="2"/>
        <v>550000</v>
      </c>
      <c r="H12" s="2">
        <f t="shared" si="3"/>
        <v>575000</v>
      </c>
      <c r="I12" s="1">
        <f t="shared" si="4"/>
        <v>550000</v>
      </c>
      <c r="J12" s="6" t="str">
        <f t="shared" si="5"/>
        <v>ĐL</v>
      </c>
    </row>
    <row r="13" spans="1:15" x14ac:dyDescent="0.35">
      <c r="A13" s="2">
        <v>10</v>
      </c>
      <c r="B13" s="2"/>
      <c r="C13" s="2"/>
      <c r="D13" s="2" t="s">
        <v>14</v>
      </c>
      <c r="E13" s="2" t="str">
        <f t="shared" si="0"/>
        <v>Nha Trang</v>
      </c>
      <c r="F13" s="2">
        <f t="shared" si="1"/>
        <v>30000</v>
      </c>
      <c r="G13" s="2">
        <f t="shared" si="2"/>
        <v>700000</v>
      </c>
      <c r="H13" s="2">
        <f t="shared" si="3"/>
        <v>730000</v>
      </c>
      <c r="I13" s="1">
        <f t="shared" si="4"/>
        <v>700000</v>
      </c>
      <c r="J13" s="6" t="str">
        <f t="shared" si="5"/>
        <v>NT</v>
      </c>
    </row>
    <row r="14" spans="1:15" x14ac:dyDescent="0.35">
      <c r="A14" s="2">
        <v>11</v>
      </c>
      <c r="B14" s="2"/>
      <c r="C14" s="2"/>
      <c r="D14" s="2" t="s">
        <v>11</v>
      </c>
      <c r="E14" s="2" t="str">
        <f t="shared" si="0"/>
        <v>Đà Lạt</v>
      </c>
      <c r="F14" s="2">
        <f t="shared" si="1"/>
        <v>25000</v>
      </c>
      <c r="G14" s="2">
        <f t="shared" si="2"/>
        <v>550000</v>
      </c>
      <c r="H14" s="2">
        <f t="shared" si="3"/>
        <v>575000</v>
      </c>
      <c r="I14" s="1">
        <f t="shared" si="4"/>
        <v>550000</v>
      </c>
      <c r="J14" s="6" t="str">
        <f t="shared" si="5"/>
        <v>ĐL</v>
      </c>
    </row>
    <row r="15" spans="1:15" x14ac:dyDescent="0.35">
      <c r="A15" s="2">
        <v>12</v>
      </c>
      <c r="B15" s="2"/>
      <c r="C15" s="2"/>
      <c r="D15" s="2" t="s">
        <v>9</v>
      </c>
      <c r="E15" s="2" t="str">
        <f t="shared" si="0"/>
        <v>Vũng Tàu</v>
      </c>
      <c r="F15" s="2">
        <f t="shared" si="1"/>
        <v>10000</v>
      </c>
      <c r="G15" s="2">
        <f t="shared" si="2"/>
        <v>500000</v>
      </c>
      <c r="H15" s="2">
        <f t="shared" si="3"/>
        <v>510000</v>
      </c>
      <c r="I15" s="1">
        <f t="shared" si="4"/>
        <v>500000</v>
      </c>
      <c r="J15" s="6" t="str">
        <f t="shared" si="5"/>
        <v>VT</v>
      </c>
    </row>
  </sheetData>
  <mergeCells count="2">
    <mergeCell ref="A2:H2"/>
    <mergeCell ref="N2:O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H15" sqref="H15"/>
    </sheetView>
  </sheetViews>
  <sheetFormatPr defaultRowHeight="19.5" x14ac:dyDescent="0.3"/>
  <cols>
    <col min="1" max="1" width="4.140625" style="7" bestFit="1" customWidth="1"/>
    <col min="2" max="2" width="14.28515625" style="7" bestFit="1" customWidth="1"/>
    <col min="3" max="3" width="12.5703125" style="7" bestFit="1" customWidth="1"/>
    <col min="4" max="4" width="19.7109375" style="7" customWidth="1"/>
    <col min="5" max="5" width="12.28515625" style="7" bestFit="1" customWidth="1"/>
    <col min="6" max="6" width="13.42578125" style="7" customWidth="1"/>
    <col min="7" max="7" width="11.28515625" style="7" customWidth="1"/>
    <col min="8" max="8" width="14" style="7" customWidth="1"/>
    <col min="9" max="9" width="11.42578125" style="7" customWidth="1"/>
    <col min="10" max="11" width="9.140625" style="7"/>
    <col min="12" max="12" width="17.42578125" style="7" customWidth="1"/>
    <col min="13" max="13" width="9.140625" style="7"/>
    <col min="14" max="14" width="10.28515625" style="7" bestFit="1" customWidth="1"/>
    <col min="15" max="15" width="12" style="7" bestFit="1" customWidth="1"/>
    <col min="16" max="16384" width="9.140625" style="7"/>
  </cols>
  <sheetData>
    <row r="1" spans="1:15" x14ac:dyDescent="0.3">
      <c r="L1" s="8" t="s">
        <v>15</v>
      </c>
    </row>
    <row r="2" spans="1:15" x14ac:dyDescent="0.3">
      <c r="A2" s="9" t="s">
        <v>33</v>
      </c>
      <c r="B2" s="9" t="s">
        <v>34</v>
      </c>
      <c r="C2" s="9" t="s">
        <v>35</v>
      </c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 t="s">
        <v>41</v>
      </c>
      <c r="J2" s="7" t="s">
        <v>53</v>
      </c>
      <c r="L2" s="10" t="s">
        <v>42</v>
      </c>
      <c r="M2" s="10" t="s">
        <v>43</v>
      </c>
      <c r="N2" s="10" t="s">
        <v>44</v>
      </c>
      <c r="O2" s="10" t="s">
        <v>45</v>
      </c>
    </row>
    <row r="3" spans="1:15" x14ac:dyDescent="0.3">
      <c r="A3" s="10">
        <v>1</v>
      </c>
      <c r="B3" s="10" t="s">
        <v>43</v>
      </c>
      <c r="C3" s="10" t="str">
        <f>HLOOKUP(B3,$L$7:$O$9,2,0)</f>
        <v>Ti vi</v>
      </c>
      <c r="D3" s="11">
        <v>39726</v>
      </c>
      <c r="E3" s="12">
        <v>30</v>
      </c>
      <c r="F3" s="12">
        <f>E3*HLOOKUP(B3,$L$2:$O$5,IF(MONTH(D3)=10,2,IF(MONTH(D3)=11,3,4)),0)</f>
        <v>7500</v>
      </c>
      <c r="G3" s="12">
        <f>HLOOKUP(B3,$L$7:$O$9,3,0)*F3</f>
        <v>0</v>
      </c>
      <c r="H3" s="12">
        <f>IF(MONTH(D3)=10,1%,IF(MONTH(D3)=11,2%,3%))*F3</f>
        <v>75</v>
      </c>
      <c r="I3" s="12">
        <f>F3-G3-H3</f>
        <v>7425</v>
      </c>
      <c r="J3" s="7">
        <f>MONTH(D3)</f>
        <v>10</v>
      </c>
      <c r="L3" s="13">
        <v>39722</v>
      </c>
      <c r="M3" s="10">
        <v>250</v>
      </c>
      <c r="N3" s="10">
        <v>300</v>
      </c>
      <c r="O3" s="10">
        <v>280</v>
      </c>
    </row>
    <row r="4" spans="1:15" x14ac:dyDescent="0.3">
      <c r="A4" s="10">
        <v>2</v>
      </c>
      <c r="B4" s="10" t="s">
        <v>44</v>
      </c>
      <c r="C4" s="10" t="str">
        <f t="shared" ref="C4:C11" si="0">HLOOKUP(B4,$L$7:$O$9,2,0)</f>
        <v>Tủ lạnh</v>
      </c>
      <c r="D4" s="11">
        <v>39731</v>
      </c>
      <c r="E4" s="12">
        <v>20</v>
      </c>
      <c r="F4" s="12">
        <f>E4*HLOOKUP(B4,$L$2:$O$5,IF(MONTH(D4)=10,2,IF(MONTH(D4)=11,3,4)),0)</f>
        <v>6000</v>
      </c>
      <c r="G4" s="12">
        <f t="shared" ref="G4:G10" si="1">HLOOKUP(B4,$L$7:$O$9,3,0)*F4</f>
        <v>300</v>
      </c>
      <c r="H4" s="12">
        <f t="shared" ref="H4:H10" si="2">IF(MONTH(D4)=10,1%,IF(MONTH(D4)=11,2%,3%))*F4</f>
        <v>60</v>
      </c>
      <c r="I4" s="12">
        <f t="shared" ref="I4:I10" si="3">F4-G4-H4</f>
        <v>5640</v>
      </c>
      <c r="J4" s="7">
        <f t="shared" ref="J4:J10" si="4">MONTH(D4)</f>
        <v>10</v>
      </c>
      <c r="L4" s="13">
        <v>39753</v>
      </c>
      <c r="M4" s="10">
        <v>240</v>
      </c>
      <c r="N4" s="10">
        <v>280</v>
      </c>
      <c r="O4" s="10">
        <v>270</v>
      </c>
    </row>
    <row r="5" spans="1:15" x14ac:dyDescent="0.3">
      <c r="A5" s="10">
        <v>3</v>
      </c>
      <c r="B5" s="10" t="s">
        <v>45</v>
      </c>
      <c r="C5" s="10" t="str">
        <f t="shared" si="0"/>
        <v>Máy giặt</v>
      </c>
      <c r="D5" s="11">
        <v>39749</v>
      </c>
      <c r="E5" s="12">
        <v>10</v>
      </c>
      <c r="F5" s="12">
        <f t="shared" ref="F4:F10" si="5">E5*HLOOKUP(B5,$L$2:$O$5,IF(MONTH(D5)=10,2,IF(MONTH(D5)=11,3,4)),0)</f>
        <v>2800</v>
      </c>
      <c r="G5" s="12">
        <f t="shared" si="1"/>
        <v>280</v>
      </c>
      <c r="H5" s="12">
        <f t="shared" si="2"/>
        <v>28</v>
      </c>
      <c r="I5" s="12">
        <f t="shared" si="3"/>
        <v>2492</v>
      </c>
      <c r="J5" s="7">
        <f t="shared" si="4"/>
        <v>10</v>
      </c>
      <c r="L5" s="13">
        <v>39783</v>
      </c>
      <c r="M5" s="10">
        <v>210</v>
      </c>
      <c r="N5" s="10">
        <v>250</v>
      </c>
      <c r="O5" s="10">
        <v>230</v>
      </c>
    </row>
    <row r="6" spans="1:15" x14ac:dyDescent="0.3">
      <c r="A6" s="10">
        <v>4</v>
      </c>
      <c r="B6" s="10" t="s">
        <v>45</v>
      </c>
      <c r="C6" s="10" t="str">
        <f t="shared" si="0"/>
        <v>Máy giặt</v>
      </c>
      <c r="D6" s="11">
        <v>39759</v>
      </c>
      <c r="E6" s="12">
        <v>5</v>
      </c>
      <c r="F6" s="12">
        <f t="shared" si="5"/>
        <v>1350</v>
      </c>
      <c r="G6" s="12">
        <f t="shared" si="1"/>
        <v>135</v>
      </c>
      <c r="H6" s="12">
        <f t="shared" si="2"/>
        <v>27</v>
      </c>
      <c r="I6" s="12">
        <f t="shared" si="3"/>
        <v>1188</v>
      </c>
      <c r="J6" s="7">
        <f t="shared" si="4"/>
        <v>11</v>
      </c>
      <c r="L6" s="8" t="s">
        <v>46</v>
      </c>
    </row>
    <row r="7" spans="1:15" x14ac:dyDescent="0.3">
      <c r="A7" s="10">
        <v>5</v>
      </c>
      <c r="B7" s="10" t="s">
        <v>44</v>
      </c>
      <c r="C7" s="10" t="str">
        <f t="shared" si="0"/>
        <v>Tủ lạnh</v>
      </c>
      <c r="D7" s="11">
        <v>39766</v>
      </c>
      <c r="E7" s="12">
        <v>15</v>
      </c>
      <c r="F7" s="12">
        <f t="shared" si="5"/>
        <v>4200</v>
      </c>
      <c r="G7" s="12">
        <f t="shared" si="1"/>
        <v>210</v>
      </c>
      <c r="H7" s="12">
        <f t="shared" si="2"/>
        <v>84</v>
      </c>
      <c r="I7" s="12">
        <f t="shared" si="3"/>
        <v>3906</v>
      </c>
      <c r="J7" s="7">
        <f t="shared" si="4"/>
        <v>11</v>
      </c>
      <c r="L7" s="10" t="s">
        <v>34</v>
      </c>
      <c r="M7" s="10" t="s">
        <v>43</v>
      </c>
      <c r="N7" s="10" t="s">
        <v>44</v>
      </c>
      <c r="O7" s="10" t="s">
        <v>45</v>
      </c>
    </row>
    <row r="8" spans="1:15" x14ac:dyDescent="0.3">
      <c r="A8" s="10">
        <v>6</v>
      </c>
      <c r="B8" s="10" t="s">
        <v>43</v>
      </c>
      <c r="C8" s="10" t="str">
        <f t="shared" si="0"/>
        <v>Ti vi</v>
      </c>
      <c r="D8" s="11">
        <v>39772</v>
      </c>
      <c r="E8" s="12">
        <v>20</v>
      </c>
      <c r="F8" s="12">
        <f t="shared" si="5"/>
        <v>4800</v>
      </c>
      <c r="G8" s="12">
        <f t="shared" si="1"/>
        <v>0</v>
      </c>
      <c r="H8" s="12">
        <f t="shared" si="2"/>
        <v>96</v>
      </c>
      <c r="I8" s="12">
        <f t="shared" si="3"/>
        <v>4704</v>
      </c>
      <c r="J8" s="7">
        <f t="shared" si="4"/>
        <v>11</v>
      </c>
      <c r="L8" s="10" t="s">
        <v>35</v>
      </c>
      <c r="M8" s="10" t="s">
        <v>48</v>
      </c>
      <c r="N8" s="10" t="s">
        <v>49</v>
      </c>
      <c r="O8" s="10" t="s">
        <v>50</v>
      </c>
    </row>
    <row r="9" spans="1:15" x14ac:dyDescent="0.3">
      <c r="A9" s="10">
        <v>7</v>
      </c>
      <c r="B9" s="10" t="s">
        <v>43</v>
      </c>
      <c r="C9" s="10" t="str">
        <f t="shared" si="0"/>
        <v>Ti vi</v>
      </c>
      <c r="D9" s="11">
        <v>39784</v>
      </c>
      <c r="E9" s="12">
        <v>45</v>
      </c>
      <c r="F9" s="12">
        <f t="shared" si="5"/>
        <v>9450</v>
      </c>
      <c r="G9" s="12">
        <f t="shared" si="1"/>
        <v>0</v>
      </c>
      <c r="H9" s="12">
        <f t="shared" si="2"/>
        <v>283.5</v>
      </c>
      <c r="I9" s="12">
        <f t="shared" si="3"/>
        <v>9166.5</v>
      </c>
      <c r="J9" s="7">
        <f t="shared" si="4"/>
        <v>12</v>
      </c>
      <c r="L9" s="10" t="s">
        <v>51</v>
      </c>
      <c r="M9" s="14">
        <v>0</v>
      </c>
      <c r="N9" s="14">
        <v>0.05</v>
      </c>
      <c r="O9" s="14">
        <v>0.1</v>
      </c>
    </row>
    <row r="10" spans="1:15" x14ac:dyDescent="0.3">
      <c r="A10" s="10">
        <v>8</v>
      </c>
      <c r="B10" s="10" t="s">
        <v>44</v>
      </c>
      <c r="C10" s="10" t="str">
        <f t="shared" si="0"/>
        <v>Tủ lạnh</v>
      </c>
      <c r="D10" s="11">
        <v>39803</v>
      </c>
      <c r="E10" s="12">
        <v>20</v>
      </c>
      <c r="F10" s="12">
        <f t="shared" si="5"/>
        <v>5000</v>
      </c>
      <c r="G10" s="12">
        <f t="shared" si="1"/>
        <v>250</v>
      </c>
      <c r="H10" s="12">
        <f t="shared" si="2"/>
        <v>150</v>
      </c>
      <c r="I10" s="12">
        <f t="shared" si="3"/>
        <v>4600</v>
      </c>
      <c r="J10" s="7">
        <f t="shared" si="4"/>
        <v>12</v>
      </c>
    </row>
    <row r="11" spans="1:15" x14ac:dyDescent="0.3">
      <c r="B11" s="8" t="s">
        <v>55</v>
      </c>
    </row>
    <row r="12" spans="1:15" x14ac:dyDescent="0.3">
      <c r="B12" s="10" t="s">
        <v>35</v>
      </c>
      <c r="C12" s="10" t="s">
        <v>48</v>
      </c>
      <c r="D12" s="10" t="s">
        <v>49</v>
      </c>
      <c r="E12" s="10" t="s">
        <v>50</v>
      </c>
    </row>
    <row r="13" spans="1:15" x14ac:dyDescent="0.3">
      <c r="B13" s="10" t="s">
        <v>52</v>
      </c>
      <c r="C13" s="12">
        <f>SUMIF($C$3:$C$10,C12,$I$3:$I$10)</f>
        <v>21295.5</v>
      </c>
      <c r="D13" s="12">
        <f t="shared" ref="D13:E13" si="6">SUMIF($C$3:$C$10,D12,$I$3:$I$10)</f>
        <v>14146</v>
      </c>
      <c r="E13" s="12">
        <f t="shared" si="6"/>
        <v>3680</v>
      </c>
    </row>
    <row r="14" spans="1:15" x14ac:dyDescent="0.3">
      <c r="B14" s="8" t="s">
        <v>54</v>
      </c>
      <c r="G14" s="7" t="s">
        <v>59</v>
      </c>
      <c r="I14" s="7" t="s">
        <v>60</v>
      </c>
      <c r="K14" s="7" t="s">
        <v>61</v>
      </c>
    </row>
    <row r="15" spans="1:15" x14ac:dyDescent="0.3">
      <c r="B15" s="10"/>
      <c r="C15" s="10" t="s">
        <v>56</v>
      </c>
      <c r="D15" s="10" t="s">
        <v>57</v>
      </c>
      <c r="E15" s="10" t="s">
        <v>58</v>
      </c>
      <c r="G15" s="9" t="s">
        <v>47</v>
      </c>
      <c r="H15" s="10" t="s">
        <v>53</v>
      </c>
      <c r="I15" s="10" t="s">
        <v>34</v>
      </c>
      <c r="J15" s="10" t="s">
        <v>53</v>
      </c>
      <c r="K15" s="10" t="s">
        <v>34</v>
      </c>
      <c r="L15" s="10" t="s">
        <v>53</v>
      </c>
    </row>
    <row r="16" spans="1:15" x14ac:dyDescent="0.3">
      <c r="B16" s="10" t="s">
        <v>43</v>
      </c>
      <c r="C16" s="10">
        <f>DSUM($A$2:$J$10,$I$2,G15:H16)</f>
        <v>7425</v>
      </c>
      <c r="D16" s="10">
        <f>DSUM($A$2:$J$10,$I$2,I15:J16)</f>
        <v>4704</v>
      </c>
      <c r="E16" s="10"/>
      <c r="G16" s="10" t="s">
        <v>43</v>
      </c>
      <c r="H16" s="10">
        <v>10</v>
      </c>
      <c r="I16" s="10" t="s">
        <v>43</v>
      </c>
      <c r="J16" s="10">
        <v>11</v>
      </c>
      <c r="K16" s="10" t="s">
        <v>43</v>
      </c>
      <c r="L16" s="10">
        <v>12</v>
      </c>
    </row>
    <row r="17" spans="2:5" x14ac:dyDescent="0.3">
      <c r="B17" s="10" t="s">
        <v>44</v>
      </c>
      <c r="C17" s="10"/>
      <c r="D17" s="10"/>
      <c r="E17" s="10"/>
    </row>
    <row r="18" spans="2:5" x14ac:dyDescent="0.3">
      <c r="B18" s="10" t="s">
        <v>45</v>
      </c>
      <c r="C18" s="10"/>
      <c r="D18" s="10"/>
      <c r="E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Phong</dc:creator>
  <cp:lastModifiedBy>Nguyễn Hoàng Phong</cp:lastModifiedBy>
  <dcterms:created xsi:type="dcterms:W3CDTF">2019-10-17T11:48:36Z</dcterms:created>
  <dcterms:modified xsi:type="dcterms:W3CDTF">2019-10-17T13:59:24Z</dcterms:modified>
</cp:coreProperties>
</file>