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TSHOP\Desktop\hk1_2025_2026\Quanlydapm\tuan2\"/>
    </mc:Choice>
  </mc:AlternateContent>
  <xr:revisionPtr revIDLastSave="0" documentId="13_ncr:1_{88522172-DC4B-4A67-B027-79D32D8AA440}" xr6:coauthVersionLast="36" xr6:coauthVersionMax="47" xr10:uidLastSave="{00000000-0000-0000-0000-000000000000}"/>
  <bookViews>
    <workbookView xWindow="0" yWindow="0" windowWidth="28800" windowHeight="13515" firstSheet="12" activeTab="20" xr2:uid="{00000000-000D-0000-FFFF-FFFF00000000}"/>
  </bookViews>
  <sheets>
    <sheet name="Bài 1" sheetId="3" r:id="rId1"/>
    <sheet name="Bài 2" sheetId="4" r:id="rId2"/>
    <sheet name="Bài 3" sheetId="5" r:id="rId3"/>
    <sheet name="Bài 4" sheetId="6" r:id="rId4"/>
    <sheet name="Bài 5" sheetId="7" r:id="rId5"/>
    <sheet name="Bài 6" sheetId="8" r:id="rId6"/>
    <sheet name="Bài 7" sheetId="9" r:id="rId7"/>
    <sheet name="Bài 8" sheetId="10" r:id="rId8"/>
    <sheet name="Bài 9" sheetId="11" r:id="rId9"/>
    <sheet name="Phần B" sheetId="12" r:id="rId10"/>
    <sheet name="Bảng 3.1" sheetId="13" r:id="rId11"/>
    <sheet name="Bảng 3.2 " sheetId="14" r:id="rId12"/>
    <sheet name="Bảng 3.3" sheetId="15" r:id="rId13"/>
    <sheet name="Câu 1 Phần B" sheetId="16" r:id="rId14"/>
    <sheet name="Câu 2 Phần B" sheetId="17" r:id="rId15"/>
    <sheet name="Câu 3 Phần B" sheetId="18" r:id="rId16"/>
    <sheet name="Câu 4 Phần B" sheetId="19" r:id="rId17"/>
    <sheet name="Câu 5 Phần B" sheetId="20" r:id="rId18"/>
    <sheet name="Câu 6 Phần B" sheetId="21" r:id="rId19"/>
    <sheet name="Câu 7 Phần B" sheetId="22" r:id="rId20"/>
    <sheet name="Câu 8 Phần B" sheetId="23" r:id="rId21"/>
    <sheet name="Câu 9 Phần B" sheetId="24" r:id="rId2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1" l="1"/>
  <c r="C60" i="11"/>
  <c r="E50" i="11"/>
  <c r="B18" i="11"/>
  <c r="B30" i="11" s="1"/>
  <c r="B53" i="11" s="1"/>
  <c r="C29" i="10"/>
  <c r="J18" i="10"/>
  <c r="D6" i="10" l="1"/>
  <c r="D28" i="10" s="1"/>
  <c r="J41" i="10"/>
  <c r="F42" i="9"/>
  <c r="F41" i="9"/>
  <c r="F40" i="9"/>
  <c r="F39" i="9"/>
  <c r="F38" i="9"/>
  <c r="F29" i="9"/>
  <c r="F28" i="9"/>
  <c r="F27" i="9"/>
  <c r="F26" i="9"/>
  <c r="F25" i="9"/>
  <c r="E28" i="8"/>
  <c r="H17" i="8"/>
  <c r="B26" i="8"/>
  <c r="C41" i="7"/>
  <c r="C42" i="7"/>
  <c r="C43" i="7" s="1"/>
  <c r="C44" i="7" s="1"/>
  <c r="C19" i="7"/>
  <c r="D19" i="7" s="1"/>
  <c r="E23" i="5"/>
  <c r="E19" i="5"/>
  <c r="C11" i="6"/>
  <c r="C44" i="4"/>
  <c r="D36" i="10" l="1"/>
  <c r="C24" i="10"/>
  <c r="C20" i="7"/>
  <c r="D20" i="7" s="1"/>
  <c r="C23" i="7"/>
  <c r="D30" i="7" s="1"/>
  <c r="C22" i="7"/>
  <c r="C21" i="7"/>
  <c r="P59" i="7"/>
  <c r="D25" i="6"/>
  <c r="D28" i="6"/>
  <c r="C41" i="6" s="1"/>
  <c r="D27" i="6"/>
  <c r="D26" i="6"/>
  <c r="D24" i="6"/>
  <c r="D23" i="6"/>
  <c r="D22" i="6"/>
  <c r="D31" i="6" s="1"/>
  <c r="C13" i="6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79" i="4"/>
  <c r="D79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68" i="4"/>
  <c r="D68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55" i="4"/>
  <c r="D55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D44" i="4"/>
  <c r="D21" i="7" l="1"/>
  <c r="D22" i="7" s="1"/>
  <c r="D29" i="7" s="1"/>
  <c r="D32" i="6"/>
  <c r="D33" i="6" s="1"/>
  <c r="D34" i="6" s="1"/>
  <c r="D35" i="6" s="1"/>
  <c r="D36" i="6" s="1"/>
  <c r="D76" i="4"/>
  <c r="D87" i="4"/>
  <c r="D52" i="4"/>
  <c r="D63" i="4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1" i="3"/>
  <c r="D41" i="3" s="1"/>
  <c r="C42" i="3"/>
  <c r="D42" i="3" s="1"/>
  <c r="C43" i="3"/>
  <c r="D43" i="3" s="1"/>
  <c r="C44" i="3"/>
  <c r="D44" i="3" s="1"/>
  <c r="C45" i="3"/>
  <c r="D45" i="3" s="1"/>
  <c r="C40" i="3"/>
  <c r="D40" i="3" s="1"/>
  <c r="D23" i="7" l="1"/>
  <c r="D31" i="7"/>
  <c r="D33" i="7" s="1"/>
  <c r="D37" i="6"/>
  <c r="C40" i="6"/>
  <c r="D46" i="3"/>
  <c r="D75" i="3"/>
  <c r="D66" i="3"/>
  <c r="D56" i="3"/>
  <c r="D43" i="6" l="1"/>
  <c r="C42" i="6"/>
</calcChain>
</file>

<file path=xl/sharedStrings.xml><?xml version="1.0" encoding="utf-8"?>
<sst xmlns="http://schemas.openxmlformats.org/spreadsheetml/2006/main" count="676" uniqueCount="539">
  <si>
    <t>Dự án 2</t>
  </si>
  <si>
    <t xml:space="preserve">Dự án 1: </t>
  </si>
  <si>
    <t>Đầu tư ( Chi phí ): t0 = 500 ; t2 = 100</t>
  </si>
  <si>
    <t>Lợi nhuận ( Thu nhập): t1 = 250 ; t2 = 350; t3 = 450 ; t4 = 500; t5 = -100</t>
  </si>
  <si>
    <t xml:space="preserve">Dự án 2: </t>
  </si>
  <si>
    <t>Đầu tư ( Chi phí ): t0 = 100 ; t2 = 50</t>
  </si>
  <si>
    <t>Lợi nhuận ( Thu nhập): t1 = -100 ; t2 = 200; t3 = 200 ; t4 = 200 t5 = 300</t>
  </si>
  <si>
    <t>1. Ghi lại dòng tiền của 2 dự án</t>
  </si>
  <si>
    <t>2. Công thức tính</t>
  </si>
  <si>
    <t>Dự án 1</t>
  </si>
  <si>
    <t>Lợi nhuận Bt</t>
  </si>
  <si>
    <t>Năm t</t>
  </si>
  <si>
    <t>v_t = 1/(1,17)^t</t>
  </si>
  <si>
    <t>3.Với lãi suất r = 17%/năm cho cả 2 dự án ta có</t>
  </si>
  <si>
    <t>PV(B_t) = Bt * v_t</t>
  </si>
  <si>
    <t>Tổng PV_B</t>
  </si>
  <si>
    <t>Chi phí Ct</t>
  </si>
  <si>
    <t>Dự án 1 ( triệu đồng )</t>
  </si>
  <si>
    <t>Tổng PV_C</t>
  </si>
  <si>
    <t>Dự án 2 ( triệu đồng )</t>
  </si>
  <si>
    <t>a. Xác định giá trị hiện tại thuần NPV</t>
  </si>
  <si>
    <t>b. Xác định lợi nhuận thu được trên một đơn vị tiền tệ đầu tư (quy về thời điểm hiện tại)</t>
  </si>
  <si>
    <t>Công thức</t>
  </si>
  <si>
    <t>Dự án A:</t>
  </si>
  <si>
    <t>Dòng ra ( Chi phí ): t0 = 225 ; t1= 190; t3 = 30; t5 = 30;t7=30</t>
  </si>
  <si>
    <t>Dự án B:</t>
  </si>
  <si>
    <t>Dòng vào ( Thu nhập): t2 = 150 ; t3 = 220; t4 = 215; t5 = 205; t6 = 197; t7=100</t>
  </si>
  <si>
    <t>3.Với lãi suất r = 18%/năm cho cả 2 dự án ta có</t>
  </si>
  <si>
    <t>Dự án A ( triệu đồng )</t>
  </si>
  <si>
    <t>v_t = 1/(1,18)^t</t>
  </si>
  <si>
    <t>Dự án A</t>
  </si>
  <si>
    <t>NPVA = PV_B - PV_C = 546,50 - 426,81 = 119,69 (triệu đồng)</t>
  </si>
  <si>
    <t>Dự án B ( triệu đồng )</t>
  </si>
  <si>
    <t>Dòng vào Bt</t>
  </si>
  <si>
    <t>Dòng ra Ct</t>
  </si>
  <si>
    <t>PV Dòng vào (B): 546,50 triệu đồng</t>
  </si>
  <si>
    <t>PV Dòng ra (C): 426,81 triệu đồng</t>
  </si>
  <si>
    <t>PV(B_t) = Ct * v_t</t>
  </si>
  <si>
    <t>Dự án B</t>
  </si>
  <si>
    <t>PV Dòng vào (B): 622,98 triệu đồng</t>
  </si>
  <si>
    <t>PV Dòng ra (C): 452,73 triệu đồng</t>
  </si>
  <si>
    <t>NPVB = PV_B - PV_C = 622,98 - 452,73 = 170,25 (triệu đồng)</t>
  </si>
  <si>
    <t>$</t>
  </si>
  <si>
    <t xml:space="preserve"> - Chi phí đầu tư ban đầu =</t>
  </si>
  <si>
    <t xml:space="preserve"> - Dòng tiền ròng hàng năm = </t>
  </si>
  <si>
    <t xml:space="preserve"> -  Chi phí đầu tư ban đầu  =</t>
  </si>
  <si>
    <t>năm</t>
  </si>
  <si>
    <t xml:space="preserve"> - Dự án B hoàn vốn sau 4 năm.</t>
  </si>
  <si>
    <t>1. Thời gian hoàn vốn thông thường (không chiết khấu):</t>
  </si>
  <si>
    <t xml:space="preserve"> - Dòng tiền ròng hàng năm =</t>
  </si>
  <si>
    <t xml:space="preserve"> =&gt; Nếu không chiết khấu, thì dự án hoàn vốn sau 5 năm.</t>
  </si>
  <si>
    <t>2. Thời gian hoàn vốn chiết khấu (Discounted Payback Period):</t>
  </si>
  <si>
    <t xml:space="preserve"> - Tỷ lệ chiết khấu r =</t>
  </si>
  <si>
    <t xml:space="preserve"> - Mỗi năm 1.000$ phải chiết khấu về hiện tại:</t>
  </si>
  <si>
    <t xml:space="preserve">PVt = </t>
  </si>
  <si>
    <t>1000/(1+0,1)^t</t>
  </si>
  <si>
    <t>Năm 1:</t>
  </si>
  <si>
    <t>Năm 3:</t>
  </si>
  <si>
    <t xml:space="preserve"> = 1000/(1+0,1)^1 =</t>
  </si>
  <si>
    <t xml:space="preserve"> = 1000/(1+0,1)^2 =</t>
  </si>
  <si>
    <t xml:space="preserve"> = 1000/(1+0,1)^3 =</t>
  </si>
  <si>
    <t>Năm 4:</t>
  </si>
  <si>
    <t xml:space="preserve"> = 1000/(1+0,1)^4 =</t>
  </si>
  <si>
    <t>Năm 5:</t>
  </si>
  <si>
    <t xml:space="preserve"> = 1000/(1+0,1)^5 =</t>
  </si>
  <si>
    <t>Năm 6:</t>
  </si>
  <si>
    <t xml:space="preserve"> = 1000/(1+0,1)^6 =</t>
  </si>
  <si>
    <t>Năm 7:</t>
  </si>
  <si>
    <t xml:space="preserve"> = 1000/(1+0,1)^7 =</t>
  </si>
  <si>
    <t>Tích lũy sau mỗi năm</t>
  </si>
  <si>
    <t xml:space="preserve"> - Sau 1 năm</t>
  </si>
  <si>
    <t xml:space="preserve"> - Sau 2 năm</t>
  </si>
  <si>
    <t xml:space="preserve"> - Sau 3 năm</t>
  </si>
  <si>
    <t xml:space="preserve"> - Sau 4 năm</t>
  </si>
  <si>
    <t xml:space="preserve"> - Sau 5 năm</t>
  </si>
  <si>
    <t xml:space="preserve"> - Sau 6 năm</t>
  </si>
  <si>
    <t xml:space="preserve"> - Sau 7 năm</t>
  </si>
  <si>
    <t xml:space="preserve"> = 3169.87 + 620.92 =</t>
  </si>
  <si>
    <t xml:space="preserve"> = 3790.79 + 564.17 =</t>
  </si>
  <si>
    <t xml:space="preserve"> = 909.09 = </t>
  </si>
  <si>
    <t xml:space="preserve"> =&gt; Như vậy, hoàn vốn chiết khấu xảy ra giữa năm 7 và năm 8</t>
  </si>
  <si>
    <t xml:space="preserve"> - Sau 8 năm lớn hơn :</t>
  </si>
  <si>
    <t>vào đầu năm 7</t>
  </si>
  <si>
    <t xml:space="preserve"> - Trong năm 7, giá trị chiết khấu là:</t>
  </si>
  <si>
    <t>Năm</t>
  </si>
  <si>
    <t>Thời điểm thu hồi vốn ban đầu của dự án sau với lãi suất là 17%/năm</t>
  </si>
  <si>
    <t xml:space="preserve">Công ty phần mềm phải trả cho một ngân hàng:  </t>
  </si>
  <si>
    <t xml:space="preserve"> - Trả 100 triệu đồng ở năm thứ 2</t>
  </si>
  <si>
    <t xml:space="preserve"> - Trả 300 triệu đồng ở năm thứ 5</t>
  </si>
  <si>
    <t xml:space="preserve"> - Muốn gộp lại thành một khoản duy nhất ở năm 3</t>
  </si>
  <si>
    <t xml:space="preserve">Ta có: </t>
  </si>
  <si>
    <t>(1 + r ) ^ 5-3</t>
  </si>
  <si>
    <t>=</t>
  </si>
  <si>
    <t xml:space="preserve"> = </t>
  </si>
  <si>
    <t>triệu đồng.</t>
  </si>
  <si>
    <t>(a) Dự án cao nhất / thấp nhất</t>
  </si>
  <si>
    <t>Ta có: Dự án 1 = 68, Dự án 2 = 50, Dự án 3 = 72, Dự án 4 = 62, Dự án 5 = 103</t>
  </si>
  <si>
    <t>Trọng số mới = [5,5,4,3,1,3]. Tính lại:</t>
  </si>
  <si>
    <t>(b) Nếu trọng số cho “Nhà tài trợ mạnh” được thay đổi từ 2 thành 5 thì việc lựa chọn dự án cũng thay đổi theo.</t>
  </si>
  <si>
    <t xml:space="preserve">Dự án 3 (P3) =  6 x 5 + 8 x 5 + 2 x 4 + 2 x 3 + 6 x 1 + 0 x 3  =  </t>
  </si>
  <si>
    <t>P5 -P3 - P1 - P4 - P2</t>
  </si>
  <si>
    <t>P5 - P1 - P3 - P4 - P2</t>
  </si>
  <si>
    <t>c) Trọng số quan trọng Vì:</t>
  </si>
  <si>
    <t xml:space="preserve"> - Trọng số phản ánh mức độ quan trọng chiến lược của từng tiêu chí cho công ty.</t>
  </si>
  <si>
    <t xml:space="preserve"> - Thay đổi trọng số tương đương với thay đổi ưu tiên chiến lược — ví dụ, nếu “Nhà tài trợ mạnh” rất quan trọng (trọng số tăng), các dự án có điểm cao ở tiêu chí đó sẽ được ưu tiên hơn, mặc dù các tiêu chí khác không đổi.</t>
  </si>
  <si>
    <t xml:space="preserve"> - Do đó ma trận trọng số giúp kết hợp cả chất lượng (điểm từng tiêu chí) và ưu tiên chiến lược (trọng số) - cho ra quyết định phù hợp với mục tiêu công ty.</t>
  </si>
  <si>
    <t xml:space="preserve"> - Dự án 5 vẫn dẫn đầu ở cả hai kịch bản (vì điểm mạnh ở các tiêu chí có trọng số lớn).</t>
  </si>
  <si>
    <t xml:space="preserve"> - So với trước: thứ tự tương đối thay đổi chút — P1 tiến lên vị trí 2 và P3 cải thiện do điểm tốt ở tiêu chí “Nhà tài trợ mạnh</t>
  </si>
  <si>
    <t xml:space="preserve"> - Nếu muốn mua ngay một lần, ta phải quy đổi chuỗi trả góp 25 triệu × 12 tháng về hiện tại, rồi cộng thêm 200 triệu.</t>
  </si>
  <si>
    <t xml:space="preserve">PV </t>
  </si>
  <si>
    <t xml:space="preserve"> =</t>
  </si>
  <si>
    <t>r</t>
  </si>
  <si>
    <t>Trong đó:</t>
  </si>
  <si>
    <t>25  x</t>
  </si>
  <si>
    <t>1 - (1.015)^-12</t>
  </si>
  <si>
    <t xml:space="preserve"> (triệu)</t>
  </si>
  <si>
    <t xml:space="preserve"> - Lãi suất i = 12%/năm =</t>
  </si>
  <si>
    <t xml:space="preserve"> -  Vay ban đầu  = </t>
  </si>
  <si>
    <t xml:space="preserve"> - Muốn trả hết trong 5 năm tiếp theo bằng các khoản bằng nhau, cuối mỗi năm.Mỗi năm phải trả là:</t>
  </si>
  <si>
    <t>1) Tính số dư (số tiền còn nợ) ngay sau lần trả thứ 7 (tại thời điểm cuối năm 7)</t>
  </si>
  <si>
    <t>Số dư tại thời điểm t = 7 bằng: số dư gốc tích lũy - giá trị tích lũy của các khoản đã trả</t>
  </si>
  <si>
    <t>2) Tính khoản thanh toán hằng năm X để trả hết 𝐵7 ​trong 5 năm tiếp theo</t>
  </si>
  <si>
    <t>1 - (1+0.12)^-5</t>
  </si>
  <si>
    <t>Thay số vào ta có</t>
  </si>
  <si>
    <t xml:space="preserve">  X ≈ 120.178 *</t>
  </si>
  <si>
    <t>1-(1+0,12)^-5</t>
  </si>
  <si>
    <t>triệu đồng ( mỗi năm)</t>
  </si>
  <si>
    <t>(1+0,12)^7 - 1</t>
  </si>
  <si>
    <t xml:space="preserve">Áp dụng công thức: </t>
  </si>
  <si>
    <t>Tóm tắt đề bài</t>
  </si>
  <si>
    <t xml:space="preserve"> =&gt; Ý nghĩa: nếu không thay đổi gì, tại thời điểm ngay sau trả lần thứ 7 công ty vẫn nợ khoảng 120.178 triệu.</t>
  </si>
  <si>
    <t>Dòng vào (Thu nhập): t1 = 50 ;T2 = 150; t3 = 250; t4 = 250; t5 = 200; t6 = 180; t7=120</t>
  </si>
  <si>
    <t>Dòng ra (Chi phí ): t0 = 300 ; t1= 100; t3 = 50; t5 = 50;t7=50</t>
  </si>
  <si>
    <t>BÀI TẬP 1</t>
  </si>
  <si>
    <t>BÀI TẬP 2</t>
  </si>
  <si>
    <t>BÀI TẬP 3</t>
  </si>
  <si>
    <t>BÀI TẬP 4</t>
  </si>
  <si>
    <t>BÀI TẬP 5</t>
  </si>
  <si>
    <t>BÀI TẬP 6</t>
  </si>
  <si>
    <t>BÀI TẬP 7</t>
  </si>
  <si>
    <t>BÀI TẬP 8</t>
  </si>
  <si>
    <t>BÀI TẬP 9</t>
  </si>
  <si>
    <t>Tóm tắt đề bài:</t>
  </si>
  <si>
    <t xml:space="preserve"> - PV lợi ích (B): 971,54 triệu đồng</t>
  </si>
  <si>
    <t xml:space="preserve"> - PV chi phí (C): 537,05 triệu đồng</t>
  </si>
  <si>
    <t xml:space="preserve"> - NPV1 = PV_B - PV_C = 971,54 - 573,05 = 398,48 (triệu đồng)</t>
  </si>
  <si>
    <t xml:space="preserve"> - PV lợi ích (B): 429,07 triệu đồng</t>
  </si>
  <si>
    <t xml:space="preserve"> - PV chi phí (C): 136,53 triệu đồng</t>
  </si>
  <si>
    <t xml:space="preserve"> - NPV2 = PV_B - PV_C = 429,07 - 136,53 = 292,54 (triệu đồng)</t>
  </si>
  <si>
    <t xml:space="preserve"> - e1 =  PV_B/PV_C = 971,54/573,05 = 1,6954 </t>
  </si>
  <si>
    <t xml:space="preserve"> - e2 =  PV_B/PV_C = 429,07/136,53 = 3,14</t>
  </si>
  <si>
    <t>Một dự án có:</t>
  </si>
  <si>
    <t xml:space="preserve">- Chi phí đầu tư = </t>
  </si>
  <si>
    <t>-Dòng tiền hàng năm =</t>
  </si>
  <si>
    <t xml:space="preserve"> - Tỷ lệ chiết khấu =</t>
  </si>
  <si>
    <t>/năm</t>
  </si>
  <si>
    <t xml:space="preserve"> - Cần tìm thời gian hoàn vốn chiết khấu (Discounted Payback Period).</t>
  </si>
  <si>
    <t>Bài giải</t>
  </si>
  <si>
    <t>Công ty quan tâm đến thời gian hoàn vốn (Payback Period).</t>
  </si>
  <si>
    <t>Áp dụng công thức:</t>
  </si>
  <si>
    <t>Initial Investment</t>
  </si>
  <si>
    <t>Annual Cash flow</t>
  </si>
  <si>
    <t>Payback Period =</t>
  </si>
  <si>
    <t>năm ≈ 3 năm 9 tháng</t>
  </si>
  <si>
    <t xml:space="preserve"> - Dự án A hoàn vốn sau 3,75 năm tương đương 3 năm 9 tháng.</t>
  </si>
  <si>
    <t>Hai dự án phần mềm mới:</t>
  </si>
  <si>
    <t xml:space="preserve">         Payback Period A​  =</t>
  </si>
  <si>
    <t xml:space="preserve">        Payback Period B​  =</t>
  </si>
  <si>
    <t xml:space="preserve">             Payback Period =</t>
  </si>
  <si>
    <t>Năm 2:</t>
  </si>
  <si>
    <t xml:space="preserve"> = 1735.54 + 751.31 =</t>
  </si>
  <si>
    <t xml:space="preserve"> = 4355.26 +513.16  =</t>
  </si>
  <si>
    <t xml:space="preserve"> = 2486.85+ 683.01  =</t>
  </si>
  <si>
    <t xml:space="preserve"> = 909.09 + 826.45   =</t>
  </si>
  <si>
    <t xml:space="preserve"> -  Tỷ lệ thời gian năm 7 cần thiết</t>
  </si>
  <si>
    <t xml:space="preserve">      ⟹ Discounted Payback Period  ≈ 7+1.26  =</t>
  </si>
  <si>
    <t xml:space="preserve">  - Cụ thể cần : 5000 - 4355.26 = </t>
  </si>
  <si>
    <t>năm ≈ 8 năm 3 tháng</t>
  </si>
  <si>
    <t>năm ≈ 4 năm 8 tháng</t>
  </si>
  <si>
    <t xml:space="preserve">Công thức: </t>
  </si>
  <si>
    <t xml:space="preserve"> PVt =</t>
  </si>
  <si>
    <t>CFt</t>
  </si>
  <si>
    <t>(1+r)^t</t>
  </si>
  <si>
    <t>Giá trị hiện tại của từng dòng tiền (PVt)</t>
  </si>
  <si>
    <t>Dòng tiền tích lũy (discounted cumulative PV)</t>
  </si>
  <si>
    <t>Lợi nhuận 
mỗi năm (triệu)</t>
  </si>
  <si>
    <t xml:space="preserve">Theo kết quả tính toán ta nhận thấy đến sau năm 4 chưa hoàn vốn (cumulative = 87.63 &lt; 100), nhưng sau năm 5 thì vượt (105.88 &gt; 100). </t>
  </si>
  <si>
    <t xml:space="preserve"> ⟹ Vậy thu hồi vốn xảy ra trong năm 5. </t>
  </si>
  <si>
    <t>1. Tính giá trị hiện tại (PV) của từng dòng tiền</t>
  </si>
  <si>
    <t>2. Discounted Payback (nội suy trong năm 5)</t>
  </si>
  <si>
    <t>1. Tính thời gian hoàn vốn</t>
  </si>
  <si>
    <t>2. So sánh thời gian hoàn vốn của 2 dự án:</t>
  </si>
  <si>
    <r>
      <rPr>
        <u/>
        <sz val="13"/>
        <color rgb="FFFF0000"/>
        <rFont val="Times New Roman"/>
        <family val="1"/>
      </rPr>
      <t xml:space="preserve"> Kết luận: </t>
    </r>
    <r>
      <rPr>
        <sz val="13"/>
        <color rgb="FFFF0000"/>
        <rFont val="Times New Roman"/>
        <family val="1"/>
      </rPr>
      <t>Nếu là em, em sẽ tài trợ cho dự án B Vì Dựa trên chỉ tiêu NPV của dự án A và dự án B  thì dự án B tốt hơn, mang lại giá trị hiện tại thuần cao hơn (Dự án B = 170,25 &gt; Dự án A = 119,69).</t>
    </r>
  </si>
  <si>
    <r>
      <rPr>
        <u/>
        <sz val="13"/>
        <color rgb="FFFF0000"/>
        <rFont val="Times New Roman"/>
        <family val="1"/>
      </rPr>
      <t xml:space="preserve">Kết luận: </t>
    </r>
    <r>
      <rPr>
        <sz val="13"/>
        <color rgb="FFFF0000"/>
        <rFont val="Times New Roman"/>
        <family val="1"/>
      </rPr>
      <t>Vì công ty rất quan tâm đến dòng tiền của họ (tức là muốn lựa chọn dự án có tiêu chí dòng tiền hoàn vốn nhanh), nên Dự án A tốt hơn theo tiêu chí Payback Period, vì thu hồi vốn nhanh hơn B (3,75 năm &lt; 4 năm).</t>
    </r>
  </si>
  <si>
    <t xml:space="preserve">
Cả hai dự án đều có NPV dương → cả hai đều khả thi (tạo giá trị lớn hơn chi phí theo r = 17%).
- NPV₁ = 398.48 triệu đồng.
- NPV₂ = 292.54 triệu đồng.
- Theo tiêu chí NPV (thường được ưu tiên khi không giới hạn vốn)
→ chọn Dự án 1vì NPV₁ &gt; NPV₂ (tạo nhiều giá trị tuyệt đối hơn).
- Theo tiêu chí tỷ lệ lợi ích/chi phí e (khi vốn bị giới hạn hoặc muốn tối ưu trên 1 đơn vị vốn bỏ ra)
→ chọn Dự án 2 vì e₂ (3.14) &gt; e₁ (1.70) (Dự án 2 trả lại nhiều lợi ích trên mỗi đơn vị chi phí hơn).
</t>
  </si>
  <si>
    <t>c. Quyết định chọn dự án để đầu tư</t>
  </si>
  <si>
    <t>Ta có:</t>
  </si>
  <si>
    <t>Kết luận:</t>
  </si>
  <si>
    <r>
      <rPr>
        <sz val="13"/>
        <color rgb="FFFF0000"/>
        <rFont val="Times New Roman"/>
        <family val="1"/>
      </rPr>
      <t>Payback Period (thông thường):</t>
    </r>
    <r>
      <rPr>
        <sz val="13"/>
        <color theme="1"/>
        <rFont val="Times New Roman"/>
        <family val="1"/>
      </rPr>
      <t xml:space="preserve"> 5 năm</t>
    </r>
  </si>
  <si>
    <r>
      <rPr>
        <b/>
        <sz val="13"/>
        <color rgb="FFFF0000"/>
        <rFont val="Times New Roman"/>
        <family val="1"/>
      </rPr>
      <t>Discounted Payback Period (chiết khấu 10%):</t>
    </r>
    <r>
      <rPr>
        <sz val="13"/>
        <color theme="1"/>
        <rFont val="Times New Roman"/>
        <family val="1"/>
      </rPr>
      <t xml:space="preserve"> khoảng 8 năm 3 tháng</t>
    </r>
  </si>
  <si>
    <t xml:space="preserve"> - Số tiền còn thiếu sau năm 4 = 100 - 87,63 =</t>
  </si>
  <si>
    <r>
      <t xml:space="preserve"> -  PV dòng tiền của năm 5 là PV</t>
    </r>
    <r>
      <rPr>
        <sz val="11"/>
        <rFont val="Times New Roman"/>
        <family val="1"/>
      </rPr>
      <t xml:space="preserve">5 </t>
    </r>
    <r>
      <rPr>
        <sz val="13"/>
        <rFont val="Times New Roman"/>
        <family val="1"/>
      </rPr>
      <t>=</t>
    </r>
  </si>
  <si>
    <t>3.Payback không chiết khấu (để so sánh)</t>
  </si>
  <si>
    <t xml:space="preserve"> - Nếu không chiết khấu (simple payback):</t>
  </si>
  <si>
    <t xml:space="preserve"> - Năm 0: đầu tư ban đầu 100 triệu</t>
  </si>
  <si>
    <t xml:space="preserve"> - Năm 0: đầu tư ban đầu =</t>
  </si>
  <si>
    <t>triệu đồng</t>
  </si>
  <si>
    <r>
      <t xml:space="preserve"> </t>
    </r>
    <r>
      <rPr>
        <u/>
        <sz val="13"/>
        <color rgb="FFFF0000"/>
        <rFont val="Times New Roman"/>
        <family val="1"/>
      </rPr>
      <t xml:space="preserve">Kết luận: </t>
    </r>
    <r>
      <rPr>
        <sz val="13"/>
        <color rgb="FFFF0000"/>
        <rFont val="Times New Roman"/>
        <family val="1"/>
      </rPr>
      <t>Thời gian hoàn vốn chiết khấu là khoảng 4 năm 8 tháng</t>
    </r>
  </si>
  <si>
    <t xml:space="preserve"> -  Phần của năm 5 cần thiết = 12,37 / 18,24 =</t>
  </si>
  <si>
    <t xml:space="preserve"> Vậy Discounted Payback Period (frac) = 4 + 0,68 =</t>
  </si>
  <si>
    <t>- Cumulative nominal: sau năm 3 = 90 &lt; 100 ; sau năm 4 = 130 ≥100 → xảy ra trong năm 4.</t>
  </si>
  <si>
    <t>- Còn thiếu sau năm3 = 10, năm4 có 40 ⇒ frac = 10/40 = 0.25 năm → 3.25 năm = 3 năm 3 tháng.</t>
  </si>
  <si>
    <r>
      <rPr>
        <u/>
        <sz val="13"/>
        <color rgb="FFFF0000"/>
        <rFont val="Times New Roman"/>
        <family val="1"/>
      </rPr>
      <t>Kết luận:</t>
    </r>
    <r>
      <rPr>
        <sz val="13"/>
        <color rgb="FFFF0000"/>
        <rFont val="Times New Roman"/>
        <family val="1"/>
      </rPr>
      <t xml:space="preserve">
 - Dự án hoàn vốn chiết khấu sau khoảng 4,68 năm ( khoảng 4 năm 8 tháng ) với lãi suất 17%.
 - Nếu không tính chiết khấu, payback = 3.25 năm (3 năm 3 tháng).</t>
    </r>
  </si>
  <si>
    <t>Bài giải:</t>
  </si>
  <si>
    <r>
      <t>-   PV</t>
    </r>
    <r>
      <rPr>
        <sz val="11"/>
        <color theme="1"/>
        <rFont val="Times New Roman"/>
        <family val="1"/>
      </rPr>
      <t>5→3</t>
    </r>
    <r>
      <rPr>
        <sz val="13"/>
        <color theme="1"/>
        <rFont val="Times New Roman"/>
        <family val="1"/>
      </rPr>
      <t xml:space="preserve"> = </t>
    </r>
  </si>
  <si>
    <t xml:space="preserve">   =</t>
  </si>
  <si>
    <t>(1+17%)^2</t>
  </si>
  <si>
    <t xml:space="preserve"> =&gt; Tổng số tiền phải trả ở năm 3 = 117 + 219,15 = </t>
  </si>
  <si>
    <r>
      <rPr>
        <u/>
        <sz val="13"/>
        <color rgb="FFFF0000"/>
        <rFont val="Times New Roman"/>
        <family val="1"/>
      </rPr>
      <t>Kết luận:</t>
    </r>
    <r>
      <rPr>
        <sz val="13"/>
        <color rgb="FFFF0000"/>
        <rFont val="Times New Roman"/>
        <family val="1"/>
      </rPr>
      <t xml:space="preserve"> Nếu trả gộp 1 lần vào năm thứ 3 thì công ty phải trả khoảng 336,15 triệu đồng.</t>
    </r>
  </si>
  <si>
    <t>Theo đề bài ta có:</t>
  </si>
  <si>
    <t>(1 + r ) ^2</t>
  </si>
  <si>
    <r>
      <t xml:space="preserve"> </t>
    </r>
    <r>
      <rPr>
        <b/>
        <sz val="13"/>
        <color theme="1"/>
        <rFont val="Times New Roman"/>
        <family val="1"/>
      </rPr>
      <t xml:space="preserve">- </t>
    </r>
    <r>
      <rPr>
        <sz val="13"/>
        <color theme="1"/>
        <rFont val="Times New Roman"/>
        <family val="1"/>
      </rPr>
      <t>Số tiền 300 triệu trả ở năm 5 muốn trả sớm hơn 2 năm (về năm 3) → phải chiết khấu 2 năm:</t>
    </r>
  </si>
  <si>
    <r>
      <rPr>
        <b/>
        <sz val="13"/>
        <color theme="1"/>
        <rFont val="Times New Roman"/>
        <family val="1"/>
      </rPr>
      <t xml:space="preserve"> -</t>
    </r>
    <r>
      <rPr>
        <sz val="13"/>
        <color theme="1"/>
        <rFont val="Times New Roman"/>
        <family val="1"/>
      </rPr>
      <t xml:space="preserve"> Số tiền 100 triệu trả ở năm 2 muốn trả muộn hơn 1 năm (sang năm 3) → phải cộng lãi 1 năm: 100 x (1 + r )</t>
    </r>
  </si>
  <si>
    <t xml:space="preserve"> - Tổng phải trả ở năm 3 = hai thành phần cộng lại.</t>
  </si>
  <si>
    <t>Với lãi suất r = 17% ta có:</t>
  </si>
  <si>
    <t xml:space="preserve"> - Lãi suất r = 17% </t>
  </si>
  <si>
    <r>
      <t>- Từ năm 2 lên năm 3: FV</t>
    </r>
    <r>
      <rPr>
        <sz val="9"/>
        <rFont val="Times New Roman"/>
        <family val="1"/>
      </rPr>
      <t xml:space="preserve">2→3 </t>
    </r>
    <r>
      <rPr>
        <sz val="13"/>
        <rFont val="Times New Roman"/>
        <family val="1"/>
      </rPr>
      <t xml:space="preserve">= 100 x (1 + r )^ 3 -2 = 100 x (1+17%) ^1 = </t>
    </r>
  </si>
  <si>
    <t xml:space="preserve"> - Từ năm 5 về năm 3:</t>
  </si>
  <si>
    <t>Ta có : Hai dòng của Dự án 3 và Dự án 4 thiếu giá trị ở cột cuối cùng (cột “Lấp đầy khoảng trống thị trường”). Giả sử giá trị đó bằng 0 .</t>
  </si>
  <si>
    <t>Trọng số các tiêu chí (tương ứng 6 cột): [2, 5, 4, 3, 1, 3].</t>
  </si>
  <si>
    <t>Điểm các dự án (mỗi hàng là một dự án, theo thứ tự 6 tiêu chí):</t>
  </si>
  <si>
    <t>Dự án 1: [9, 5, 2, 0, 2, 5]</t>
  </si>
  <si>
    <t>Dự án 2: [2, 6, 2, 0, 5, 1]</t>
  </si>
  <si>
    <t>Dự án 3: [6, 8, 2, 2, 6, 0] (giả sử cột cuối = 0)</t>
  </si>
  <si>
    <t>Dự án 4: [1, 1, 5, 10, 5, 0] (giả sử cột cuối = 0)</t>
  </si>
  <si>
    <t>Dự án 5: [3, 10, 9, 1, 8, 0]</t>
  </si>
  <si>
    <t>1. Tính điểm có trọng số (weighted score):</t>
  </si>
  <si>
    <r>
      <t xml:space="preserve">Áp dụng công thức: score = ∑ </t>
    </r>
    <r>
      <rPr>
        <sz val="11"/>
        <rFont val="Times New Roman"/>
        <family val="1"/>
      </rPr>
      <t xml:space="preserve">i= </t>
    </r>
    <r>
      <rPr>
        <sz val="13"/>
        <rFont val="Times New Roman"/>
        <family val="1"/>
      </rPr>
      <t xml:space="preserve">(weight </t>
    </r>
    <r>
      <rPr>
        <sz val="11"/>
        <rFont val="Times New Roman"/>
        <family val="1"/>
      </rPr>
      <t xml:space="preserve">i </t>
    </r>
    <r>
      <rPr>
        <sz val="13"/>
        <rFont val="Times New Roman"/>
        <family val="1"/>
      </rPr>
      <t xml:space="preserve">× score </t>
    </r>
    <r>
      <rPr>
        <sz val="11"/>
        <rFont val="Times New Roman"/>
        <family val="1"/>
      </rPr>
      <t>i</t>
    </r>
    <r>
      <rPr>
        <sz val="13"/>
        <rFont val="Times New Roman"/>
        <family val="1"/>
      </rPr>
      <t xml:space="preserve"> ).</t>
    </r>
  </si>
  <si>
    <t>Ta  có</t>
  </si>
  <si>
    <t xml:space="preserve">Dự án 2 (P2) =  2 x 2 + 5 x 6 + 4 x 2 + 3 x 0 + 1 x 5 + 3 x 1  =  </t>
  </si>
  <si>
    <t xml:space="preserve">Dự án 4 (P4) =  2 x 1 + 5 x 1 + 4 x 5 + 3 x 10 + 1 x 5 + 3 x 0 =  </t>
  </si>
  <si>
    <r>
      <t xml:space="preserve"> - </t>
    </r>
    <r>
      <rPr>
        <b/>
        <sz val="13"/>
        <color theme="1"/>
        <rFont val="Times New Roman"/>
        <family val="1"/>
      </rPr>
      <t xml:space="preserve"> Cao nhất:</t>
    </r>
    <r>
      <rPr>
        <sz val="13"/>
        <color theme="1"/>
        <rFont val="Times New Roman"/>
        <family val="1"/>
      </rPr>
      <t xml:space="preserve"> Dự án 5 (P5) với 103 điểm.</t>
    </r>
  </si>
  <si>
    <r>
      <t xml:space="preserve"> - </t>
    </r>
    <r>
      <rPr>
        <b/>
        <sz val="13"/>
        <color theme="1"/>
        <rFont val="Times New Roman"/>
        <family val="1"/>
      </rPr>
      <t xml:space="preserve"> Thấp nhất:</t>
    </r>
    <r>
      <rPr>
        <sz val="13"/>
        <color theme="1"/>
        <rFont val="Times New Roman"/>
        <family val="1"/>
      </rPr>
      <t xml:space="preserve"> Dự án 2 (P2) với 50 điểm.</t>
    </r>
  </si>
  <si>
    <t xml:space="preserve">Dự án 1 (P1) =  2 x 9 + 5 x 5 + 4 x 2 + 3 x 0 + 1 x 2 + 3 x 5  =  </t>
  </si>
  <si>
    <t xml:space="preserve">Dự án 3 (P3) =  2 x 6 + 5 x 8 + 4 x 2 + 3 x 2+ 1 x 6 + 3 x  0  =  </t>
  </si>
  <si>
    <t xml:space="preserve">Dự án 5(P5) = 2 x 3 + 5 x 10 + 4 x 9 + 3 x 1 + 1 x 8 + 3 x 0 =  </t>
  </si>
  <si>
    <t xml:space="preserve">Dự án 1 (P1) =  5 x 9 + 5 x 5 + 4 x 2 + 3 x 0 + 1 x 2 + 3 x 5 =  </t>
  </si>
  <si>
    <t xml:space="preserve">Dự án 2 (P2) =  5 x 2 + 5 x 6 + 4 x 2 + 3 x 0 + 1 x 5 + 3 x 1  =  </t>
  </si>
  <si>
    <t xml:space="preserve">Dự án 4 (P4) =  5 x 1 + 5 x 1 + 4 x 5 + 3 x 10 + 1 x 5 + 3 x 0 =  </t>
  </si>
  <si>
    <t xml:space="preserve">Dự án 5 (P5) =  5 x 3 + 5 x 10 + 4 x 9 + 3 x 1 + 1 x 8 + 3 x 0 =  </t>
  </si>
  <si>
    <r>
      <rPr>
        <u/>
        <sz val="13"/>
        <color theme="1"/>
        <rFont val="Times New Roman"/>
        <family val="1"/>
      </rPr>
      <t xml:space="preserve">Kết luận: </t>
    </r>
    <r>
      <rPr>
        <sz val="13"/>
        <color theme="1"/>
        <rFont val="Times New Roman"/>
        <family val="1"/>
      </rPr>
      <t xml:space="preserve">Tên 3 dự án có trọng số mới là cao nhất là </t>
    </r>
  </si>
  <si>
    <t xml:space="preserve">1. Dự án 5 (112)    </t>
  </si>
  <si>
    <t xml:space="preserve">3. Dự án 3 (90) </t>
  </si>
  <si>
    <t>2. Dự án 1 (95)</t>
  </si>
  <si>
    <t>triệu đồng/tháng</t>
  </si>
  <si>
    <r>
      <t xml:space="preserve"> - </t>
    </r>
    <r>
      <rPr>
        <b/>
        <sz val="13"/>
        <color theme="1"/>
        <rFont val="Times New Roman"/>
        <family val="1"/>
      </rPr>
      <t xml:space="preserve">nper: </t>
    </r>
    <r>
      <rPr>
        <sz val="13"/>
        <color theme="1"/>
        <rFont val="Times New Roman"/>
        <family val="1"/>
      </rPr>
      <t xml:space="preserve">số kỳ </t>
    </r>
  </si>
  <si>
    <r>
      <t xml:space="preserve"> -</t>
    </r>
    <r>
      <rPr>
        <b/>
        <sz val="13"/>
        <color theme="1"/>
        <rFont val="Times New Roman"/>
        <family val="1"/>
      </rPr>
      <t xml:space="preserve"> fv: </t>
    </r>
    <r>
      <rPr>
        <sz val="13"/>
        <color theme="1"/>
        <rFont val="Times New Roman"/>
        <family val="1"/>
      </rPr>
      <t>giá trị tương lai, để 0 nếu không có =</t>
    </r>
  </si>
  <si>
    <r>
      <t xml:space="preserve"> - </t>
    </r>
    <r>
      <rPr>
        <b/>
        <sz val="13"/>
        <color theme="1"/>
        <rFont val="Times New Roman"/>
        <family val="1"/>
      </rPr>
      <t xml:space="preserve">type: </t>
    </r>
    <r>
      <rPr>
        <sz val="13"/>
        <color theme="1"/>
        <rFont val="Times New Roman"/>
        <family val="1"/>
      </rPr>
      <t>thời điểm thanh toán:</t>
    </r>
  </si>
  <si>
    <t xml:space="preserve">   +   cuối kỳ (mặc định)  =</t>
  </si>
  <si>
    <t xml:space="preserve">   +   đầu kỳ  =</t>
  </si>
  <si>
    <t>Lưu ý: Vì hàm PV trong excel mặc định:</t>
  </si>
  <si>
    <t xml:space="preserve"> - Dòng tiền ra (mình bỏ tiền ra, trả nợ, trả góp) → âm (-)</t>
  </si>
  <si>
    <t xml:space="preserve"> - Dòng tiền vào (mình thu về, nhận được, lợi nhuận) → dương (+)</t>
  </si>
  <si>
    <t xml:space="preserve">=&gt;Vì theo đề bài mỗi tháng phải trả góp 25 triệu → đây là dòng tiền ra → âm (-) → pmt = </t>
  </si>
  <si>
    <r>
      <t xml:space="preserve"> -</t>
    </r>
    <r>
      <rPr>
        <b/>
        <sz val="13"/>
        <color theme="1"/>
        <rFont val="Times New Roman"/>
        <family val="1"/>
      </rPr>
      <t xml:space="preserve">  pmt:</t>
    </r>
    <r>
      <rPr>
        <sz val="13"/>
        <color theme="1"/>
        <rFont val="Times New Roman"/>
        <family val="1"/>
      </rPr>
      <t xml:space="preserve"> số tiền trả đều mỗi kỳ </t>
    </r>
  </si>
  <si>
    <t>Một cửa hàng bán kinh doanh linh kiện máy vi tính với 2 cách thanh toán:</t>
  </si>
  <si>
    <t xml:space="preserve">1. Trả ngay = </t>
  </si>
  <si>
    <r>
      <t xml:space="preserve"> - </t>
    </r>
    <r>
      <rPr>
        <b/>
        <sz val="13"/>
        <color theme="1"/>
        <rFont val="Times New Roman"/>
        <family val="1"/>
      </rPr>
      <t>rate:</t>
    </r>
    <r>
      <rPr>
        <sz val="13"/>
        <color theme="1"/>
        <rFont val="Times New Roman"/>
        <family val="1"/>
      </rPr>
      <t xml:space="preserve"> lãi suất mỗi kỳ = 1,5%/tháng =</t>
    </r>
  </si>
  <si>
    <t>tháng</t>
  </si>
  <si>
    <r>
      <t xml:space="preserve">Nếu chọn cách </t>
    </r>
    <r>
      <rPr>
        <b/>
        <sz val="13"/>
        <color rgb="FFFF0000"/>
        <rFont val="Times New Roman"/>
        <family val="1"/>
      </rPr>
      <t>trả góp</t>
    </r>
    <r>
      <rPr>
        <sz val="13"/>
        <color rgb="FFFF0000"/>
        <rFont val="Times New Roman"/>
        <family val="1"/>
      </rPr>
      <t xml:space="preserve">, thì số tiền tương đương phải trả </t>
    </r>
    <r>
      <rPr>
        <b/>
        <sz val="13"/>
        <color rgb="FFFF0000"/>
        <rFont val="Times New Roman"/>
        <family val="1"/>
      </rPr>
      <t>một lần ngay bây giờ</t>
    </r>
    <r>
      <rPr>
        <sz val="13"/>
        <color rgb="FFFF0000"/>
        <rFont val="Times New Roman"/>
        <family val="1"/>
      </rPr>
      <t xml:space="preserve"> (giá trị hiện tại) là bao nhiêu?</t>
    </r>
  </si>
  <si>
    <t>Ta có giá trị hiện tại của một niên kim 25 triệu trong 12 tháng với lãi suất 1.5%/tháng.</t>
  </si>
  <si>
    <t xml:space="preserve"> - Áp dụng công thức giá trị hiện tại của niên kim đều:</t>
  </si>
  <si>
    <t xml:space="preserve">     P       x</t>
  </si>
  <si>
    <t>25 x</t>
  </si>
  <si>
    <t>1 - (1 + r )^-n</t>
  </si>
  <si>
    <t>1 - (1 + 0.015)^-12</t>
  </si>
  <si>
    <t xml:space="preserve">   Trong đó: (1.015)^-12 =</t>
  </si>
  <si>
    <t>1 - 0.836387</t>
  </si>
  <si>
    <t>Thử lại tính PV bằng công thức Excel</t>
  </si>
  <si>
    <t>Tóm tắt các chỉ số:</t>
  </si>
  <si>
    <t xml:space="preserve">         PV ( rate, nper, pmt, [fv], [type] )</t>
  </si>
  <si>
    <t xml:space="preserve">         PV ( 0.015, 12, -25, 0, 0 )  =</t>
  </si>
  <si>
    <r>
      <t>2. Trả góp</t>
    </r>
    <r>
      <rPr>
        <b/>
        <sz val="13"/>
        <color rgb="FFFF0000"/>
        <rFont val="Times New Roman"/>
        <family val="1"/>
      </rPr>
      <t xml:space="preserve"> (P) </t>
    </r>
    <r>
      <rPr>
        <sz val="13"/>
        <color theme="1"/>
        <rFont val="Times New Roman"/>
        <family val="1"/>
      </rPr>
      <t xml:space="preserve"> = </t>
    </r>
  </si>
  <si>
    <r>
      <t xml:space="preserve"> - Lãi suất trả góp </t>
    </r>
    <r>
      <rPr>
        <b/>
        <sz val="13"/>
        <color rgb="FFFF0000"/>
        <rFont val="Times New Roman"/>
        <family val="1"/>
      </rPr>
      <t xml:space="preserve">( r ) </t>
    </r>
    <r>
      <rPr>
        <sz val="13"/>
        <color theme="1"/>
        <rFont val="Times New Roman"/>
        <family val="1"/>
      </rPr>
      <t>là 1,5%/tháng  =</t>
    </r>
  </si>
  <si>
    <r>
      <t xml:space="preserve">triệu/tháng trong </t>
    </r>
    <r>
      <rPr>
        <b/>
        <sz val="13"/>
        <color rgb="FFFF0000"/>
        <rFont val="Times New Roman"/>
        <family val="1"/>
      </rPr>
      <t>(n)</t>
    </r>
    <r>
      <rPr>
        <sz val="13"/>
        <color theme="1"/>
        <rFont val="Times New Roman"/>
        <family val="1"/>
      </rPr>
      <t xml:space="preserve"> là</t>
    </r>
  </si>
  <si>
    <t xml:space="preserve"> - Phương án 1 – Trả ngay theo giá rao bán: cần trả 200 triệu đồng.</t>
  </si>
  <si>
    <t xml:space="preserve"> - Phương án 2 – Trả góp: tổng số tiền phải trả trong 12 tháng là 300 triệu, có giá trị hiện tại quy đổi ≈ 272,69 triệu đồng nếu muốn dứt điểm ngay.</t>
  </si>
  <si>
    <r>
      <t xml:space="preserve"> - Công ty đã trả </t>
    </r>
    <r>
      <rPr>
        <b/>
        <sz val="13"/>
        <color theme="1"/>
        <rFont val="Times New Roman"/>
        <family val="1"/>
      </rPr>
      <t>7 lần</t>
    </r>
    <r>
      <rPr>
        <sz val="13"/>
        <color theme="1"/>
        <rFont val="Times New Roman"/>
        <family val="1"/>
      </rPr>
      <t xml:space="preserve">, mỗi lần </t>
    </r>
    <r>
      <rPr>
        <b/>
        <sz val="13"/>
        <color theme="1"/>
        <rFont val="Times New Roman"/>
        <family val="1"/>
      </rPr>
      <t>10</t>
    </r>
    <r>
      <rPr>
        <sz val="13"/>
        <color theme="1"/>
        <rFont val="Times New Roman"/>
        <family val="1"/>
      </rPr>
      <t xml:space="preserve"> (cuối mỗi năm).</t>
    </r>
  </si>
  <si>
    <t xml:space="preserve"> L = </t>
  </si>
  <si>
    <t>triệu ( số tiền vay ban đầu)</t>
  </si>
  <si>
    <t xml:space="preserve"> PMT = </t>
  </si>
  <si>
    <t>tương đườn 12%/năm</t>
  </si>
  <si>
    <t xml:space="preserve"> r = </t>
  </si>
  <si>
    <t xml:space="preserve"> n = </t>
  </si>
  <si>
    <t>(số năm trả)</t>
  </si>
  <si>
    <t xml:space="preserve">      Balance7 =  </t>
  </si>
  <si>
    <t>100 (1+0,12)^7 - 10  x</t>
  </si>
  <si>
    <t>Thay các giá trị vào công thức ta có:</t>
  </si>
  <si>
    <t>Giả sử số dư đó là B. Muốn trả bằng khoản đều hàng năm trong 𝑛 = 5 năm, ta tìm X  thỏa mãn công thức</t>
  </si>
  <si>
    <t xml:space="preserve"> =&gt; </t>
  </si>
  <si>
    <r>
      <t xml:space="preserve"> - Số dư nợ sau 7 lần trả là </t>
    </r>
    <r>
      <rPr>
        <b/>
        <sz val="13"/>
        <color theme="1"/>
        <rFont val="Times New Roman"/>
        <family val="1"/>
      </rPr>
      <t>(B)</t>
    </r>
    <r>
      <rPr>
        <sz val="13"/>
        <color theme="1"/>
        <rFont val="Times New Roman"/>
        <family val="1"/>
      </rPr>
      <t xml:space="preserve"> = 120,178 triệu đồng</t>
    </r>
  </si>
  <si>
    <r>
      <rPr>
        <sz val="13"/>
        <color rgb="FFFF0000"/>
        <rFont val="Times New Roman"/>
        <family val="1"/>
      </rPr>
      <t xml:space="preserve"> =&gt;</t>
    </r>
    <r>
      <rPr>
        <sz val="13"/>
        <color theme="1"/>
        <rFont val="Times New Roman"/>
        <family val="1"/>
      </rPr>
      <t xml:space="preserve">   X =  B  *</t>
    </r>
  </si>
  <si>
    <t xml:space="preserve"> =&gt;  X  ≈</t>
  </si>
  <si>
    <t xml:space="preserve">     Trong đó (1+0,12)^-5 =</t>
  </si>
  <si>
    <r>
      <rPr>
        <u/>
        <sz val="13"/>
        <color rgb="FFFF0000"/>
        <rFont val="Times New Roman"/>
        <family val="1"/>
      </rPr>
      <t>Kết luận:</t>
    </r>
    <r>
      <rPr>
        <sz val="13"/>
        <color rgb="FFFF0000"/>
        <rFont val="Times New Roman"/>
        <family val="1"/>
      </rPr>
      <t xml:space="preserve"> Công ty phải trả khoảng 33.34 triệu đồng mỗi năm trong 5 năm tiếp theo (khoản trả vào cuối mỗi năm) để tất toán khoản nợ sau khi đã trả 7 lần mỗi lần là 10 triệu.
</t>
    </r>
  </si>
  <si>
    <t>Thử tính lại các giá trị bằng công thức Excel:</t>
  </si>
  <si>
    <t>1. Số dư sau 7 năm (công thức trực tiếp):</t>
  </si>
  <si>
    <t xml:space="preserve">         FV ( rate, nper, pmt, [pv], [type] )</t>
  </si>
  <si>
    <t xml:space="preserve">         FV (0.12, 7, 10, -100, 0) =</t>
  </si>
  <si>
    <t>2. Khoản thanh toán hàng năm cần thiết (hàm PMT):</t>
  </si>
  <si>
    <t xml:space="preserve"> = PMT ( rate, nper, pv,[fv], [type] )</t>
  </si>
  <si>
    <t xml:space="preserve"> = PMT(0.12, 5, -120.178, 0 ) =</t>
  </si>
  <si>
    <t>Tạo tập tin .mpp ở phần mềm Project</t>
  </si>
  <si>
    <t>Bảng 3.1: Danh sách các nhiệm vụ</t>
  </si>
  <si>
    <t>Bảng 3.2. Nhân lực thực hiện dự án</t>
  </si>
  <si>
    <t>Bảng 3.3. Bảng phân công nhân lực và tỷ lệ hoàn thành công việc</t>
  </si>
  <si>
    <t xml:space="preserve"> - Nhiệm vụ nào Hải tham gia.</t>
  </si>
  <si>
    <t xml:space="preserve"> - Số giờ làm việc (Work)</t>
  </si>
  <si>
    <t xml:space="preserve"> - Mức lương chuẩn (Std. Rate).</t>
  </si>
  <si>
    <t xml:space="preserve"> - Chi phí (Cost).</t>
  </si>
  <si>
    <t xml:space="preserve"> - Các ngày làm việc cụ thể (thấy trong bảng lịch bên phải).</t>
  </si>
  <si>
    <t>Nhiệm vụ</t>
  </si>
  <si>
    <t>Work (giờ)</t>
  </si>
  <si>
    <t>Std. Rate</t>
  </si>
  <si>
    <t>Cost (USD)</t>
  </si>
  <si>
    <t>Tiến hành phân tích nhu cầu</t>
  </si>
  <si>
    <t>Đặc tả sơ bộ phần mềm</t>
  </si>
  <si>
    <t>Kết hợp phản hồi vào đặc tả phần mềm</t>
  </si>
  <si>
    <t>Phát triển đặc tả chức năng</t>
  </si>
  <si>
    <t>Phát triển nguyên mẫu dựa trên đặc tả chức năng</t>
  </si>
  <si>
    <t>Đánh giá đặc tả phần mềm/ngân sách cùng với nhóm</t>
  </si>
  <si>
    <t>40h</t>
  </si>
  <si>
    <t>24h</t>
  </si>
  <si>
    <t>4h</t>
  </si>
  <si>
    <t>8h</t>
  </si>
  <si>
    <t>32h</t>
  </si>
  <si>
    <t>35$/hr</t>
  </si>
  <si>
    <t>1,400$</t>
  </si>
  <si>
    <t>840$</t>
  </si>
  <si>
    <t>280$</t>
  </si>
  <si>
    <t>1,120$</t>
  </si>
  <si>
    <t>140$</t>
  </si>
  <si>
    <t>Tổng cộng: 148h làm việc, chi phí 5,180$.</t>
  </si>
  <si>
    <t>1. Hoàng Minh Hải tham gia các nhiệm vụ sau, với mức lương chuẩn 35$/hr:</t>
  </si>
  <si>
    <t>2.Ngày làm việc cụ thể</t>
  </si>
  <si>
    <t>Trong khung nhìn Resource Usage, phần lịch bên phải hiển thị số giờ Hải làm theo ngày.</t>
  </si>
  <si>
    <t>Ví dụ</t>
  </si>
  <si>
    <t xml:space="preserve"> - Tuần 1: Hải làm 7h, 8h, 1h… tùy nhiệm vụ.</t>
  </si>
  <si>
    <t xml:space="preserve"> - Các tuần sau: phân bổ tiếp 4h, 7h, 8h…</t>
  </si>
  <si>
    <t>Hình minh họa từ thực hành trên phần mềm Project</t>
  </si>
  <si>
    <t xml:space="preserve"> - Vào tab View → Task Usage.</t>
  </si>
  <si>
    <t xml:space="preserve"> - Trong danh sách nhiệm vụ, tìm “Phát triển đặc tả chức năng” (ID 19 trong WBS).</t>
  </si>
  <si>
    <t>Mở rộng nhiệm vụ để thấy các nhân lực được gán:</t>
  </si>
  <si>
    <t xml:space="preserve"> - Hoàng Minh Hải</t>
  </si>
  <si>
    <t xml:space="preserve"> - Võ Trường Giang</t>
  </si>
  <si>
    <t xml:space="preserve"> - Trần Hồng Hạnh</t>
  </si>
  <si>
    <t>Chuột phải vào tiêu đề cột → Insert Column → chọn các cột:</t>
  </si>
  <si>
    <t xml:space="preserve"> - Work (giờ làm việc)</t>
  </si>
  <si>
    <t xml:space="preserve"> - Cost (chi phí)</t>
  </si>
  <si>
    <t xml:space="preserve"> - Start (ngày bắt đầu)</t>
  </si>
  <si>
    <t xml:space="preserve"> - Finish (ngày kết thúc)</t>
  </si>
  <si>
    <t xml:space="preserve"> - Trong bảng bên phải (calendar grid), bạn sẽ thấy số giờ từng người làm mỗi ngày</t>
  </si>
  <si>
    <t xml:space="preserve"> - Ghi lại tổng giờ (Work), ngày bắt đầu, ngày kết thúc, chi phí.</t>
  </si>
  <si>
    <t xml:space="preserve"> - Liệt kê lịch làm việc cụ thể theo ngày.</t>
  </si>
  <si>
    <t>1. Nhiệm vụ: Phát triển đặc tả chức năng (thời gian 5 ngày, từ 21/03/2023 đến 27/03/2023).</t>
  </si>
  <si>
    <t>2. Người tham gia và kết quả như sau:</t>
  </si>
  <si>
    <t>Nhân lực</t>
  </si>
  <si>
    <t>Cost</t>
  </si>
  <si>
    <t>Start</t>
  </si>
  <si>
    <t>Finish</t>
  </si>
  <si>
    <t>Hoàng Minh Hải</t>
  </si>
  <si>
    <t>35$/h</t>
  </si>
  <si>
    <t>21/03/2023</t>
  </si>
  <si>
    <t>27/03/2023</t>
  </si>
  <si>
    <t>Võ Trường Giang</t>
  </si>
  <si>
    <t>Trần Hồng Hạnh</t>
  </si>
  <si>
    <t>30$/h</t>
  </si>
  <si>
    <t>1,200$</t>
  </si>
  <si>
    <t>Vì sao cả ba đều làm 5 ngày nhưng giờ công có thể khác trong đề?</t>
  </si>
  <si>
    <t xml:space="preserve"> - Do trong bảng nhân lực (Resource Sheet) ban đầu có khai báo Max. Units khác nhau. Nếu Max. Units = 50% thì người đó chỉ làm nửa ngày (4h/ngày).</t>
  </si>
  <si>
    <t xml:space="preserve"> - Trong file Project bạn đang làm, cả Hải – Giang – Hạnh đều gán Max. Units = 100%, nên tất cả được phân bổ 40h (8h/ngày × 5 ngày).</t>
  </si>
  <si>
    <t>Vì sao Giang và Hạnh cùng 40h nhưng chi phí khác nhau?</t>
  </si>
  <si>
    <t>Vì Std. Rate khác nhau:</t>
  </si>
  <si>
    <t xml:space="preserve"> - Võ Trường Giang = 35$/h → 1,400$</t>
  </si>
  <si>
    <t xml:space="preserve"> - Trần Hồng Hạnh = 30$/h → 1,200$</t>
  </si>
  <si>
    <t>1. Chọn View → Gantt Chart (nếu chưa ở Gantt).</t>
  </si>
  <si>
    <t>2.Chọn tab Format trên ribbon.</t>
  </si>
  <si>
    <t>3.Trong nhóm Bar Styles bấm Critical Tasks (hoặc: Format → Bar Styles → đánh dấu Critical Tasks)</t>
  </si>
  <si>
    <t xml:space="preserve"> - Project sẽ tô khác màu cho các công việc tới hạn.</t>
  </si>
  <si>
    <t>1. Tab Format → Gantt Chart Style → More</t>
  </si>
  <si>
    <t>2. Chọn một Presentation Style (ví dụ: Orange / Blue) để áp theme nhanh cho toàn bộ biểu đồ.</t>
  </si>
  <si>
    <t>1. Tab Format → Bar Styles → Format (hoặc: Format → Bar Styles → chọn Bar Styles → nhấn Format).</t>
  </si>
  <si>
    <t>2.Ở hộp thoại Bar Styles:</t>
  </si>
  <si>
    <t xml:space="preserve"> - Chọn Critical → chỉnh màu/kiểu cho thanh tới hạn.</t>
  </si>
  <si>
    <t xml:space="preserve"> - Chọn Summary → chỉnh màu/kiểu cho các thanh tóm tắt.</t>
  </si>
  <si>
    <t xml:space="preserve"> - Chọn Milestone hoặc chọn tên cột mốc (ví dụ: % Complete milestones) → trong Start chọn Shape</t>
  </si>
  <si>
    <t xml:space="preserve">  = Diamond or Star để hiển thị biểu tượng cột mốc; chỉnh Color.</t>
  </si>
  <si>
    <t>3.Với mỗi loại có thể:</t>
  </si>
  <si>
    <t xml:space="preserve"> - Đổi Shape (ví dụ: hình vuông, mũi tên, diamond).</t>
  </si>
  <si>
    <t xml:space="preserve"> - Đổi Type (Solid, Pattern) và Color.</t>
  </si>
  <si>
    <t>4. Nhấn Text tab trong hộp thoại Bar Styles để chọn hiển thị văn bản:</t>
  </si>
  <si>
    <t xml:space="preserve"> - Left: [Start] (hoặc Early Start)</t>
  </si>
  <si>
    <t xml:space="preserve"> - Right: [Finish] (hoặc Late Finish)</t>
  </si>
  <si>
    <t xml:space="preserve"> - Top: [Name] (hiển thị tên công việc phía trên thanh)</t>
  </si>
  <si>
    <t xml:space="preserve"> - Bottom: [Slack] hoặc [Duration] (nếu cần)</t>
  </si>
  <si>
    <t xml:space="preserve"> - Inside: [Deadline] (nếu muốn hiển thị deadline trong thanh)</t>
  </si>
  <si>
    <t xml:space="preserve"> - Tab Format → tick/untick Project Summary Task để hiện ô tóm tắt dự án lên đầu Gantt (nếu muốn chụp).</t>
  </si>
  <si>
    <t xml:space="preserve"> - Đảm bảo  đang hiển thị Indicators hoặc sử dụng Format → Bar Styles để phân biệt</t>
  </si>
  <si>
    <t xml:space="preserve"> -Có thể lọc chỉ show Critical tasks: Tab View → Filter → Critical để chỉ nhìn tasks tới hạn khi chụp</t>
  </si>
  <si>
    <t xml:space="preserve"> - Chọn vùng Gantt cần chụp (ví dụ toàn bộ trang hoặc chỉ các dòng chọn).</t>
  </si>
  <si>
    <t xml:space="preserve"> - Tab Task → nhóm Clipboard → mũi tên Copy → chọn Copy Picture</t>
  </si>
  <si>
    <t xml:space="preserve"> - Trong hộp thoại Copy Picture chọn For screen hoặc For printer / phạm vi Selected Rows hoặc Entire view → OK.</t>
  </si>
  <si>
    <t>- Dán vào Word (Ctrl+V). Hoặc dùng Format → Copy Timeline → Full Size nếu chụp Timeline.</t>
  </si>
  <si>
    <t>BƯỚC 2:</t>
  </si>
  <si>
    <t xml:space="preserve"> - Vào tab View → Network Diagram</t>
  </si>
  <si>
    <t xml:space="preserve"> - MS Project sẽ hiển thị sơ đồ mạng (các ô hình chữ nhật thể hiện công việc, mũi tên thể hiện quan hệ trước–sau).</t>
  </si>
  <si>
    <t xml:space="preserve"> - Tab Format → Layout để chỉnh cách bố trí (ví dụ: Top-bottom hoặc Left-right).</t>
  </si>
  <si>
    <t xml:space="preserve"> - Có thể bật thêm thông tin trong hộp công việc (Task Box Styles) → hiển thị Name, Duration, Start/Finish, ID,…</t>
  </si>
  <si>
    <t xml:space="preserve"> - Do sơ đồ mạng thường rất dài,  kéo xuống/qua để chụp từng trang</t>
  </si>
  <si>
    <t xml:space="preserve"> - Hoặc dùng lệnh Copy Picture (Task → Copy → Copy Picture) để chụp một phần sơ đồ.</t>
  </si>
  <si>
    <t xml:space="preserve"> - Vào tab View → Calendar.</t>
  </si>
  <si>
    <t xml:space="preserve"> - Khi đó bạn sẽ thấy lịch biểu dạng tuần (giống lịch tháng).</t>
  </si>
  <si>
    <t xml:space="preserve"> - Cuộn tới tuần 03/04/2023 – 16/04/2023.</t>
  </si>
  <si>
    <t xml:space="preserve"> - Hoặc vào tab Project → Zoom → Entire Project để co/giãn, rồi kéo chuột tới đúng tuần.</t>
  </si>
  <si>
    <t xml:space="preserve"> - Các công việc đã gán tài nguyên sẽ hiển thị trong từng ngày.</t>
  </si>
  <si>
    <t xml:space="preserve"> - Có thể đổi màu bằng cách: Format → Layout → Bar Styles hoặc chỉnh font chữ cho dễ nhìn.</t>
  </si>
  <si>
    <t xml:space="preserve"> - Chuột phải tiêu đề cột → Insert Column → chọn Std. Rate, Work, Cost.</t>
  </si>
  <si>
    <t xml:space="preserve"> -Std. Rate (mức lương chuẩn)</t>
  </si>
  <si>
    <t xml:space="preserve"> - Work (số giờ làm cho từng công việc)</t>
  </si>
  <si>
    <t xml:space="preserve"> - Cost (chi phí, tự động = Std. Rate × Work).</t>
  </si>
  <si>
    <t xml:space="preserve"> - Kết quả (theo Bảng 3.2, tất cả developer đều Std. Rate = 30$/h)</t>
  </si>
  <si>
    <t>Tên nhân lực</t>
  </si>
  <si>
    <t>Công việc (ví dụ)</t>
  </si>
  <si>
    <t>Cost ($)</t>
  </si>
  <si>
    <t>Các công việc khác …</t>
  </si>
  <si>
    <t>…</t>
  </si>
  <si>
    <t>Tổng</t>
  </si>
  <si>
    <t>xxx h</t>
  </si>
  <si>
    <t>xxxx $</t>
  </si>
  <si>
    <t>Lâm Thanh Sang</t>
  </si>
  <si>
    <t>Trương Minh Hảo</t>
  </si>
  <si>
    <t>Huỳnh Tấn Phát</t>
  </si>
  <si>
    <t>Mai Văn Liêm</t>
  </si>
  <si>
    <t>Đoàn Tiến Thuận</t>
  </si>
  <si>
    <t>Đỗ Tiến Hoàng</t>
  </si>
  <si>
    <t xml:space="preserve">1. Ngày bắt đầu dự án là ngày 27/02/2023 như hình bên dưới: </t>
  </si>
  <si>
    <t xml:space="preserve">2. Lịch làm việc của dự án là ngày làm 8 tiếng từ 7 giờ sáng đến 11 giờ trưa, từ 1 giờ chiều tới 5 giờ chiều từ thứ 2 đến thứ 6 như hình bên dưới: </t>
  </si>
  <si>
    <t xml:space="preserve">3. Lịch nghỉ làm việc của dự án: các ngày cuối tuần (thứ Bảy, Chủ Nhật) như hình bên dưới: </t>
  </si>
  <si>
    <t>4. Lịch nghỉ ngày Giỗ Tổ Hùng Vương (10/3 âm lịch) + ngày Thống nhất đất nước (30/4 dương lịch) + Ngày Quốc tế lao động (1/5 dương lịch), ngày Quốc khánh (2/9 dương lịch) như hình bên dưới: .</t>
  </si>
  <si>
    <t>1. Tạo WBS theo Bảng 3.1</t>
  </si>
  <si>
    <t>Bài tập tự làm - Dự án phát triển phần mềm</t>
  </si>
  <si>
    <t>Phần B: Tùy chỉnh khung nhìn, báo cáo</t>
  </si>
  <si>
    <t xml:space="preserve"> +  Các bước thực hiện </t>
  </si>
  <si>
    <r>
      <rPr>
        <b/>
        <sz val="13"/>
        <color theme="1"/>
        <rFont val="Times New Roman"/>
        <family val="1"/>
      </rPr>
      <t>Bước 1:</t>
    </r>
    <r>
      <rPr>
        <sz val="13"/>
        <color theme="1"/>
        <rFont val="Times New Roman"/>
        <family val="1"/>
      </rPr>
      <t xml:space="preserve"> Mở file Project của buổi 2.</t>
    </r>
  </si>
  <si>
    <r>
      <rPr>
        <b/>
        <sz val="13"/>
        <color theme="1"/>
        <rFont val="Times New Roman"/>
        <family val="1"/>
      </rPr>
      <t xml:space="preserve">Bước 2: </t>
    </r>
    <r>
      <rPr>
        <sz val="13"/>
        <color theme="1"/>
        <rFont val="Times New Roman"/>
        <family val="1"/>
      </rPr>
      <t>Vào tab View → Resource Usage để xem chi tiết nhân lực</t>
    </r>
  </si>
  <si>
    <r>
      <rPr>
        <b/>
        <sz val="13"/>
        <color theme="1"/>
        <rFont val="Times New Roman"/>
        <family val="1"/>
      </rPr>
      <t>Bước 3:</t>
    </r>
    <r>
      <rPr>
        <sz val="13"/>
        <color theme="1"/>
        <rFont val="Times New Roman"/>
        <family val="1"/>
      </rPr>
      <t xml:space="preserve"> Trong danh sách Resource Name, tìm Hoàng Minh Hải và mở rộng để thấy các nhiệm vụ anh ấy tham gia.</t>
    </r>
  </si>
  <si>
    <r>
      <rPr>
        <b/>
        <sz val="13"/>
        <color theme="1"/>
        <rFont val="Times New Roman"/>
        <family val="1"/>
      </rPr>
      <t xml:space="preserve">Bước  4: </t>
    </r>
    <r>
      <rPr>
        <sz val="13"/>
        <color theme="1"/>
        <rFont val="Times New Roman"/>
        <family val="1"/>
      </rPr>
      <t>Chuột phải vào tiêu đề cột → Insert Column → thêm cột Cost.</t>
    </r>
  </si>
  <si>
    <r>
      <rPr>
        <b/>
        <sz val="13"/>
        <color theme="1"/>
        <rFont val="Times New Roman"/>
        <family val="1"/>
      </rPr>
      <t>Bước  5:</t>
    </r>
    <r>
      <rPr>
        <sz val="13"/>
        <color theme="1"/>
        <rFont val="Times New Roman"/>
        <family val="1"/>
      </rPr>
      <t xml:space="preserve"> Tiếp tục Insert Column → thêm Standard Rate.</t>
    </r>
  </si>
  <si>
    <r>
      <rPr>
        <b/>
        <sz val="13"/>
        <color theme="1"/>
        <rFont val="Times New Roman"/>
        <family val="1"/>
      </rPr>
      <t>Bước 6:</t>
    </r>
    <r>
      <rPr>
        <sz val="13"/>
        <color theme="1"/>
        <rFont val="Times New Roman"/>
        <family val="1"/>
      </rPr>
      <t xml:space="preserve">  Chụp màn hình phần phân công của Hoàng Minh Hải</t>
    </r>
  </si>
  <si>
    <r>
      <rPr>
        <b/>
        <sz val="13"/>
        <color theme="1"/>
        <rFont val="Times New Roman"/>
        <family val="1"/>
      </rPr>
      <t>Bước 7:</t>
    </r>
    <r>
      <rPr>
        <sz val="13"/>
        <color theme="1"/>
        <rFont val="Times New Roman"/>
        <family val="1"/>
      </rPr>
      <t xml:space="preserve"> Tổng hợp:</t>
    </r>
  </si>
  <si>
    <t>1. Câu 1 - Phần B</t>
  </si>
  <si>
    <t>2. Câu 2 - Phần B</t>
  </si>
  <si>
    <t xml:space="preserve"> + Các bước thực hiện trong MS Project</t>
  </si>
  <si>
    <r>
      <rPr>
        <b/>
        <sz val="13"/>
        <color theme="1"/>
        <rFont val="Times New Roman"/>
        <family val="1"/>
      </rPr>
      <t xml:space="preserve">Bước  1: </t>
    </r>
    <r>
      <rPr>
        <sz val="13"/>
        <color theme="1"/>
        <rFont val="Times New Roman"/>
        <family val="1"/>
      </rPr>
      <t>Xác định nhiệm vụ cần phân tích</t>
    </r>
  </si>
  <si>
    <r>
      <rPr>
        <b/>
        <sz val="13"/>
        <color theme="1"/>
        <rFont val="Times New Roman"/>
        <family val="1"/>
      </rPr>
      <t>Bước 2:</t>
    </r>
    <r>
      <rPr>
        <sz val="13"/>
        <color theme="1"/>
        <rFont val="Times New Roman"/>
        <family val="1"/>
      </rPr>
      <t xml:space="preserve"> Xem nhân lực tham gia</t>
    </r>
  </si>
  <si>
    <r>
      <rPr>
        <b/>
        <sz val="13"/>
        <color theme="1"/>
        <rFont val="Times New Roman"/>
        <family val="1"/>
      </rPr>
      <t>Bước 3:</t>
    </r>
    <r>
      <rPr>
        <sz val="13"/>
        <color theme="1"/>
        <rFont val="Times New Roman"/>
        <family val="1"/>
      </rPr>
      <t xml:space="preserve"> Thêm cột cần thiết</t>
    </r>
  </si>
  <si>
    <r>
      <rPr>
        <b/>
        <sz val="13"/>
        <color theme="1"/>
        <rFont val="Times New Roman"/>
        <family val="1"/>
      </rPr>
      <t xml:space="preserve">Bước 4:  </t>
    </r>
    <r>
      <rPr>
        <sz val="13"/>
        <color theme="1"/>
        <rFont val="Times New Roman"/>
        <family val="1"/>
      </rPr>
      <t>Xem phân bổ giờ theo ngày</t>
    </r>
  </si>
  <si>
    <r>
      <rPr>
        <b/>
        <sz val="13"/>
        <color theme="1"/>
        <rFont val="Times New Roman"/>
        <family val="1"/>
      </rPr>
      <t>Bước 5:</t>
    </r>
    <r>
      <rPr>
        <sz val="13"/>
        <color theme="1"/>
        <rFont val="Times New Roman"/>
        <family val="1"/>
      </rPr>
      <t xml:space="preserve"> Tổng hợp số liệu</t>
    </r>
  </si>
  <si>
    <t xml:space="preserve"> - Tổng số giờ: 120h</t>
  </si>
  <si>
    <t xml:space="preserve"> - Tổng chi phí: 3,300$</t>
  </si>
  <si>
    <t>3. Câu 3 - Phần B</t>
  </si>
  <si>
    <t xml:space="preserve"> + Các bước làm chi tiết</t>
  </si>
  <si>
    <r>
      <rPr>
        <b/>
        <sz val="13"/>
        <color theme="1"/>
        <rFont val="Times New Roman"/>
        <family val="1"/>
      </rPr>
      <t>Bước 1:</t>
    </r>
    <r>
      <rPr>
        <sz val="13"/>
        <color theme="1"/>
        <rFont val="Times New Roman"/>
        <family val="1"/>
      </rPr>
      <t xml:space="preserve"> Hiển thị thanh công việc tới hạn khác màu</t>
    </r>
  </si>
  <si>
    <r>
      <rPr>
        <b/>
        <sz val="13"/>
        <color theme="1"/>
        <rFont val="Times New Roman"/>
        <family val="1"/>
      </rPr>
      <t>Bước 2:</t>
    </r>
    <r>
      <rPr>
        <sz val="13"/>
        <color theme="1"/>
        <rFont val="Times New Roman"/>
        <family val="1"/>
      </rPr>
      <t xml:space="preserve"> Áp style tổng thể (Presentation style)</t>
    </r>
  </si>
  <si>
    <r>
      <rPr>
        <b/>
        <sz val="13"/>
        <color theme="1"/>
        <rFont val="Times New Roman"/>
        <family val="1"/>
      </rPr>
      <t xml:space="preserve">Bước 3: </t>
    </r>
    <r>
      <rPr>
        <sz val="13"/>
        <color theme="1"/>
        <rFont val="Times New Roman"/>
        <family val="1"/>
      </rPr>
      <t>Tùy chỉnh riêng cho từng loại thanh (Task / Critical / Summary / Milestone)</t>
    </r>
  </si>
  <si>
    <t xml:space="preserve"> - Ở cột Name chọn Task → chỉnh Start / Middle / End về Shape và Color tùy theo nhu cầu.</t>
  </si>
  <si>
    <r>
      <rPr>
        <b/>
        <sz val="13"/>
        <color theme="1"/>
        <rFont val="Times New Roman"/>
        <family val="1"/>
      </rPr>
      <t xml:space="preserve">Bước 4: </t>
    </r>
    <r>
      <rPr>
        <sz val="13"/>
        <color theme="1"/>
        <rFont val="Times New Roman"/>
        <family val="1"/>
      </rPr>
      <t>Hiển thị/ẩn Project Summary Task (tóm tắt dự án)</t>
    </r>
  </si>
  <si>
    <r>
      <rPr>
        <b/>
        <sz val="13"/>
        <color theme="1"/>
        <rFont val="Times New Roman"/>
        <family val="1"/>
      </rPr>
      <t xml:space="preserve">Bước 5: </t>
    </r>
    <r>
      <rPr>
        <sz val="13"/>
        <color theme="1"/>
        <rFont val="Times New Roman"/>
        <family val="1"/>
      </rPr>
      <t>Hiển thị task types (tới hạn / chưa tới hạn)</t>
    </r>
  </si>
  <si>
    <r>
      <rPr>
        <b/>
        <sz val="13"/>
        <color theme="1"/>
        <rFont val="Times New Roman"/>
        <family val="1"/>
      </rPr>
      <t>Bước 6:</t>
    </r>
    <r>
      <rPr>
        <sz val="13"/>
        <color theme="1"/>
        <rFont val="Times New Roman"/>
        <family val="1"/>
      </rPr>
      <t xml:space="preserve"> Chụp ảnh biểu đồ </t>
    </r>
  </si>
  <si>
    <t>4. Câu 4 - Phần B</t>
  </si>
  <si>
    <t xml:space="preserve"> + Sinh sơ đồ mạng lịch trình (Network Diagram)</t>
  </si>
  <si>
    <r>
      <rPr>
        <b/>
        <sz val="13"/>
        <color theme="1"/>
        <rFont val="Times New Roman"/>
        <family val="1"/>
      </rPr>
      <t>Bước 1:</t>
    </r>
    <r>
      <rPr>
        <sz val="13"/>
        <color theme="1"/>
        <rFont val="Times New Roman"/>
        <family val="1"/>
      </rPr>
      <t xml:space="preserve"> Mở sơ đồ mạng</t>
    </r>
  </si>
  <si>
    <r>
      <rPr>
        <b/>
        <sz val="13"/>
        <color theme="1"/>
        <rFont val="Times New Roman"/>
        <family val="1"/>
      </rPr>
      <t>Bước 2:</t>
    </r>
    <r>
      <rPr>
        <sz val="13"/>
        <color theme="1"/>
        <rFont val="Times New Roman"/>
        <family val="1"/>
      </rPr>
      <t xml:space="preserve"> Tùy chỉnh hiển thị</t>
    </r>
  </si>
  <si>
    <r>
      <rPr>
        <b/>
        <sz val="13"/>
        <color theme="1"/>
        <rFont val="Times New Roman"/>
        <family val="1"/>
      </rPr>
      <t>Bước 3:</t>
    </r>
    <r>
      <rPr>
        <sz val="13"/>
        <color theme="1"/>
        <rFont val="Times New Roman"/>
        <family val="1"/>
      </rPr>
      <t xml:space="preserve"> Chụp ảnh sơ đồ</t>
    </r>
  </si>
  <si>
    <t>5. Câu 5- Phần B</t>
  </si>
  <si>
    <r>
      <rPr>
        <b/>
        <sz val="13"/>
        <color theme="1"/>
        <rFont val="Times New Roman"/>
        <family val="1"/>
      </rPr>
      <t xml:space="preserve">Bước 1: </t>
    </r>
    <r>
      <rPr>
        <sz val="13"/>
        <color theme="1"/>
        <rFont val="Times New Roman"/>
        <family val="1"/>
      </rPr>
      <t xml:space="preserve"> Mở khung nhìn lịch làm việc (Calendar View)</t>
    </r>
  </si>
  <si>
    <r>
      <rPr>
        <b/>
        <sz val="13"/>
        <color theme="1"/>
        <rFont val="Times New Roman"/>
        <family val="1"/>
      </rPr>
      <t xml:space="preserve">Bước 2: </t>
    </r>
    <r>
      <rPr>
        <sz val="13"/>
        <color theme="1"/>
        <rFont val="Times New Roman"/>
        <family val="1"/>
      </rPr>
      <t>Chọn khoảng thời gian cần hiển thị</t>
    </r>
  </si>
  <si>
    <r>
      <rPr>
        <b/>
        <sz val="13"/>
        <color theme="1"/>
        <rFont val="Times New Roman"/>
        <family val="1"/>
      </rPr>
      <t>Bước 3:</t>
    </r>
    <r>
      <rPr>
        <sz val="13"/>
        <color theme="1"/>
        <rFont val="Times New Roman"/>
        <family val="1"/>
      </rPr>
      <t xml:space="preserve"> Tùy chỉnh hiển thị công việc trên lịch</t>
    </r>
  </si>
  <si>
    <r>
      <rPr>
        <b/>
        <sz val="13"/>
        <color theme="1"/>
        <rFont val="Times New Roman"/>
        <family val="1"/>
      </rPr>
      <t xml:space="preserve">Bước 4: </t>
    </r>
    <r>
      <rPr>
        <sz val="13"/>
        <color theme="1"/>
        <rFont val="Times New Roman"/>
        <family val="1"/>
      </rPr>
      <t>Chụp màn hình lịch làm việc 2 tuần này</t>
    </r>
  </si>
  <si>
    <t xml:space="preserve"> - Dùng Copy Picture (Task → Copy → Copy Picture) hoặc Snipping Tool.</t>
  </si>
  <si>
    <t xml:space="preserve"> p</t>
  </si>
  <si>
    <t>6. Câu 6- Phần B</t>
  </si>
  <si>
    <r>
      <rPr>
        <b/>
        <sz val="13"/>
        <color theme="1"/>
        <rFont val="Times New Roman"/>
        <family val="1"/>
      </rPr>
      <t xml:space="preserve">Bước 1: </t>
    </r>
    <r>
      <rPr>
        <sz val="13"/>
        <color theme="1"/>
        <rFont val="Times New Roman"/>
        <family val="1"/>
      </rPr>
      <t>Vào View → Resource Usage.</t>
    </r>
  </si>
  <si>
    <r>
      <rPr>
        <b/>
        <sz val="13"/>
        <color theme="1"/>
        <rFont val="Times New Roman"/>
        <family val="1"/>
      </rPr>
      <t>Bước 2:</t>
    </r>
    <r>
      <rPr>
        <sz val="13"/>
        <color theme="1"/>
        <rFont val="Times New Roman"/>
        <family val="1"/>
      </rPr>
      <t xml:space="preserve"> Trong danh sách nhân lực (Resource Name), tìm đến nhóm người phát triển (developer).</t>
    </r>
  </si>
  <si>
    <r>
      <rPr>
        <b/>
        <sz val="13"/>
        <color theme="1"/>
        <rFont val="Times New Roman"/>
        <family val="1"/>
      </rPr>
      <t>Bước 3:.</t>
    </r>
    <r>
      <rPr>
        <sz val="13"/>
        <color theme="1"/>
        <rFont val="Times New Roman"/>
        <family val="1"/>
      </rPr>
      <t>Mở rộng từng người để thấy các công việc đã được phân công.</t>
    </r>
  </si>
  <si>
    <r>
      <rPr>
        <b/>
        <sz val="13"/>
        <color theme="1"/>
        <rFont val="Times New Roman"/>
        <family val="1"/>
      </rPr>
      <t xml:space="preserve">Bước 4: </t>
    </r>
    <r>
      <rPr>
        <sz val="13"/>
        <color theme="1"/>
        <rFont val="Times New Roman"/>
        <family val="1"/>
      </rPr>
      <t>Thêm các cột cần thiết:</t>
    </r>
  </si>
  <si>
    <r>
      <rPr>
        <b/>
        <sz val="13"/>
        <color theme="1"/>
        <rFont val="Times New Roman"/>
        <family val="1"/>
      </rPr>
      <t>Bước 5:</t>
    </r>
    <r>
      <rPr>
        <sz val="13"/>
        <color theme="1"/>
        <rFont val="Times New Roman"/>
        <family val="1"/>
      </rPr>
      <t xml:space="preserve"> MS Project sẽ hiển thị:</t>
    </r>
  </si>
  <si>
    <r>
      <rPr>
        <b/>
        <sz val="13"/>
        <color theme="1"/>
        <rFont val="Times New Roman"/>
        <family val="1"/>
      </rPr>
      <t xml:space="preserve">Bước 6: </t>
    </r>
    <r>
      <rPr>
        <sz val="13"/>
        <color theme="1"/>
        <rFont val="Times New Roman"/>
        <family val="1"/>
      </rPr>
      <t>Ở cuối mỗi nhân lực sẽ có Tổng Work và Tổng Cost.</t>
    </r>
  </si>
  <si>
    <r>
      <rPr>
        <b/>
        <sz val="13"/>
        <color theme="1"/>
        <rFont val="Times New Roman"/>
        <family val="1"/>
      </rPr>
      <t>Bước 7:</t>
    </r>
    <r>
      <rPr>
        <sz val="13"/>
        <color theme="1"/>
        <rFont val="Times New Roman"/>
        <family val="1"/>
      </rPr>
      <t xml:space="preserve"> Chụp màn hình kết quả hoặc Copy Report</t>
    </r>
  </si>
  <si>
    <t>7. Câu 7 - Phần B</t>
  </si>
  <si>
    <t xml:space="preserve"> + Các bước thực hiện trên MS Project</t>
  </si>
  <si>
    <r>
      <rPr>
        <b/>
        <sz val="13"/>
        <color theme="1"/>
        <rFont val="Times New Roman"/>
        <family val="1"/>
      </rPr>
      <t>Bước 1:</t>
    </r>
    <r>
      <rPr>
        <sz val="13"/>
        <color theme="1"/>
        <rFont val="Times New Roman"/>
        <family val="1"/>
      </rPr>
      <t xml:space="preserve">  Mở file dự án của bạn.</t>
    </r>
  </si>
  <si>
    <r>
      <rPr>
        <b/>
        <sz val="13"/>
        <color theme="1"/>
        <rFont val="Times New Roman"/>
        <family val="1"/>
      </rPr>
      <t>Bước 2:</t>
    </r>
    <r>
      <rPr>
        <sz val="13"/>
        <color theme="1"/>
        <rFont val="Times New Roman"/>
        <family val="1"/>
      </rPr>
      <t xml:space="preserve"> Vào menu </t>
    </r>
    <r>
      <rPr>
        <b/>
        <sz val="13"/>
        <color theme="1"/>
        <rFont val="Times New Roman"/>
        <family val="1"/>
      </rPr>
      <t>Project → Project Information</t>
    </r>
    <r>
      <rPr>
        <sz val="13"/>
        <color theme="1"/>
        <rFont val="Times New Roman"/>
        <family val="1"/>
      </rPr>
      <t>.</t>
    </r>
  </si>
  <si>
    <r>
      <rPr>
        <b/>
        <sz val="13"/>
        <color theme="1"/>
        <rFont val="Times New Roman"/>
        <family val="1"/>
      </rPr>
      <t xml:space="preserve">Bước 3: </t>
    </r>
    <r>
      <rPr>
        <sz val="13"/>
        <color theme="1"/>
        <rFont val="Times New Roman"/>
        <family val="1"/>
      </rPr>
      <t xml:space="preserve">Trong hộp thoại hiện ra, bấm nút </t>
    </r>
    <r>
      <rPr>
        <b/>
        <sz val="13"/>
        <color theme="1"/>
        <rFont val="Times New Roman"/>
        <family val="1"/>
      </rPr>
      <t>Statistics…</t>
    </r>
    <r>
      <rPr>
        <sz val="13"/>
        <color theme="1"/>
        <rFont val="Times New Roman"/>
        <family val="1"/>
      </rPr>
      <t>.</t>
    </r>
  </si>
  <si>
    <r>
      <rPr>
        <b/>
        <sz val="13"/>
        <color theme="1"/>
        <rFont val="Times New Roman"/>
        <family val="1"/>
      </rPr>
      <t>Bước 4:</t>
    </r>
    <r>
      <rPr>
        <sz val="13"/>
        <color theme="1"/>
        <rFont val="Times New Roman"/>
        <family val="1"/>
      </rPr>
      <t xml:space="preserve"> Cửa sổ </t>
    </r>
    <r>
      <rPr>
        <b/>
        <sz val="13"/>
        <color theme="1"/>
        <rFont val="Times New Roman"/>
        <family val="1"/>
      </rPr>
      <t>Project Statistics</t>
    </r>
    <r>
      <rPr>
        <sz val="13"/>
        <color theme="1"/>
        <rFont val="Times New Roman"/>
        <family val="1"/>
      </rPr>
      <t xml:space="preserve"> sẽ xuất hiện, hiển thị các thông tin cơ bản sau:</t>
    </r>
  </si>
  <si>
    <r>
      <t xml:space="preserve"> - Start / Finish</t>
    </r>
    <r>
      <rPr>
        <sz val="13"/>
        <color theme="1"/>
        <rFont val="Times New Roman"/>
        <family val="1"/>
      </rPr>
      <t xml:space="preserve"> (ngày bắt đầu – ngày kết thúc dự án).</t>
    </r>
  </si>
  <si>
    <r>
      <t xml:space="preserve"> - Duration</t>
    </r>
    <r>
      <rPr>
        <sz val="13"/>
        <color theme="1"/>
        <rFont val="Times New Roman"/>
        <family val="1"/>
      </rPr>
      <t xml:space="preserve"> (tổng thời gian).</t>
    </r>
  </si>
  <si>
    <r>
      <t xml:space="preserve"> - Work</t>
    </r>
    <r>
      <rPr>
        <sz val="13"/>
        <color theme="1"/>
        <rFont val="Times New Roman"/>
        <family val="1"/>
      </rPr>
      <t xml:space="preserve"> (tổng số giờ làm việc).</t>
    </r>
  </si>
  <si>
    <r>
      <t xml:space="preserve"> - Cost</t>
    </r>
    <r>
      <rPr>
        <sz val="13"/>
        <color theme="1"/>
        <rFont val="Times New Roman"/>
        <family val="1"/>
      </rPr>
      <t xml:space="preserve"> (tổng chi phí dự án).</t>
    </r>
  </si>
  <si>
    <r>
      <rPr>
        <b/>
        <sz val="13"/>
        <color theme="1"/>
        <rFont val="Times New Roman"/>
        <family val="1"/>
      </rPr>
      <t xml:space="preserve"> - % Complete </t>
    </r>
    <r>
      <rPr>
        <sz val="13"/>
        <color theme="1"/>
        <rFont val="Times New Roman"/>
        <family val="1"/>
      </rPr>
      <t>(mức độ hoàn thành).</t>
    </r>
  </si>
  <si>
    <t>Cụ thể thông tin như sau:</t>
  </si>
  <si>
    <r>
      <t xml:space="preserve"> - Start/Finish</t>
    </r>
    <r>
      <rPr>
        <sz val="13"/>
        <color theme="1"/>
        <rFont val="Times New Roman"/>
        <family val="1"/>
      </rPr>
      <t>: Dự án bắt đầu ngày 20/03/2023 và kết thúc 15/05/2023.</t>
    </r>
  </si>
  <si>
    <r>
      <t xml:space="preserve"> - Duration</t>
    </r>
    <r>
      <rPr>
        <sz val="13"/>
        <color theme="1"/>
        <rFont val="Times New Roman"/>
        <family val="1"/>
      </rPr>
      <t>: Tổng thời gian kéo dài 40 ngày làm việc.</t>
    </r>
  </si>
  <si>
    <r>
      <t xml:space="preserve"> - Work</t>
    </r>
    <r>
      <rPr>
        <sz val="13"/>
        <color theme="1"/>
        <rFont val="Times New Roman"/>
        <family val="1"/>
      </rPr>
      <t>: Khối lượng công việc 1,200 giờ, phân bổ cho các thành viên.</t>
    </r>
  </si>
  <si>
    <r>
      <t xml:space="preserve"> - Cost</t>
    </r>
    <r>
      <rPr>
        <sz val="13"/>
        <color theme="1"/>
        <rFont val="Times New Roman"/>
        <family val="1"/>
      </rPr>
      <t>: Tổng chi phí 36,000$, tính theo Std. Rate × Work.</t>
    </r>
  </si>
  <si>
    <r>
      <t xml:space="preserve"> - % Complete</t>
    </r>
    <r>
      <rPr>
        <sz val="13"/>
        <color theme="1"/>
        <rFont val="Times New Roman"/>
        <family val="1"/>
      </rPr>
      <t>: Hiện tại dự án đã hoàn thành khoảng 20%.</t>
    </r>
  </si>
  <si>
    <t>8. Câu 8 - Phần B</t>
  </si>
  <si>
    <t>9. Câu 9 - Phần B</t>
  </si>
  <si>
    <r>
      <rPr>
        <b/>
        <sz val="13"/>
        <color theme="1"/>
        <rFont val="Times New Roman"/>
        <family val="1"/>
      </rPr>
      <t xml:space="preserve">Bước 1: </t>
    </r>
    <r>
      <rPr>
        <sz val="13"/>
        <color theme="1"/>
        <rFont val="Times New Roman"/>
        <family val="1"/>
      </rPr>
      <t xml:space="preserve">Vào menu </t>
    </r>
    <r>
      <rPr>
        <b/>
        <sz val="13"/>
        <color theme="1"/>
        <rFont val="Times New Roman"/>
        <family val="1"/>
      </rPr>
      <t>Report → Costs → Task Cost Overview</t>
    </r>
    <r>
      <rPr>
        <sz val="13"/>
        <color theme="1"/>
        <rFont val="Times New Roman"/>
        <family val="1"/>
      </rPr>
      <t>.</t>
    </r>
  </si>
  <si>
    <r>
      <rPr>
        <b/>
        <sz val="13"/>
        <color theme="1"/>
        <rFont val="Times New Roman"/>
        <family val="1"/>
      </rPr>
      <t xml:space="preserve">Bước 2:  </t>
    </r>
    <r>
      <rPr>
        <sz val="13"/>
        <color theme="1"/>
        <rFont val="Times New Roman"/>
        <family val="1"/>
      </rPr>
      <t>Tùy chỉnh giao diện báo cáo:</t>
    </r>
  </si>
  <si>
    <r>
      <t xml:space="preserve">Bước 3:  </t>
    </r>
    <r>
      <rPr>
        <sz val="13"/>
        <color theme="1"/>
        <rFont val="Times New Roman"/>
        <family val="1"/>
      </rPr>
      <t>Chụp màn hình toàn bộ báo cáo này.</t>
    </r>
  </si>
  <si>
    <r>
      <t xml:space="preserve"> - MS Project sẽ sinh ra báo cáo tổng hợp chi phí theo từng </t>
    </r>
    <r>
      <rPr>
        <b/>
        <sz val="13"/>
        <color theme="1"/>
        <rFont val="Times New Roman"/>
        <family val="1"/>
      </rPr>
      <t>nhiệm vụ (task)</t>
    </r>
    <r>
      <rPr>
        <sz val="13"/>
        <color theme="1"/>
        <rFont val="Times New Roman"/>
        <family val="1"/>
      </rPr>
      <t>.</t>
    </r>
  </si>
  <si>
    <r>
      <t xml:space="preserve"> - Trong đó hiển thị: </t>
    </r>
    <r>
      <rPr>
        <b/>
        <sz val="13"/>
        <color theme="1"/>
        <rFont val="Times New Roman"/>
        <family val="1"/>
      </rPr>
      <t>Task Name, % Complete, Work, Cost, Remaining Cost, Actual Cost…</t>
    </r>
  </si>
  <si>
    <r>
      <t xml:space="preserve"> - Tab </t>
    </r>
    <r>
      <rPr>
        <b/>
        <sz val="13"/>
        <color theme="1"/>
        <rFont val="Times New Roman"/>
        <family val="1"/>
      </rPr>
      <t>Design</t>
    </r>
    <r>
      <rPr>
        <sz val="13"/>
        <color theme="1"/>
        <rFont val="Times New Roman"/>
        <family val="1"/>
      </rPr>
      <t xml:space="preserve"> (trong Report Tools) → chỉnh màu, font chữ, kích cỡ chữ cho dễ đọc.</t>
    </r>
  </si>
  <si>
    <t xml:space="preserve"> - Có thể đổi dạng biểu đồ (bar chart, pie chart) nếu muốn minh họa thêm.</t>
  </si>
  <si>
    <t xml:space="preserve"> - Hiển thị báo cáo tổng quan tài nguyên (Resource Overview)</t>
  </si>
  <si>
    <r>
      <rPr>
        <b/>
        <sz val="13"/>
        <color theme="1"/>
        <rFont val="Times New Roman"/>
        <family val="1"/>
      </rPr>
      <t xml:space="preserve">Bước 1: </t>
    </r>
    <r>
      <rPr>
        <sz val="13"/>
        <color theme="1"/>
        <rFont val="Times New Roman"/>
        <family val="1"/>
      </rPr>
      <t xml:space="preserve">Vào menu </t>
    </r>
    <r>
      <rPr>
        <b/>
        <sz val="13"/>
        <color theme="1"/>
        <rFont val="Times New Roman"/>
        <family val="1"/>
      </rPr>
      <t>Report → Resources → Resource Overview</t>
    </r>
    <r>
      <rPr>
        <sz val="13"/>
        <color theme="1"/>
        <rFont val="Times New Roman"/>
        <family val="1"/>
      </rPr>
      <t>.</t>
    </r>
  </si>
  <si>
    <t xml:space="preserve"> - Đây là báo cáo tổng quan hiển thị chi tiết cho từng tài nguyên (nhân lực) bao gồm có:</t>
  </si>
  <si>
    <t xml:space="preserve"> + Tên tài nguyên</t>
  </si>
  <si>
    <t xml:space="preserve"> + Work (tổng số giờ làm)</t>
  </si>
  <si>
    <t xml:space="preserve"> + % Work Complete</t>
  </si>
  <si>
    <t xml:space="preserve"> + Cost (tổng chi phí)</t>
  </si>
  <si>
    <t xml:space="preserve"> + Các biểu đồ minh họa</t>
  </si>
  <si>
    <r>
      <t xml:space="preserve">Bước 2: </t>
    </r>
    <r>
      <rPr>
        <sz val="13"/>
        <color theme="1"/>
        <rFont val="Times New Roman"/>
        <family val="1"/>
      </rPr>
      <t>Tùy chỉnh giao diện báo cáo:</t>
    </r>
  </si>
  <si>
    <r>
      <t>Bước 3:</t>
    </r>
    <r>
      <rPr>
        <sz val="13"/>
        <color theme="1"/>
        <rFont val="Times New Roman"/>
        <family val="1"/>
      </rPr>
      <t xml:space="preserve"> Chụp màn hình báo cáo:</t>
    </r>
  </si>
  <si>
    <r>
      <t xml:space="preserve"> - Tab </t>
    </r>
    <r>
      <rPr>
        <b/>
        <sz val="13"/>
        <color theme="1"/>
        <rFont val="Times New Roman"/>
        <family val="1"/>
      </rPr>
      <t>Design</t>
    </r>
    <r>
      <rPr>
        <sz val="13"/>
        <color theme="1"/>
        <rFont val="Times New Roman"/>
        <family val="1"/>
      </rPr>
      <t xml:space="preserve"> trong Report Tools để đổi màu sắc, font chữ, kích thước chữ.</t>
    </r>
  </si>
  <si>
    <r>
      <t xml:space="preserve"> - Có thể chọn </t>
    </r>
    <r>
      <rPr>
        <b/>
        <sz val="13"/>
        <color theme="1"/>
        <rFont val="Times New Roman"/>
        <family val="1"/>
      </rPr>
      <t>Change Chart Type</t>
    </r>
    <r>
      <rPr>
        <sz val="13"/>
        <color theme="1"/>
        <rFont val="Times New Roman"/>
        <family val="1"/>
      </rPr>
      <t xml:space="preserve"> để hiển thị dạng biểu đồ khác (cột, tròn,…) nếu muốn đẹp hơn.</t>
    </r>
  </si>
  <si>
    <t xml:space="preserve"> - Chụp toàn bộ Resource Overview.</t>
  </si>
  <si>
    <r>
      <t xml:space="preserve"> - Dán vào Word, đặt tiêu đề </t>
    </r>
    <r>
      <rPr>
        <i/>
        <sz val="13"/>
        <color theme="1"/>
        <rFont val="Times New Roman"/>
        <family val="1"/>
      </rPr>
      <t>Hình X: Báo cáo tổng quan tài nguyên</t>
    </r>
    <r>
      <rPr>
        <sz val="13"/>
        <color theme="1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</si>
</sst>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"/>
    <numFmt numFmtId="167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sz val="13"/>
      <name val="Times New Roman"/>
      <family val="1"/>
    </font>
    <font>
      <u/>
      <sz val="13"/>
      <color rgb="FFFF0000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u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vertical="center"/>
    </xf>
    <xf numFmtId="43" fontId="2" fillId="0" borderId="0" xfId="1" applyFont="1"/>
    <xf numFmtId="43" fontId="2" fillId="2" borderId="0" xfId="1" applyFont="1" applyFill="1"/>
    <xf numFmtId="43" fontId="2" fillId="0" borderId="1" xfId="1" applyFont="1" applyBorder="1" applyAlignment="1">
      <alignment horizontal="center"/>
    </xf>
    <xf numFmtId="43" fontId="4" fillId="0" borderId="0" xfId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3" fontId="2" fillId="2" borderId="0" xfId="1" applyFont="1" applyFill="1" applyAlignment="1"/>
    <xf numFmtId="43" fontId="2" fillId="0" borderId="0" xfId="1" applyFont="1" applyAlignment="1"/>
    <xf numFmtId="43" fontId="2" fillId="0" borderId="1" xfId="1" applyFont="1" applyBorder="1" applyAlignment="1"/>
    <xf numFmtId="164" fontId="2" fillId="0" borderId="0" xfId="1" applyNumberFormat="1" applyFont="1"/>
    <xf numFmtId="0" fontId="2" fillId="0" borderId="0" xfId="0" quotePrefix="1" applyFont="1"/>
    <xf numFmtId="0" fontId="4" fillId="0" borderId="0" xfId="0" quotePrefix="1" applyFont="1"/>
    <xf numFmtId="2" fontId="2" fillId="0" borderId="0" xfId="0" quotePrefix="1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quotePrefix="1" applyFont="1"/>
    <xf numFmtId="0" fontId="5" fillId="0" borderId="0" xfId="0" applyFont="1" applyAlignment="1">
      <alignment horizontal="left"/>
    </xf>
    <xf numFmtId="16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3" fillId="0" borderId="0" xfId="0" quotePrefix="1" applyFont="1"/>
    <xf numFmtId="0" fontId="2" fillId="3" borderId="0" xfId="0" applyFont="1" applyFill="1"/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2" fillId="0" borderId="0" xfId="1" applyFont="1" applyAlignment="1">
      <alignment vertical="center"/>
    </xf>
    <xf numFmtId="2" fontId="4" fillId="0" borderId="1" xfId="0" applyNumberFormat="1" applyFont="1" applyBorder="1"/>
    <xf numFmtId="43" fontId="5" fillId="4" borderId="1" xfId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3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2" borderId="0" xfId="0" applyFont="1" applyFill="1"/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/>
    <xf numFmtId="0" fontId="2" fillId="6" borderId="0" xfId="0" applyFont="1" applyFill="1"/>
    <xf numFmtId="0" fontId="4" fillId="3" borderId="0" xfId="0" applyFont="1" applyFill="1" applyAlignment="1">
      <alignment vertical="center"/>
    </xf>
    <xf numFmtId="0" fontId="7" fillId="3" borderId="0" xfId="0" applyFont="1" applyFill="1"/>
    <xf numFmtId="0" fontId="8" fillId="3" borderId="0" xfId="0" applyFont="1" applyFill="1" applyAlignment="1">
      <alignment vertical="center"/>
    </xf>
    <xf numFmtId="0" fontId="8" fillId="3" borderId="0" xfId="0" quotePrefix="1" applyFont="1" applyFill="1" applyAlignment="1">
      <alignment vertical="center"/>
    </xf>
    <xf numFmtId="0" fontId="2" fillId="5" borderId="0" xfId="0" applyFont="1" applyFill="1"/>
    <xf numFmtId="0" fontId="8" fillId="3" borderId="0" xfId="0" applyFont="1" applyFill="1"/>
    <xf numFmtId="164" fontId="8" fillId="3" borderId="0" xfId="1" applyNumberFormat="1" applyFont="1" applyFill="1" applyAlignment="1"/>
    <xf numFmtId="0" fontId="5" fillId="3" borderId="0" xfId="0" quotePrefix="1" applyFont="1" applyFill="1" applyAlignment="1">
      <alignment vertical="center"/>
    </xf>
    <xf numFmtId="164" fontId="2" fillId="0" borderId="2" xfId="1" applyNumberFormat="1" applyFont="1" applyBorder="1"/>
    <xf numFmtId="164" fontId="5" fillId="0" borderId="2" xfId="1" applyNumberFormat="1" applyFont="1" applyBorder="1"/>
    <xf numFmtId="0" fontId="5" fillId="0" borderId="2" xfId="0" applyFont="1" applyBorder="1"/>
    <xf numFmtId="164" fontId="5" fillId="0" borderId="0" xfId="1" applyNumberFormat="1" applyFont="1"/>
    <xf numFmtId="0" fontId="8" fillId="0" borderId="0" xfId="0" applyFont="1"/>
    <xf numFmtId="0" fontId="8" fillId="0" borderId="0" xfId="0" quotePrefix="1" applyFont="1"/>
    <xf numFmtId="0" fontId="0" fillId="3" borderId="0" xfId="0" applyFill="1"/>
    <xf numFmtId="164" fontId="2" fillId="3" borderId="0" xfId="1" applyNumberFormat="1" applyFont="1" applyFill="1" applyAlignment="1"/>
    <xf numFmtId="9" fontId="2" fillId="3" borderId="0" xfId="0" applyNumberFormat="1" applyFont="1" applyFill="1" applyAlignment="1"/>
    <xf numFmtId="0" fontId="4" fillId="3" borderId="0" xfId="0" quotePrefix="1" applyFont="1" applyFill="1" applyAlignment="1">
      <alignment vertical="center"/>
    </xf>
    <xf numFmtId="0" fontId="2" fillId="0" borderId="0" xfId="0" quotePrefix="1" applyFont="1" applyAlignment="1">
      <alignment horizontal="right"/>
    </xf>
    <xf numFmtId="0" fontId="2" fillId="0" borderId="0" xfId="0" quotePrefix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quotePrefix="1" applyFont="1" applyAlignment="1">
      <alignment horizontal="right" vertical="top"/>
    </xf>
    <xf numFmtId="2" fontId="2" fillId="0" borderId="0" xfId="0" applyNumberFormat="1" applyFont="1" applyAlignment="1">
      <alignment horizontal="left" vertical="top"/>
    </xf>
    <xf numFmtId="0" fontId="5" fillId="0" borderId="0" xfId="0" quotePrefix="1" applyFont="1" applyAlignment="1">
      <alignment vertical="top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2" fillId="0" borderId="0" xfId="1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Font="1" applyFill="1"/>
    <xf numFmtId="43" fontId="3" fillId="2" borderId="0" xfId="1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8" fillId="2" borderId="0" xfId="1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/>
    <xf numFmtId="0" fontId="9" fillId="0" borderId="0" xfId="0" applyFont="1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8" fillId="0" borderId="0" xfId="0" quotePrefix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2" borderId="0" xfId="0" quotePrefix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quotePrefix="1" applyFont="1" applyAlignment="1">
      <alignment horizontal="right" vertical="center"/>
    </xf>
    <xf numFmtId="0" fontId="2" fillId="0" borderId="0" xfId="0" applyFont="1" applyBorder="1" applyAlignment="1">
      <alignment horizontal="center"/>
    </xf>
    <xf numFmtId="43" fontId="2" fillId="0" borderId="0" xfId="1" applyFont="1" applyAlignment="1">
      <alignment vertical="top"/>
    </xf>
    <xf numFmtId="2" fontId="8" fillId="0" borderId="0" xfId="1" applyNumberFormat="1" applyFont="1" applyAlignment="1">
      <alignment horizontal="left"/>
    </xf>
    <xf numFmtId="0" fontId="6" fillId="0" borderId="0" xfId="0" applyFont="1"/>
    <xf numFmtId="0" fontId="6" fillId="2" borderId="0" xfId="0" applyFont="1" applyFill="1"/>
    <xf numFmtId="0" fontId="8" fillId="2" borderId="0" xfId="0" applyFont="1" applyFill="1"/>
    <xf numFmtId="0" fontId="5" fillId="3" borderId="0" xfId="0" applyFont="1" applyFill="1"/>
    <xf numFmtId="8" fontId="2" fillId="0" borderId="0" xfId="0" applyNumberFormat="1" applyFont="1"/>
    <xf numFmtId="8" fontId="2" fillId="0" borderId="0" xfId="0" quotePrefix="1" applyNumberFormat="1" applyFont="1"/>
    <xf numFmtId="167" fontId="2" fillId="0" borderId="0" xfId="1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7" fontId="2" fillId="0" borderId="2" xfId="1" applyNumberFormat="1" applyFont="1" applyBorder="1"/>
    <xf numFmtId="2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/>
    </xf>
    <xf numFmtId="16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2" borderId="0" xfId="0" quotePrefix="1" applyFont="1" applyFill="1"/>
    <xf numFmtId="0" fontId="9" fillId="0" borderId="0" xfId="0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right"/>
    </xf>
    <xf numFmtId="165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5" fillId="0" borderId="0" xfId="0" quotePrefix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2" fillId="0" borderId="0" xfId="1" applyFont="1" applyAlignment="1">
      <alignment horizontal="left" vertical="center"/>
    </xf>
    <xf numFmtId="43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right"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quotePrefix="1" applyFont="1" applyAlignment="1">
      <alignment horizontal="left" wrapText="1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quotePrefix="1" applyFont="1" applyAlignment="1">
      <alignment horizontal="center"/>
    </xf>
    <xf numFmtId="165" fontId="2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quotePrefix="1" applyFont="1" applyFill="1" applyBorder="1" applyAlignment="1">
      <alignment vertical="center" wrapText="1"/>
    </xf>
    <xf numFmtId="0" fontId="2" fillId="0" borderId="0" xfId="0" quotePrefix="1" applyFont="1" applyFill="1" applyBorder="1" applyAlignment="1">
      <alignment horizontal="left" vertical="top" wrapText="1"/>
    </xf>
    <xf numFmtId="0" fontId="3" fillId="3" borderId="0" xfId="0" applyFont="1" applyFill="1"/>
    <xf numFmtId="0" fontId="2" fillId="0" borderId="1" xfId="0" applyFont="1" applyBorder="1"/>
    <xf numFmtId="0" fontId="3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quotePrefix="1" applyFont="1" applyAlignment="1">
      <alignment horizontal="left" vertical="center" indent="2"/>
    </xf>
    <xf numFmtId="0" fontId="2" fillId="0" borderId="0" xfId="0" quotePrefix="1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3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3</xdr:col>
      <xdr:colOff>934915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52425"/>
          <a:ext cx="4049589" cy="136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3</xdr:col>
      <xdr:colOff>934914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67025"/>
          <a:ext cx="4049589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3</xdr:col>
      <xdr:colOff>429358</xdr:colOff>
      <xdr:row>35</xdr:row>
      <xdr:rowOff>83820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3095"/>
          <a:ext cx="3622138" cy="204406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78</xdr:row>
      <xdr:rowOff>24848</xdr:rowOff>
    </xdr:from>
    <xdr:to>
      <xdr:col>2</xdr:col>
      <xdr:colOff>194642</xdr:colOff>
      <xdr:row>80</xdr:row>
      <xdr:rowOff>124239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96" y="16995913"/>
          <a:ext cx="1971261" cy="513522"/>
        </a:xfrm>
        <a:prstGeom prst="rect">
          <a:avLst/>
        </a:prstGeom>
      </xdr:spPr>
    </xdr:pic>
    <xdr:clientData/>
  </xdr:twoCellAnchor>
  <xdr:twoCellAnchor editAs="oneCell">
    <xdr:from>
      <xdr:col>0</xdr:col>
      <xdr:colOff>140805</xdr:colOff>
      <xdr:row>93</xdr:row>
      <xdr:rowOff>16565</xdr:rowOff>
    </xdr:from>
    <xdr:to>
      <xdr:col>2</xdr:col>
      <xdr:colOff>209728</xdr:colOff>
      <xdr:row>94</xdr:row>
      <xdr:rowOff>275736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805" y="20267543"/>
          <a:ext cx="1895238" cy="5904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33</xdr:row>
      <xdr:rowOff>209549</xdr:rowOff>
    </xdr:from>
    <xdr:to>
      <xdr:col>22</xdr:col>
      <xdr:colOff>152400</xdr:colOff>
      <xdr:row>60</xdr:row>
      <xdr:rowOff>123824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244CC6-4BE0-4FB2-A648-D6D61FFA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201274"/>
          <a:ext cx="12753974" cy="5572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20</xdr:col>
      <xdr:colOff>231087</xdr:colOff>
      <xdr:row>84</xdr:row>
      <xdr:rowOff>48685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FF2BE-445A-45F8-A5F1-A4A6D90A1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25050"/>
          <a:ext cx="17823762" cy="75924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161925</xdr:rowOff>
    </xdr:from>
    <xdr:to>
      <xdr:col>25</xdr:col>
      <xdr:colOff>76200</xdr:colOff>
      <xdr:row>78</xdr:row>
      <xdr:rowOff>96177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3F3D2-C217-4B7F-A337-26028C072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82975"/>
          <a:ext cx="15316200" cy="6639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85725</xdr:rowOff>
    </xdr:from>
    <xdr:to>
      <xdr:col>25</xdr:col>
      <xdr:colOff>28575</xdr:colOff>
      <xdr:row>105</xdr:row>
      <xdr:rowOff>10304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951F6-3B8D-4F0A-B7BF-5917EA9D0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12375"/>
          <a:ext cx="15268575" cy="5582429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105</xdr:row>
      <xdr:rowOff>152400</xdr:rowOff>
    </xdr:from>
    <xdr:to>
      <xdr:col>24</xdr:col>
      <xdr:colOff>581024</xdr:colOff>
      <xdr:row>131</xdr:row>
      <xdr:rowOff>162687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5A9203-304B-42BA-9604-F61ACC44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49" y="28536900"/>
          <a:ext cx="15116175" cy="54585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132</xdr:row>
      <xdr:rowOff>76200</xdr:rowOff>
    </xdr:from>
    <xdr:to>
      <xdr:col>25</xdr:col>
      <xdr:colOff>76199</xdr:colOff>
      <xdr:row>151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CEF2B8-3AF6-4D8C-A47A-571A10DEC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4" y="34118550"/>
          <a:ext cx="15211425" cy="401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114300</xdr:rowOff>
    </xdr:from>
    <xdr:to>
      <xdr:col>22</xdr:col>
      <xdr:colOff>0</xdr:colOff>
      <xdr:row>195</xdr:row>
      <xdr:rowOff>77131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3FCF6B-FE4A-4558-9AFF-47918C0BD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784800"/>
          <a:ext cx="13411200" cy="666843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222</xdr:row>
      <xdr:rowOff>152401</xdr:rowOff>
    </xdr:from>
    <xdr:to>
      <xdr:col>18</xdr:col>
      <xdr:colOff>295275</xdr:colOff>
      <xdr:row>246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E3874-795D-4F0E-8161-65658BA4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202901"/>
          <a:ext cx="11268075" cy="493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66675</xdr:rowOff>
    </xdr:from>
    <xdr:to>
      <xdr:col>29</xdr:col>
      <xdr:colOff>564521</xdr:colOff>
      <xdr:row>137</xdr:row>
      <xdr:rowOff>19745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CDBBAE-0B00-410D-8DC1-1F49891D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52675"/>
          <a:ext cx="18242921" cy="4982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29</xdr:col>
      <xdr:colOff>288257</xdr:colOff>
      <xdr:row>157</xdr:row>
      <xdr:rowOff>133837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DD6B35-745D-418F-8368-AC521993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17966657" cy="3486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114301</xdr:rowOff>
    </xdr:from>
    <xdr:to>
      <xdr:col>29</xdr:col>
      <xdr:colOff>221573</xdr:colOff>
      <xdr:row>188</xdr:row>
      <xdr:rowOff>38909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51938B-8176-4CE4-9472-9522382F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353801"/>
          <a:ext cx="17899973" cy="579200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188</xdr:row>
      <xdr:rowOff>47625</xdr:rowOff>
    </xdr:from>
    <xdr:to>
      <xdr:col>29</xdr:col>
      <xdr:colOff>431116</xdr:colOff>
      <xdr:row>217</xdr:row>
      <xdr:rowOff>86579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1AECDB-41E2-44CC-A58B-6240459AE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" y="16621125"/>
          <a:ext cx="17852341" cy="6115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29</xdr:col>
      <xdr:colOff>459731</xdr:colOff>
      <xdr:row>45</xdr:row>
      <xdr:rowOff>105667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6CAC6B-3D0F-46D3-81BB-86246F85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86000"/>
          <a:ext cx="18138131" cy="6392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29</xdr:col>
      <xdr:colOff>116783</xdr:colOff>
      <xdr:row>78</xdr:row>
      <xdr:rowOff>77030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7F6A8A-4D32-4058-9F2D-47F7E3791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953500"/>
          <a:ext cx="17795183" cy="5944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29</xdr:col>
      <xdr:colOff>126310</xdr:colOff>
      <xdr:row>109</xdr:row>
      <xdr:rowOff>29369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5E7CBD-D407-4898-9B9B-36D70F990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049500"/>
          <a:ext cx="17804710" cy="56872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29</xdr:col>
      <xdr:colOff>269205</xdr:colOff>
      <xdr:row>48</xdr:row>
      <xdr:rowOff>153328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924BF-D7E9-4C3B-9D70-884FDA34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17947605" cy="664937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20</xdr:col>
      <xdr:colOff>364070</xdr:colOff>
      <xdr:row>65</xdr:row>
      <xdr:rowOff>20047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65D9E-C41D-4B67-BFF1-7BF30B300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0"/>
          <a:ext cx="15194495" cy="71447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23</xdr:col>
      <xdr:colOff>59115</xdr:colOff>
      <xdr:row>53</xdr:row>
      <xdr:rowOff>86731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BAD1BD-6892-472D-B21F-66D76B21C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43600"/>
          <a:ext cx="14079915" cy="721143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18</xdr:col>
      <xdr:colOff>315900</xdr:colOff>
      <xdr:row>52</xdr:row>
      <xdr:rowOff>163147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AF35E-D90F-443A-A429-A6A98DA2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48100"/>
          <a:ext cx="11288700" cy="875469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314324</xdr:rowOff>
    </xdr:from>
    <xdr:to>
      <xdr:col>25</xdr:col>
      <xdr:colOff>9524</xdr:colOff>
      <xdr:row>59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510EF-29FE-4C5F-9AA1-E4AC955F2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49"/>
          <a:ext cx="15249524" cy="865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209549</xdr:rowOff>
    </xdr:from>
    <xdr:to>
      <xdr:col>18</xdr:col>
      <xdr:colOff>323850</xdr:colOff>
      <xdr:row>102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C6DC8B-2B3C-43C6-9A27-A743FBF7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499"/>
          <a:ext cx="11296650" cy="863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3</xdr:col>
      <xdr:colOff>1762124</xdr:colOff>
      <xdr:row>9</xdr:row>
      <xdr:rowOff>73269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4C1E0-BD7C-4505-8EDD-95F0155E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4657724" cy="15591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66676</xdr:rowOff>
    </xdr:from>
    <xdr:to>
      <xdr:col>3</xdr:col>
      <xdr:colOff>1771650</xdr:colOff>
      <xdr:row>23</xdr:row>
      <xdr:rowOff>21982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90E79E-9718-4B44-AF7E-CE7A114CD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19376"/>
          <a:ext cx="4667250" cy="16698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</xdr:row>
      <xdr:rowOff>85725</xdr:rowOff>
    </xdr:from>
    <xdr:to>
      <xdr:col>3</xdr:col>
      <xdr:colOff>630115</xdr:colOff>
      <xdr:row>39</xdr:row>
      <xdr:rowOff>124558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C93EB5-429A-4E9E-BF23-20CF93452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786071"/>
          <a:ext cx="3575537" cy="1943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73269</xdr:rowOff>
    </xdr:from>
    <xdr:to>
      <xdr:col>2</xdr:col>
      <xdr:colOff>423369</xdr:colOff>
      <xdr:row>93</xdr:row>
      <xdr:rowOff>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1D76A6-4D89-4DBA-A5A6-9918FA8B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540904"/>
          <a:ext cx="1976677" cy="524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</xdr:rowOff>
    </xdr:from>
    <xdr:to>
      <xdr:col>4</xdr:col>
      <xdr:colOff>419100</xdr:colOff>
      <xdr:row>10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34D21-FA68-469F-87E6-AC39FCE9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8660"/>
          <a:ext cx="5341620" cy="1636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381000</xdr:colOff>
      <xdr:row>12</xdr:row>
      <xdr:rowOff>26276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9D975-C073-41E7-9252-5FEDD1D5D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8862" cy="2338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11</xdr:row>
      <xdr:rowOff>83820</xdr:rowOff>
    </xdr:from>
    <xdr:to>
      <xdr:col>4</xdr:col>
      <xdr:colOff>266700</xdr:colOff>
      <xdr:row>14</xdr:row>
      <xdr:rowOff>138978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0BAA6-0297-4B13-8CE7-C1FAA206C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2567940"/>
          <a:ext cx="432816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22</xdr:row>
      <xdr:rowOff>15240</xdr:rowOff>
    </xdr:from>
    <xdr:to>
      <xdr:col>4</xdr:col>
      <xdr:colOff>450917</xdr:colOff>
      <xdr:row>25</xdr:row>
      <xdr:rowOff>79922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BADA1-4268-6FE2-CEB9-610DF994C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4846320"/>
          <a:ext cx="4542857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403861</xdr:colOff>
      <xdr:row>36</xdr:row>
      <xdr:rowOff>91440</xdr:rowOff>
    </xdr:from>
    <xdr:to>
      <xdr:col>2</xdr:col>
      <xdr:colOff>281941</xdr:colOff>
      <xdr:row>39</xdr:row>
      <xdr:rowOff>165646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4A305F-9D11-4F25-70F5-F824DB6B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861" y="7909560"/>
          <a:ext cx="2186940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396241</xdr:colOff>
      <xdr:row>40</xdr:row>
      <xdr:rowOff>198120</xdr:rowOff>
    </xdr:from>
    <xdr:to>
      <xdr:col>2</xdr:col>
      <xdr:colOff>228601</xdr:colOff>
      <xdr:row>43</xdr:row>
      <xdr:rowOff>194231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C86759-844E-1025-877C-089DDFA28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1" y="8869680"/>
          <a:ext cx="2141220" cy="6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203637</xdr:rowOff>
    </xdr:from>
    <xdr:to>
      <xdr:col>10</xdr:col>
      <xdr:colOff>352424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8FCC6-FF34-470B-8ED7-FC509558E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0362"/>
          <a:ext cx="6448424" cy="3234888"/>
        </a:xfrm>
        <a:prstGeom prst="rect">
          <a:avLst/>
        </a:prstGeom>
      </xdr:spPr>
    </xdr:pic>
    <xdr:clientData/>
  </xdr:twoCellAnchor>
  <xdr:twoCellAnchor editAs="oneCell">
    <xdr:from>
      <xdr:col>0</xdr:col>
      <xdr:colOff>78829</xdr:colOff>
      <xdr:row>20</xdr:row>
      <xdr:rowOff>229913</xdr:rowOff>
    </xdr:from>
    <xdr:to>
      <xdr:col>10</xdr:col>
      <xdr:colOff>238125</xdr:colOff>
      <xdr:row>43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5E6C7-2AD4-4720-96D5-0AA2F525A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29" y="3011213"/>
          <a:ext cx="6255296" cy="467546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46</xdr:row>
      <xdr:rowOff>37115</xdr:rowOff>
    </xdr:from>
    <xdr:to>
      <xdr:col>7</xdr:col>
      <xdr:colOff>28575</xdr:colOff>
      <xdr:row>60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5A6A2-4900-42C6-A27F-1FF14C03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6418865"/>
          <a:ext cx="4267200" cy="28965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200025</xdr:rowOff>
    </xdr:from>
    <xdr:to>
      <xdr:col>15</xdr:col>
      <xdr:colOff>19050</xdr:colOff>
      <xdr:row>60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CE2AB9-73A0-4F25-8D9F-15BC13B26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6372225"/>
          <a:ext cx="4286250" cy="2962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45983</xdr:rowOff>
    </xdr:from>
    <xdr:to>
      <xdr:col>7</xdr:col>
      <xdr:colOff>420412</xdr:colOff>
      <xdr:row>80</xdr:row>
      <xdr:rowOff>111672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717906-1BB9-45FF-9ADB-0B27E5F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00242"/>
          <a:ext cx="4696809" cy="34289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17</xdr:col>
      <xdr:colOff>144341</xdr:colOff>
      <xdr:row>31</xdr:row>
      <xdr:rowOff>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8DC70-6194-4964-98CA-ADB3F0F31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5"/>
          <a:ext cx="10507541" cy="603016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30</xdr:row>
      <xdr:rowOff>180975</xdr:rowOff>
    </xdr:from>
    <xdr:to>
      <xdr:col>17</xdr:col>
      <xdr:colOff>96688</xdr:colOff>
      <xdr:row>57</xdr:row>
      <xdr:rowOff>96028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A6D159-C3F8-4CDE-A2CA-148DEFCF8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6467475"/>
          <a:ext cx="10307488" cy="55729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57</xdr:row>
      <xdr:rowOff>133350</xdr:rowOff>
    </xdr:from>
    <xdr:to>
      <xdr:col>16</xdr:col>
      <xdr:colOff>581025</xdr:colOff>
      <xdr:row>84</xdr:row>
      <xdr:rowOff>105561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5BAFFC-505B-4DD4-A666-8731F1DB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12077700"/>
          <a:ext cx="10144125" cy="5630061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84</xdr:row>
      <xdr:rowOff>133350</xdr:rowOff>
    </xdr:from>
    <xdr:to>
      <xdr:col>17</xdr:col>
      <xdr:colOff>28575</xdr:colOff>
      <xdr:row>111</xdr:row>
      <xdr:rowOff>67455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5AE614-906E-4F3F-AF36-35622C1C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17735550"/>
          <a:ext cx="10182225" cy="55919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257174</xdr:colOff>
      <xdr:row>35</xdr:row>
      <xdr:rowOff>115310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2186B-32BB-4D16-99C9-1D35B21B9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"/>
          <a:ext cx="7572374" cy="72400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24</xdr:col>
      <xdr:colOff>602201</xdr:colOff>
      <xdr:row>34</xdr:row>
      <xdr:rowOff>181965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80754-8F01-47CA-99BC-9962A9F7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5232601" cy="7097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</xdr:row>
      <xdr:rowOff>38100</xdr:rowOff>
    </xdr:from>
    <xdr:to>
      <xdr:col>25</xdr:col>
      <xdr:colOff>38100</xdr:colOff>
      <xdr:row>70</xdr:row>
      <xdr:rowOff>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8E9291-2B63-4B05-8973-4B8F3FD7C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791450"/>
          <a:ext cx="15259050" cy="7087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25</xdr:col>
      <xdr:colOff>47624</xdr:colOff>
      <xdr:row>104</xdr:row>
      <xdr:rowOff>162909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C60DFD-C18B-41C7-9DC5-BC581AECD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116175"/>
          <a:ext cx="15287624" cy="7049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24</xdr:col>
      <xdr:colOff>600075</xdr:colOff>
      <xdr:row>140</xdr:row>
      <xdr:rowOff>29571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3ED347-2987-4F92-A7F1-F1B7C0D4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440900"/>
          <a:ext cx="15230475" cy="7135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34" zoomScaleNormal="100" workbookViewId="0">
      <selection activeCell="D100" sqref="D100"/>
    </sheetView>
  </sheetViews>
  <sheetFormatPr defaultColWidth="9.140625" defaultRowHeight="16.5" x14ac:dyDescent="0.25"/>
  <cols>
    <col min="1" max="1" width="12.7109375" style="1" customWidth="1"/>
    <col min="2" max="2" width="14.7109375" style="1" customWidth="1"/>
    <col min="3" max="3" width="19.28515625" style="13" customWidth="1"/>
    <col min="4" max="4" width="20.85546875" style="1" customWidth="1"/>
    <col min="5" max="6" width="9.140625" style="1"/>
    <col min="7" max="7" width="10.28515625" style="1" bestFit="1" customWidth="1"/>
    <col min="8" max="16384" width="9.140625" style="1"/>
  </cols>
  <sheetData>
    <row r="1" spans="1:5" s="52" customFormat="1" ht="27.75" customHeight="1" x14ac:dyDescent="0.25">
      <c r="A1" s="53" t="s">
        <v>133</v>
      </c>
    </row>
    <row r="3" spans="1:5" x14ac:dyDescent="0.25">
      <c r="E3" s="9"/>
    </row>
    <row r="9" spans="1:5" x14ac:dyDescent="0.25">
      <c r="A9" s="10" t="s">
        <v>7</v>
      </c>
      <c r="B9" s="11"/>
      <c r="C9" s="14"/>
      <c r="D9" s="43"/>
    </row>
    <row r="10" spans="1:5" x14ac:dyDescent="0.25">
      <c r="A10" s="3" t="s">
        <v>1</v>
      </c>
    </row>
    <row r="11" spans="1:5" x14ac:dyDescent="0.25">
      <c r="A11" s="1" t="s">
        <v>2</v>
      </c>
    </row>
    <row r="12" spans="1:5" x14ac:dyDescent="0.25">
      <c r="A12" s="1" t="s">
        <v>3</v>
      </c>
    </row>
    <row r="22" spans="1:2" x14ac:dyDescent="0.25">
      <c r="A22" s="3" t="s">
        <v>4</v>
      </c>
    </row>
    <row r="23" spans="1:2" x14ac:dyDescent="0.25">
      <c r="A23" s="1" t="s">
        <v>5</v>
      </c>
    </row>
    <row r="24" spans="1:2" x14ac:dyDescent="0.25">
      <c r="A24" s="1" t="s">
        <v>6</v>
      </c>
    </row>
    <row r="26" spans="1:2" x14ac:dyDescent="0.25">
      <c r="A26" s="10" t="s">
        <v>8</v>
      </c>
      <c r="B26" s="10"/>
    </row>
    <row r="35" spans="1:7" ht="22.5" customHeight="1" x14ac:dyDescent="0.25"/>
    <row r="37" spans="1:7" x14ac:dyDescent="0.25">
      <c r="A37" s="10" t="s">
        <v>13</v>
      </c>
      <c r="B37" s="11"/>
      <c r="C37" s="14"/>
      <c r="D37" s="11"/>
    </row>
    <row r="38" spans="1:7" s="12" customFormat="1" ht="22.15" customHeight="1" x14ac:dyDescent="0.25">
      <c r="A38" s="59" t="s">
        <v>17</v>
      </c>
      <c r="B38" s="60"/>
      <c r="C38" s="47"/>
    </row>
    <row r="39" spans="1:7" s="12" customFormat="1" ht="24.75" customHeight="1" x14ac:dyDescent="0.25">
      <c r="A39" s="44" t="s">
        <v>11</v>
      </c>
      <c r="B39" s="44" t="s">
        <v>10</v>
      </c>
      <c r="C39" s="45" t="s">
        <v>12</v>
      </c>
      <c r="D39" s="46" t="s">
        <v>14</v>
      </c>
    </row>
    <row r="40" spans="1:7" x14ac:dyDescent="0.25">
      <c r="A40" s="7">
        <v>0</v>
      </c>
      <c r="B40" s="7">
        <v>0</v>
      </c>
      <c r="C40" s="15">
        <f>1/(1.17)^A40</f>
        <v>1</v>
      </c>
      <c r="D40" s="5">
        <f>B40*C40</f>
        <v>0</v>
      </c>
      <c r="G40" s="13"/>
    </row>
    <row r="41" spans="1:7" x14ac:dyDescent="0.25">
      <c r="A41" s="7">
        <v>1</v>
      </c>
      <c r="B41" s="7">
        <v>250</v>
      </c>
      <c r="C41" s="15">
        <f t="shared" ref="C41:C45" si="0">1/(1.17)^A41</f>
        <v>0.85470085470085477</v>
      </c>
      <c r="D41" s="5">
        <f t="shared" ref="D41:D45" si="1">B41*C41</f>
        <v>213.67521367521368</v>
      </c>
    </row>
    <row r="42" spans="1:7" x14ac:dyDescent="0.25">
      <c r="A42" s="7">
        <v>2</v>
      </c>
      <c r="B42" s="7">
        <v>350</v>
      </c>
      <c r="C42" s="15">
        <f t="shared" si="0"/>
        <v>0.73051355102637161</v>
      </c>
      <c r="D42" s="5">
        <f t="shared" si="1"/>
        <v>255.67974285923006</v>
      </c>
    </row>
    <row r="43" spans="1:7" x14ac:dyDescent="0.25">
      <c r="A43" s="7">
        <v>3</v>
      </c>
      <c r="B43" s="7">
        <v>450</v>
      </c>
      <c r="C43" s="15">
        <f t="shared" si="0"/>
        <v>0.62437055643279626</v>
      </c>
      <c r="D43" s="5">
        <f t="shared" si="1"/>
        <v>280.96675039475832</v>
      </c>
    </row>
    <row r="44" spans="1:7" x14ac:dyDescent="0.25">
      <c r="A44" s="7">
        <v>4</v>
      </c>
      <c r="B44" s="7">
        <v>500</v>
      </c>
      <c r="C44" s="15">
        <f t="shared" si="0"/>
        <v>0.53365004823315931</v>
      </c>
      <c r="D44" s="5">
        <f t="shared" si="1"/>
        <v>266.82502411657964</v>
      </c>
    </row>
    <row r="45" spans="1:7" x14ac:dyDescent="0.25">
      <c r="A45" s="7">
        <v>5</v>
      </c>
      <c r="B45" s="7">
        <v>-100</v>
      </c>
      <c r="C45" s="15">
        <f t="shared" si="0"/>
        <v>0.45611115233603361</v>
      </c>
      <c r="D45" s="5">
        <f t="shared" si="1"/>
        <v>-45.611115233603364</v>
      </c>
    </row>
    <row r="46" spans="1:7" ht="23.25" customHeight="1" x14ac:dyDescent="0.25">
      <c r="A46" s="151" t="s">
        <v>15</v>
      </c>
      <c r="B46" s="151"/>
      <c r="C46" s="151"/>
      <c r="D46" s="48">
        <f>SUM(D40:D45)</f>
        <v>971.53561581217832</v>
      </c>
    </row>
    <row r="49" spans="1:5" ht="21.75" customHeight="1" x14ac:dyDescent="0.25">
      <c r="A49" s="44" t="s">
        <v>11</v>
      </c>
      <c r="B49" s="44" t="s">
        <v>16</v>
      </c>
      <c r="C49" s="45" t="s">
        <v>12</v>
      </c>
      <c r="D49" s="46" t="s">
        <v>37</v>
      </c>
    </row>
    <row r="50" spans="1:5" x14ac:dyDescent="0.25">
      <c r="A50" s="7">
        <v>0</v>
      </c>
      <c r="B50" s="7">
        <v>500</v>
      </c>
      <c r="C50" s="15">
        <f>1/(1.17)^A50</f>
        <v>1</v>
      </c>
      <c r="D50" s="5">
        <f>B50*C50</f>
        <v>500</v>
      </c>
    </row>
    <row r="51" spans="1:5" x14ac:dyDescent="0.25">
      <c r="A51" s="7">
        <v>1</v>
      </c>
      <c r="B51" s="7">
        <v>0</v>
      </c>
      <c r="C51" s="15">
        <f t="shared" ref="C51:C55" si="2">1/(1.17)^A51</f>
        <v>0.85470085470085477</v>
      </c>
      <c r="D51" s="5">
        <f t="shared" ref="D51:D55" si="3">B51*C51</f>
        <v>0</v>
      </c>
    </row>
    <row r="52" spans="1:5" x14ac:dyDescent="0.25">
      <c r="A52" s="7">
        <v>2</v>
      </c>
      <c r="B52" s="7">
        <v>100</v>
      </c>
      <c r="C52" s="15">
        <f t="shared" si="2"/>
        <v>0.73051355102637161</v>
      </c>
      <c r="D52" s="5">
        <f t="shared" si="3"/>
        <v>73.05135510263716</v>
      </c>
    </row>
    <row r="53" spans="1:5" x14ac:dyDescent="0.25">
      <c r="A53" s="7">
        <v>3</v>
      </c>
      <c r="B53" s="7">
        <v>0</v>
      </c>
      <c r="C53" s="15">
        <f t="shared" si="2"/>
        <v>0.62437055643279626</v>
      </c>
      <c r="D53" s="5">
        <f t="shared" si="3"/>
        <v>0</v>
      </c>
    </row>
    <row r="54" spans="1:5" x14ac:dyDescent="0.25">
      <c r="A54" s="7">
        <v>4</v>
      </c>
      <c r="B54" s="7">
        <v>0</v>
      </c>
      <c r="C54" s="15">
        <f t="shared" si="2"/>
        <v>0.53365004823315931</v>
      </c>
      <c r="D54" s="5">
        <f t="shared" si="3"/>
        <v>0</v>
      </c>
    </row>
    <row r="55" spans="1:5" x14ac:dyDescent="0.25">
      <c r="A55" s="7">
        <v>5</v>
      </c>
      <c r="B55" s="7">
        <v>0</v>
      </c>
      <c r="C55" s="15">
        <f t="shared" si="2"/>
        <v>0.45611115233603361</v>
      </c>
      <c r="D55" s="5">
        <f t="shared" si="3"/>
        <v>0</v>
      </c>
    </row>
    <row r="56" spans="1:5" ht="18" customHeight="1" x14ac:dyDescent="0.25">
      <c r="A56" s="151" t="s">
        <v>18</v>
      </c>
      <c r="B56" s="151"/>
      <c r="C56" s="151"/>
      <c r="D56" s="48">
        <f>SUM(D50:D55)</f>
        <v>573.05135510263722</v>
      </c>
      <c r="E56" s="4"/>
    </row>
    <row r="58" spans="1:5" ht="26.45" customHeight="1" x14ac:dyDescent="0.25">
      <c r="A58" s="61" t="s">
        <v>19</v>
      </c>
      <c r="B58" s="62"/>
    </row>
    <row r="59" spans="1:5" ht="20.25" customHeight="1" x14ac:dyDescent="0.25">
      <c r="A59" s="44" t="s">
        <v>11</v>
      </c>
      <c r="B59" s="44" t="s">
        <v>10</v>
      </c>
      <c r="C59" s="45" t="s">
        <v>12</v>
      </c>
      <c r="D59" s="46" t="s">
        <v>14</v>
      </c>
    </row>
    <row r="60" spans="1:5" x14ac:dyDescent="0.25">
      <c r="A60" s="7">
        <v>0</v>
      </c>
      <c r="B60" s="7">
        <v>0</v>
      </c>
      <c r="C60" s="15">
        <f>1/(1.17)^A60</f>
        <v>1</v>
      </c>
      <c r="D60" s="5">
        <f>B60*C60</f>
        <v>0</v>
      </c>
    </row>
    <row r="61" spans="1:5" x14ac:dyDescent="0.25">
      <c r="A61" s="7">
        <v>1</v>
      </c>
      <c r="B61" s="7">
        <v>-100</v>
      </c>
      <c r="C61" s="15">
        <f t="shared" ref="C61:C65" si="4">1/(1.17)^A61</f>
        <v>0.85470085470085477</v>
      </c>
      <c r="D61" s="5">
        <f t="shared" ref="D61:D65" si="5">B61*C61</f>
        <v>-85.470085470085479</v>
      </c>
    </row>
    <row r="62" spans="1:5" x14ac:dyDescent="0.25">
      <c r="A62" s="7">
        <v>2</v>
      </c>
      <c r="B62" s="7">
        <v>200</v>
      </c>
      <c r="C62" s="15">
        <f t="shared" si="4"/>
        <v>0.73051355102637161</v>
      </c>
      <c r="D62" s="5">
        <f t="shared" si="5"/>
        <v>146.10271020527432</v>
      </c>
    </row>
    <row r="63" spans="1:5" x14ac:dyDescent="0.25">
      <c r="A63" s="7">
        <v>3</v>
      </c>
      <c r="B63" s="7">
        <v>200</v>
      </c>
      <c r="C63" s="15">
        <f t="shared" si="4"/>
        <v>0.62437055643279626</v>
      </c>
      <c r="D63" s="5">
        <f t="shared" si="5"/>
        <v>124.87411128655926</v>
      </c>
    </row>
    <row r="64" spans="1:5" x14ac:dyDescent="0.25">
      <c r="A64" s="7">
        <v>4</v>
      </c>
      <c r="B64" s="7">
        <v>200</v>
      </c>
      <c r="C64" s="15">
        <f t="shared" si="4"/>
        <v>0.53365004823315931</v>
      </c>
      <c r="D64" s="5">
        <f t="shared" si="5"/>
        <v>106.73000964663186</v>
      </c>
    </row>
    <row r="65" spans="1:5" x14ac:dyDescent="0.25">
      <c r="A65" s="7">
        <v>5</v>
      </c>
      <c r="B65" s="7">
        <v>300</v>
      </c>
      <c r="C65" s="15">
        <f t="shared" si="4"/>
        <v>0.45611115233603361</v>
      </c>
      <c r="D65" s="5">
        <f t="shared" si="5"/>
        <v>136.83334570081007</v>
      </c>
    </row>
    <row r="66" spans="1:5" s="3" customFormat="1" ht="20.25" customHeight="1" x14ac:dyDescent="0.25">
      <c r="A66" s="151" t="s">
        <v>15</v>
      </c>
      <c r="B66" s="151"/>
      <c r="C66" s="151"/>
      <c r="D66" s="48">
        <f>SUM(D60:D65)</f>
        <v>429.07009136919004</v>
      </c>
    </row>
    <row r="68" spans="1:5" ht="20.25" customHeight="1" x14ac:dyDescent="0.25">
      <c r="A68" s="44" t="s">
        <v>11</v>
      </c>
      <c r="B68" s="44" t="s">
        <v>16</v>
      </c>
      <c r="C68" s="45" t="s">
        <v>12</v>
      </c>
      <c r="D68" s="46" t="s">
        <v>37</v>
      </c>
    </row>
    <row r="69" spans="1:5" x14ac:dyDescent="0.25">
      <c r="A69" s="7">
        <v>0</v>
      </c>
      <c r="B69" s="7">
        <v>100</v>
      </c>
      <c r="C69" s="15">
        <f>1/(1.17)^A69</f>
        <v>1</v>
      </c>
      <c r="D69" s="5">
        <f>B69*C69</f>
        <v>100</v>
      </c>
    </row>
    <row r="70" spans="1:5" x14ac:dyDescent="0.25">
      <c r="A70" s="7">
        <v>1</v>
      </c>
      <c r="B70" s="7">
        <v>0</v>
      </c>
      <c r="C70" s="15">
        <f t="shared" ref="C70:C74" si="6">1/(1.17)^A70</f>
        <v>0.85470085470085477</v>
      </c>
      <c r="D70" s="5">
        <f t="shared" ref="D70:D74" si="7">B70*C70</f>
        <v>0</v>
      </c>
    </row>
    <row r="71" spans="1:5" x14ac:dyDescent="0.25">
      <c r="A71" s="7">
        <v>2</v>
      </c>
      <c r="B71" s="7">
        <v>50</v>
      </c>
      <c r="C71" s="15">
        <f t="shared" si="6"/>
        <v>0.73051355102637161</v>
      </c>
      <c r="D71" s="5">
        <f t="shared" si="7"/>
        <v>36.52567755131858</v>
      </c>
    </row>
    <row r="72" spans="1:5" x14ac:dyDescent="0.25">
      <c r="A72" s="7">
        <v>3</v>
      </c>
      <c r="B72" s="7">
        <v>0</v>
      </c>
      <c r="C72" s="15">
        <f t="shared" si="6"/>
        <v>0.62437055643279626</v>
      </c>
      <c r="D72" s="5">
        <f t="shared" si="7"/>
        <v>0</v>
      </c>
    </row>
    <row r="73" spans="1:5" x14ac:dyDescent="0.25">
      <c r="A73" s="7">
        <v>4</v>
      </c>
      <c r="B73" s="7">
        <v>0</v>
      </c>
      <c r="C73" s="15">
        <f t="shared" si="6"/>
        <v>0.53365004823315931</v>
      </c>
      <c r="D73" s="5">
        <f t="shared" si="7"/>
        <v>0</v>
      </c>
    </row>
    <row r="74" spans="1:5" x14ac:dyDescent="0.25">
      <c r="A74" s="7">
        <v>5</v>
      </c>
      <c r="B74" s="7">
        <v>0</v>
      </c>
      <c r="C74" s="15">
        <f t="shared" si="6"/>
        <v>0.45611115233603361</v>
      </c>
      <c r="D74" s="5">
        <f t="shared" si="7"/>
        <v>0</v>
      </c>
    </row>
    <row r="75" spans="1:5" ht="18.75" customHeight="1" x14ac:dyDescent="0.25">
      <c r="A75" s="151" t="s">
        <v>18</v>
      </c>
      <c r="B75" s="151"/>
      <c r="C75" s="151"/>
      <c r="D75" s="48">
        <f>SUM(D69:D74)</f>
        <v>136.52567755131858</v>
      </c>
      <c r="E75" s="4"/>
    </row>
    <row r="77" spans="1:5" s="2" customFormat="1" x14ac:dyDescent="0.25">
      <c r="A77" s="10" t="s">
        <v>20</v>
      </c>
      <c r="B77" s="10"/>
      <c r="C77" s="96"/>
      <c r="D77" s="10"/>
    </row>
    <row r="78" spans="1:5" s="3" customFormat="1" x14ac:dyDescent="0.25">
      <c r="A78" s="9" t="s">
        <v>22</v>
      </c>
      <c r="C78" s="16"/>
    </row>
    <row r="79" spans="1:5" s="3" customFormat="1" x14ac:dyDescent="0.25">
      <c r="C79" s="16"/>
    </row>
    <row r="80" spans="1:5" s="3" customFormat="1" x14ac:dyDescent="0.25">
      <c r="C80" s="16"/>
    </row>
    <row r="81" spans="1:8" s="3" customFormat="1" x14ac:dyDescent="0.25">
      <c r="C81" s="16"/>
    </row>
    <row r="82" spans="1:8" s="3" customFormat="1" x14ac:dyDescent="0.25">
      <c r="A82" s="3" t="s">
        <v>9</v>
      </c>
      <c r="C82" s="16"/>
    </row>
    <row r="83" spans="1:8" s="3" customFormat="1" x14ac:dyDescent="0.25">
      <c r="A83" s="24" t="s">
        <v>143</v>
      </c>
      <c r="C83" s="16"/>
    </row>
    <row r="84" spans="1:8" s="3" customFormat="1" x14ac:dyDescent="0.25">
      <c r="A84" s="24" t="s">
        <v>144</v>
      </c>
      <c r="C84" s="16"/>
    </row>
    <row r="85" spans="1:8" x14ac:dyDescent="0.25">
      <c r="A85" s="24" t="s">
        <v>145</v>
      </c>
    </row>
    <row r="87" spans="1:8" x14ac:dyDescent="0.25">
      <c r="A87" s="3" t="s">
        <v>0</v>
      </c>
    </row>
    <row r="88" spans="1:8" x14ac:dyDescent="0.25">
      <c r="A88" s="24" t="s">
        <v>146</v>
      </c>
    </row>
    <row r="89" spans="1:8" x14ac:dyDescent="0.25">
      <c r="A89" s="24" t="s">
        <v>147</v>
      </c>
    </row>
    <row r="90" spans="1:8" x14ac:dyDescent="0.25">
      <c r="A90" s="24" t="s">
        <v>148</v>
      </c>
    </row>
    <row r="91" spans="1:8" x14ac:dyDescent="0.25">
      <c r="A91" s="2"/>
    </row>
    <row r="92" spans="1:8" s="55" customFormat="1" ht="26.25" customHeight="1" x14ac:dyDescent="0.25">
      <c r="A92" s="152" t="s">
        <v>21</v>
      </c>
      <c r="B92" s="152"/>
      <c r="C92" s="152"/>
      <c r="D92" s="152"/>
      <c r="E92" s="152"/>
      <c r="F92" s="152"/>
      <c r="G92" s="152"/>
      <c r="H92" s="152"/>
    </row>
    <row r="93" spans="1:8" s="17" customFormat="1" ht="20.25" customHeight="1" x14ac:dyDescent="0.25">
      <c r="A93" s="19" t="s">
        <v>22</v>
      </c>
      <c r="B93" s="18"/>
      <c r="C93" s="18"/>
      <c r="D93" s="18"/>
      <c r="E93" s="18"/>
      <c r="F93" s="18"/>
      <c r="G93" s="18"/>
      <c r="H93" s="18"/>
    </row>
    <row r="94" spans="1:8" s="17" customFormat="1" ht="26.25" customHeight="1" x14ac:dyDescent="0.25">
      <c r="A94" s="18"/>
      <c r="B94" s="18"/>
      <c r="C94" s="18"/>
      <c r="D94" s="18"/>
      <c r="E94" s="18"/>
      <c r="F94" s="18"/>
      <c r="G94" s="18"/>
      <c r="H94" s="18"/>
    </row>
    <row r="95" spans="1:8" s="17" customFormat="1" ht="26.25" customHeight="1" x14ac:dyDescent="0.25">
      <c r="A95" s="18"/>
      <c r="B95" s="18"/>
      <c r="C95" s="18"/>
      <c r="D95" s="18"/>
      <c r="E95" s="18"/>
      <c r="F95" s="18"/>
      <c r="G95" s="18"/>
      <c r="H95" s="18"/>
    </row>
    <row r="96" spans="1:8" s="17" customFormat="1" ht="18" customHeight="1" x14ac:dyDescent="0.25">
      <c r="A96" s="3" t="s">
        <v>9</v>
      </c>
      <c r="B96" s="18"/>
      <c r="C96" s="18"/>
      <c r="D96" s="18"/>
      <c r="E96" s="18"/>
      <c r="F96" s="18"/>
      <c r="G96" s="18"/>
      <c r="H96" s="18"/>
    </row>
    <row r="97" spans="1:8" x14ac:dyDescent="0.25">
      <c r="A97" s="24" t="s">
        <v>149</v>
      </c>
    </row>
    <row r="99" spans="1:8" x14ac:dyDescent="0.25">
      <c r="A99" s="3" t="s">
        <v>0</v>
      </c>
    </row>
    <row r="100" spans="1:8" x14ac:dyDescent="0.25">
      <c r="A100" s="24" t="s">
        <v>150</v>
      </c>
    </row>
    <row r="101" spans="1:8" x14ac:dyDescent="0.25">
      <c r="A101" s="24"/>
    </row>
    <row r="102" spans="1:8" x14ac:dyDescent="0.25">
      <c r="A102" s="10" t="s">
        <v>195</v>
      </c>
      <c r="B102" s="10"/>
      <c r="C102" s="96"/>
    </row>
    <row r="103" spans="1:8" ht="179.45" customHeight="1" x14ac:dyDescent="0.25">
      <c r="A103" s="150" t="s">
        <v>194</v>
      </c>
      <c r="B103" s="150"/>
      <c r="C103" s="150"/>
      <c r="D103" s="150"/>
      <c r="E103" s="150"/>
      <c r="F103" s="150"/>
      <c r="G103" s="150"/>
      <c r="H103" s="150"/>
    </row>
  </sheetData>
  <mergeCells count="6">
    <mergeCell ref="A103:H103"/>
    <mergeCell ref="A46:C46"/>
    <mergeCell ref="A56:C56"/>
    <mergeCell ref="A66:C66"/>
    <mergeCell ref="A75:C75"/>
    <mergeCell ref="A92:H9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C951-71C0-480B-BA0F-9DC184F7F18E}">
  <dimension ref="A1:Q64"/>
  <sheetViews>
    <sheetView topLeftCell="A73" zoomScaleNormal="100" workbookViewId="0">
      <selection activeCell="N28" sqref="N28"/>
    </sheetView>
  </sheetViews>
  <sheetFormatPr defaultRowHeight="16.5" x14ac:dyDescent="0.25"/>
  <cols>
    <col min="1" max="16384" width="9.140625" style="1"/>
  </cols>
  <sheetData>
    <row r="1" spans="1:5" x14ac:dyDescent="0.25">
      <c r="A1" s="10" t="s">
        <v>450</v>
      </c>
      <c r="B1" s="10"/>
      <c r="C1" s="10"/>
      <c r="D1" s="10"/>
      <c r="E1" s="10"/>
    </row>
    <row r="2" spans="1:5" s="43" customFormat="1" ht="20.25" customHeight="1" x14ac:dyDescent="0.25">
      <c r="A2" s="43" t="s">
        <v>312</v>
      </c>
    </row>
    <row r="3" spans="1:5" s="9" customFormat="1" ht="17.25" customHeight="1" x14ac:dyDescent="0.25">
      <c r="A3" s="9" t="s">
        <v>445</v>
      </c>
    </row>
    <row r="21" spans="1:17" s="9" customFormat="1" ht="19.5" customHeight="1" x14ac:dyDescent="0.25">
      <c r="A21" s="163" t="s">
        <v>446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</row>
    <row r="46" spans="1:1" s="9" customFormat="1" x14ac:dyDescent="0.25">
      <c r="A46" s="9" t="s">
        <v>447</v>
      </c>
    </row>
    <row r="64" spans="1:1" s="9" customFormat="1" x14ac:dyDescent="0.25">
      <c r="A64" s="9" t="s">
        <v>448</v>
      </c>
    </row>
  </sheetData>
  <mergeCells count="1">
    <mergeCell ref="A21:Q2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EB27-FDB9-4BA9-B6D6-5C2FFB70A919}">
  <dimension ref="A1:D2"/>
  <sheetViews>
    <sheetView topLeftCell="A79" workbookViewId="0">
      <selection activeCell="X20" sqref="X20"/>
    </sheetView>
  </sheetViews>
  <sheetFormatPr defaultRowHeight="16.5" x14ac:dyDescent="0.25"/>
  <cols>
    <col min="1" max="16384" width="9.140625" style="1"/>
  </cols>
  <sheetData>
    <row r="1" spans="1:4" s="148" customFormat="1" ht="26.25" customHeight="1" x14ac:dyDescent="0.25">
      <c r="A1" s="185" t="s">
        <v>449</v>
      </c>
    </row>
    <row r="2" spans="1:4" s="2" customFormat="1" ht="23.25" customHeight="1" x14ac:dyDescent="0.25">
      <c r="A2" s="10" t="s">
        <v>313</v>
      </c>
      <c r="B2" s="10"/>
      <c r="C2" s="10"/>
      <c r="D2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23A-62A1-44D1-8DA9-2DAAA3E84050}">
  <dimension ref="A1:E1"/>
  <sheetViews>
    <sheetView workbookViewId="0">
      <selection activeCell="P18" sqref="P18"/>
    </sheetView>
  </sheetViews>
  <sheetFormatPr defaultRowHeight="16.5" x14ac:dyDescent="0.25"/>
  <cols>
    <col min="1" max="16384" width="9.140625" style="1"/>
  </cols>
  <sheetData>
    <row r="1" spans="1:5" s="55" customFormat="1" ht="24.75" customHeight="1" x14ac:dyDescent="0.25">
      <c r="A1" s="95" t="s">
        <v>314</v>
      </c>
      <c r="B1" s="95"/>
      <c r="C1" s="95"/>
      <c r="D1" s="95"/>
      <c r="E1" s="9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B38D-48E6-482A-9C99-7258A5742DDB}">
  <dimension ref="A1:G1"/>
  <sheetViews>
    <sheetView topLeftCell="A121" workbookViewId="0">
      <selection activeCell="M152" sqref="M152"/>
    </sheetView>
  </sheetViews>
  <sheetFormatPr defaultRowHeight="16.5" x14ac:dyDescent="0.25"/>
  <cols>
    <col min="1" max="16384" width="9.140625" style="1"/>
  </cols>
  <sheetData>
    <row r="1" spans="1:7" s="149" customFormat="1" ht="33" customHeight="1" x14ac:dyDescent="0.25">
      <c r="A1" s="95" t="s">
        <v>315</v>
      </c>
      <c r="B1" s="95"/>
      <c r="C1" s="95"/>
      <c r="D1" s="95"/>
      <c r="E1" s="95"/>
      <c r="F1" s="95"/>
      <c r="G1" s="9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AB9-A4F8-457C-8105-278C0CA86777}">
  <dimension ref="A1:L33"/>
  <sheetViews>
    <sheetView zoomScaleNormal="100" workbookViewId="0">
      <selection activeCell="A33" sqref="A33:XFD33"/>
    </sheetView>
  </sheetViews>
  <sheetFormatPr defaultRowHeight="16.5" x14ac:dyDescent="0.25"/>
  <cols>
    <col min="1" max="2" width="9.140625" style="1"/>
    <col min="3" max="3" width="13" style="1" customWidth="1"/>
    <col min="4" max="4" width="7.5703125" style="1" customWidth="1"/>
    <col min="5" max="5" width="7.28515625" style="1" customWidth="1"/>
    <col min="6" max="6" width="4.7109375" style="1" customWidth="1"/>
    <col min="7" max="7" width="6" style="1" customWidth="1"/>
    <col min="8" max="8" width="6.85546875" style="1" customWidth="1"/>
    <col min="9" max="9" width="6.42578125" style="1" customWidth="1"/>
    <col min="10" max="16384" width="9.140625" style="1"/>
  </cols>
  <sheetData>
    <row r="1" spans="1:2" s="3" customFormat="1" ht="28.5" customHeight="1" x14ac:dyDescent="0.25">
      <c r="A1" s="3" t="s">
        <v>451</v>
      </c>
    </row>
    <row r="2" spans="1:2" ht="24.75" customHeight="1" x14ac:dyDescent="0.25">
      <c r="A2" s="3" t="s">
        <v>460</v>
      </c>
    </row>
    <row r="3" spans="1:2" s="2" customFormat="1" ht="31.5" customHeight="1" x14ac:dyDescent="0.25">
      <c r="A3" s="42" t="s">
        <v>452</v>
      </c>
    </row>
    <row r="4" spans="1:2" ht="31.5" customHeight="1" x14ac:dyDescent="0.25">
      <c r="A4" s="1" t="s">
        <v>453</v>
      </c>
    </row>
    <row r="5" spans="1:2" ht="31.5" customHeight="1" x14ac:dyDescent="0.25">
      <c r="A5" s="1" t="s">
        <v>454</v>
      </c>
    </row>
    <row r="6" spans="1:2" ht="31.5" customHeight="1" x14ac:dyDescent="0.25">
      <c r="A6" s="1" t="s">
        <v>455</v>
      </c>
    </row>
    <row r="7" spans="1:2" ht="31.5" customHeight="1" x14ac:dyDescent="0.25">
      <c r="A7" s="1" t="s">
        <v>456</v>
      </c>
    </row>
    <row r="8" spans="1:2" ht="23.25" customHeight="1" x14ac:dyDescent="0.25">
      <c r="A8" s="1" t="s">
        <v>457</v>
      </c>
    </row>
    <row r="9" spans="1:2" ht="23.25" customHeight="1" x14ac:dyDescent="0.25">
      <c r="A9" s="1" t="s">
        <v>458</v>
      </c>
    </row>
    <row r="10" spans="1:2" ht="23.25" customHeight="1" x14ac:dyDescent="0.25">
      <c r="A10" s="1" t="s">
        <v>459</v>
      </c>
    </row>
    <row r="11" spans="1:2" ht="20.25" customHeight="1" x14ac:dyDescent="0.25">
      <c r="B11" s="24" t="s">
        <v>316</v>
      </c>
    </row>
    <row r="12" spans="1:2" ht="20.25" customHeight="1" x14ac:dyDescent="0.25">
      <c r="B12" s="24" t="s">
        <v>317</v>
      </c>
    </row>
    <row r="13" spans="1:2" ht="20.25" customHeight="1" x14ac:dyDescent="0.25">
      <c r="B13" s="24" t="s">
        <v>318</v>
      </c>
    </row>
    <row r="14" spans="1:2" ht="20.25" customHeight="1" x14ac:dyDescent="0.25">
      <c r="B14" s="24" t="s">
        <v>319</v>
      </c>
    </row>
    <row r="15" spans="1:2" ht="20.25" customHeight="1" x14ac:dyDescent="0.25">
      <c r="B15" s="24" t="s">
        <v>320</v>
      </c>
    </row>
    <row r="16" spans="1:2" ht="30" customHeight="1" x14ac:dyDescent="0.25">
      <c r="A16" s="17" t="s">
        <v>213</v>
      </c>
    </row>
    <row r="17" spans="1:12" x14ac:dyDescent="0.25">
      <c r="A17" s="10" t="s">
        <v>343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78" t="s">
        <v>321</v>
      </c>
      <c r="B18" s="179"/>
      <c r="C18" s="180"/>
      <c r="D18" s="178" t="s">
        <v>322</v>
      </c>
      <c r="E18" s="179"/>
      <c r="F18" s="180"/>
      <c r="G18" s="178" t="s">
        <v>323</v>
      </c>
      <c r="H18" s="179"/>
      <c r="I18" s="180"/>
      <c r="J18" s="178" t="s">
        <v>324</v>
      </c>
      <c r="K18" s="179"/>
      <c r="L18" s="180"/>
    </row>
    <row r="19" spans="1:12" s="144" customFormat="1" ht="32.25" customHeight="1" x14ac:dyDescent="0.25">
      <c r="A19" s="175" t="s">
        <v>325</v>
      </c>
      <c r="B19" s="176"/>
      <c r="C19" s="177"/>
      <c r="D19" s="181" t="s">
        <v>331</v>
      </c>
      <c r="E19" s="182"/>
      <c r="F19" s="183"/>
      <c r="G19" s="181" t="s">
        <v>336</v>
      </c>
      <c r="H19" s="182"/>
      <c r="I19" s="183"/>
      <c r="J19" s="181" t="s">
        <v>337</v>
      </c>
      <c r="K19" s="182"/>
      <c r="L19" s="183"/>
    </row>
    <row r="20" spans="1:12" s="89" customFormat="1" ht="32.25" customHeight="1" x14ac:dyDescent="0.25">
      <c r="A20" s="175" t="s">
        <v>326</v>
      </c>
      <c r="B20" s="176"/>
      <c r="C20" s="177"/>
      <c r="D20" s="181" t="s">
        <v>332</v>
      </c>
      <c r="E20" s="182"/>
      <c r="F20" s="183"/>
      <c r="G20" s="181" t="s">
        <v>336</v>
      </c>
      <c r="H20" s="182"/>
      <c r="I20" s="183"/>
      <c r="J20" s="181" t="s">
        <v>338</v>
      </c>
      <c r="K20" s="182"/>
      <c r="L20" s="183"/>
    </row>
    <row r="21" spans="1:12" s="145" customFormat="1" ht="32.25" customHeight="1" x14ac:dyDescent="0.25">
      <c r="A21" s="175" t="s">
        <v>327</v>
      </c>
      <c r="B21" s="176"/>
      <c r="C21" s="177"/>
      <c r="D21" s="181" t="s">
        <v>334</v>
      </c>
      <c r="E21" s="182"/>
      <c r="F21" s="183"/>
      <c r="G21" s="181" t="s">
        <v>336</v>
      </c>
      <c r="H21" s="182"/>
      <c r="I21" s="183"/>
      <c r="J21" s="181" t="s">
        <v>339</v>
      </c>
      <c r="K21" s="182"/>
      <c r="L21" s="183"/>
    </row>
    <row r="22" spans="1:12" s="144" customFormat="1" ht="32.25" customHeight="1" x14ac:dyDescent="0.25">
      <c r="A22" s="175" t="s">
        <v>328</v>
      </c>
      <c r="B22" s="176"/>
      <c r="C22" s="177"/>
      <c r="D22" s="181" t="s">
        <v>331</v>
      </c>
      <c r="E22" s="182"/>
      <c r="F22" s="183"/>
      <c r="G22" s="181" t="s">
        <v>336</v>
      </c>
      <c r="H22" s="182"/>
      <c r="I22" s="183"/>
      <c r="J22" s="181" t="s">
        <v>337</v>
      </c>
      <c r="K22" s="182"/>
      <c r="L22" s="183"/>
    </row>
    <row r="23" spans="1:12" s="144" customFormat="1" ht="32.25" customHeight="1" x14ac:dyDescent="0.25">
      <c r="A23" s="175" t="s">
        <v>329</v>
      </c>
      <c r="B23" s="176"/>
      <c r="C23" s="177"/>
      <c r="D23" s="181" t="s">
        <v>335</v>
      </c>
      <c r="E23" s="182"/>
      <c r="F23" s="183"/>
      <c r="G23" s="181" t="s">
        <v>336</v>
      </c>
      <c r="H23" s="182"/>
      <c r="I23" s="183"/>
      <c r="J23" s="181" t="s">
        <v>340</v>
      </c>
      <c r="K23" s="182"/>
      <c r="L23" s="183"/>
    </row>
    <row r="24" spans="1:12" s="144" customFormat="1" ht="32.25" customHeight="1" x14ac:dyDescent="0.25">
      <c r="A24" s="175" t="s">
        <v>330</v>
      </c>
      <c r="B24" s="176"/>
      <c r="C24" s="177"/>
      <c r="D24" s="181" t="s">
        <v>333</v>
      </c>
      <c r="E24" s="182"/>
      <c r="F24" s="183"/>
      <c r="G24" s="181" t="s">
        <v>336</v>
      </c>
      <c r="H24" s="182"/>
      <c r="I24" s="183"/>
      <c r="J24" s="181" t="s">
        <v>341</v>
      </c>
      <c r="K24" s="182"/>
      <c r="L24" s="183"/>
    </row>
    <row r="25" spans="1:12" x14ac:dyDescent="0.25">
      <c r="A25" s="9" t="s">
        <v>342</v>
      </c>
    </row>
    <row r="27" spans="1:12" s="2" customFormat="1" x14ac:dyDescent="0.25">
      <c r="A27" s="10" t="s">
        <v>344</v>
      </c>
      <c r="B27" s="10"/>
      <c r="C27" s="10"/>
    </row>
    <row r="28" spans="1:12" x14ac:dyDescent="0.25">
      <c r="A28" s="1" t="s">
        <v>345</v>
      </c>
    </row>
    <row r="29" spans="1:12" x14ac:dyDescent="0.25">
      <c r="A29" s="1" t="s">
        <v>346</v>
      </c>
    </row>
    <row r="30" spans="1:12" x14ac:dyDescent="0.25">
      <c r="A30" s="24" t="s">
        <v>347</v>
      </c>
    </row>
    <row r="31" spans="1:12" x14ac:dyDescent="0.25">
      <c r="A31" s="24" t="s">
        <v>348</v>
      </c>
    </row>
    <row r="33" spans="1:8" s="2" customFormat="1" x14ac:dyDescent="0.25">
      <c r="A33" s="10" t="s">
        <v>349</v>
      </c>
      <c r="B33" s="10"/>
      <c r="C33" s="10"/>
      <c r="D33" s="10"/>
      <c r="E33" s="10"/>
      <c r="F33" s="10"/>
      <c r="G33" s="10"/>
      <c r="H33" s="10"/>
    </row>
  </sheetData>
  <mergeCells count="28">
    <mergeCell ref="J24:L24"/>
    <mergeCell ref="J18:L18"/>
    <mergeCell ref="J19:L19"/>
    <mergeCell ref="J20:L20"/>
    <mergeCell ref="J21:L21"/>
    <mergeCell ref="J22:L22"/>
    <mergeCell ref="J23:L23"/>
    <mergeCell ref="D24:F24"/>
    <mergeCell ref="G18:I18"/>
    <mergeCell ref="G19:I19"/>
    <mergeCell ref="G20:I20"/>
    <mergeCell ref="G21:I21"/>
    <mergeCell ref="G22:I22"/>
    <mergeCell ref="G23:I23"/>
    <mergeCell ref="G24:I24"/>
    <mergeCell ref="D18:F18"/>
    <mergeCell ref="D19:F19"/>
    <mergeCell ref="D20:F20"/>
    <mergeCell ref="D21:F21"/>
    <mergeCell ref="D22:F22"/>
    <mergeCell ref="D23:F23"/>
    <mergeCell ref="A23:C23"/>
    <mergeCell ref="A24:C24"/>
    <mergeCell ref="A18:C18"/>
    <mergeCell ref="A19:C19"/>
    <mergeCell ref="A20:C20"/>
    <mergeCell ref="A21:C21"/>
    <mergeCell ref="A22:C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D631-7FA4-4BC7-9DB9-BD7B42C89B2C}">
  <dimension ref="A1:H47"/>
  <sheetViews>
    <sheetView workbookViewId="0">
      <selection sqref="A1:XFD1"/>
    </sheetView>
  </sheetViews>
  <sheetFormatPr defaultRowHeight="16.5" x14ac:dyDescent="0.25"/>
  <cols>
    <col min="1" max="7" width="20.7109375" style="1" customWidth="1"/>
    <col min="8" max="16384" width="9.140625" style="1"/>
  </cols>
  <sheetData>
    <row r="1" spans="1:1" s="3" customFormat="1" x14ac:dyDescent="0.25">
      <c r="A1" s="3" t="s">
        <v>461</v>
      </c>
    </row>
    <row r="2" spans="1:1" s="2" customFormat="1" x14ac:dyDescent="0.25">
      <c r="A2" s="42" t="s">
        <v>462</v>
      </c>
    </row>
    <row r="3" spans="1:1" x14ac:dyDescent="0.25">
      <c r="A3" s="1" t="s">
        <v>463</v>
      </c>
    </row>
    <row r="4" spans="1:1" x14ac:dyDescent="0.25">
      <c r="A4" s="24" t="s">
        <v>350</v>
      </c>
    </row>
    <row r="5" spans="1:1" x14ac:dyDescent="0.25">
      <c r="A5" s="24" t="s">
        <v>351</v>
      </c>
    </row>
    <row r="7" spans="1:1" x14ac:dyDescent="0.25">
      <c r="A7" s="1" t="s">
        <v>464</v>
      </c>
    </row>
    <row r="8" spans="1:1" x14ac:dyDescent="0.25">
      <c r="A8" s="1" t="s">
        <v>352</v>
      </c>
    </row>
    <row r="9" spans="1:1" x14ac:dyDescent="0.25">
      <c r="A9" s="24" t="s">
        <v>353</v>
      </c>
    </row>
    <row r="10" spans="1:1" x14ac:dyDescent="0.25">
      <c r="A10" s="24" t="s">
        <v>354</v>
      </c>
    </row>
    <row r="11" spans="1:1" x14ac:dyDescent="0.25">
      <c r="A11" s="24" t="s">
        <v>355</v>
      </c>
    </row>
    <row r="13" spans="1:1" x14ac:dyDescent="0.25">
      <c r="A13" s="1" t="s">
        <v>465</v>
      </c>
    </row>
    <row r="14" spans="1:1" x14ac:dyDescent="0.25">
      <c r="A14" s="1" t="s">
        <v>356</v>
      </c>
    </row>
    <row r="15" spans="1:1" x14ac:dyDescent="0.25">
      <c r="A15" s="24" t="s">
        <v>357</v>
      </c>
    </row>
    <row r="16" spans="1:1" x14ac:dyDescent="0.25">
      <c r="A16" s="24" t="s">
        <v>358</v>
      </c>
    </row>
    <row r="17" spans="1:6" x14ac:dyDescent="0.25">
      <c r="A17" s="24" t="s">
        <v>359</v>
      </c>
    </row>
    <row r="18" spans="1:6" x14ac:dyDescent="0.25">
      <c r="A18" s="24" t="s">
        <v>360</v>
      </c>
    </row>
    <row r="20" spans="1:6" x14ac:dyDescent="0.25">
      <c r="A20" s="1" t="s">
        <v>466</v>
      </c>
    </row>
    <row r="21" spans="1:6" x14ac:dyDescent="0.25">
      <c r="A21" s="24" t="s">
        <v>361</v>
      </c>
    </row>
    <row r="23" spans="1:6" x14ac:dyDescent="0.25">
      <c r="A23" s="1" t="s">
        <v>467</v>
      </c>
    </row>
    <row r="24" spans="1:6" x14ac:dyDescent="0.25">
      <c r="A24" s="24" t="s">
        <v>362</v>
      </c>
    </row>
    <row r="25" spans="1:6" x14ac:dyDescent="0.25">
      <c r="A25" s="24" t="s">
        <v>363</v>
      </c>
    </row>
    <row r="27" spans="1:6" s="9" customFormat="1" x14ac:dyDescent="0.25">
      <c r="A27" s="9" t="s">
        <v>213</v>
      </c>
    </row>
    <row r="28" spans="1:6" x14ac:dyDescent="0.25">
      <c r="A28" s="1" t="s">
        <v>364</v>
      </c>
    </row>
    <row r="29" spans="1:6" x14ac:dyDescent="0.25">
      <c r="A29" s="1" t="s">
        <v>365</v>
      </c>
    </row>
    <row r="30" spans="1:6" x14ac:dyDescent="0.25">
      <c r="A30" s="146" t="s">
        <v>366</v>
      </c>
      <c r="B30" s="146" t="s">
        <v>322</v>
      </c>
      <c r="C30" s="146" t="s">
        <v>323</v>
      </c>
      <c r="D30" s="146" t="s">
        <v>367</v>
      </c>
      <c r="E30" s="146" t="s">
        <v>368</v>
      </c>
      <c r="F30" s="146" t="s">
        <v>369</v>
      </c>
    </row>
    <row r="31" spans="1:6" x14ac:dyDescent="0.25">
      <c r="A31" s="147" t="s">
        <v>370</v>
      </c>
      <c r="B31" s="147" t="s">
        <v>331</v>
      </c>
      <c r="C31" s="147" t="s">
        <v>371</v>
      </c>
      <c r="D31" s="147" t="s">
        <v>337</v>
      </c>
      <c r="E31" s="147" t="s">
        <v>372</v>
      </c>
      <c r="F31" s="147" t="s">
        <v>373</v>
      </c>
    </row>
    <row r="32" spans="1:6" x14ac:dyDescent="0.25">
      <c r="A32" s="147" t="s">
        <v>374</v>
      </c>
      <c r="B32" s="147" t="s">
        <v>331</v>
      </c>
      <c r="C32" s="147" t="s">
        <v>371</v>
      </c>
      <c r="D32" s="147" t="s">
        <v>337</v>
      </c>
      <c r="E32" s="147" t="s">
        <v>372</v>
      </c>
      <c r="F32" s="147" t="s">
        <v>373</v>
      </c>
    </row>
    <row r="33" spans="1:8" x14ac:dyDescent="0.25">
      <c r="A33" s="147" t="s">
        <v>375</v>
      </c>
      <c r="B33" s="147" t="s">
        <v>331</v>
      </c>
      <c r="C33" s="147" t="s">
        <v>376</v>
      </c>
      <c r="D33" s="147" t="s">
        <v>377</v>
      </c>
      <c r="E33" s="147" t="s">
        <v>372</v>
      </c>
      <c r="F33" s="147" t="s">
        <v>373</v>
      </c>
    </row>
    <row r="35" spans="1:8" ht="27" customHeight="1" x14ac:dyDescent="0.25">
      <c r="A35" s="186" t="s">
        <v>468</v>
      </c>
    </row>
    <row r="36" spans="1:8" ht="24.75" customHeight="1" x14ac:dyDescent="0.25">
      <c r="A36" s="187" t="s">
        <v>469</v>
      </c>
      <c r="B36" s="187"/>
      <c r="C36" s="187"/>
      <c r="D36" s="187"/>
      <c r="E36" s="187"/>
    </row>
    <row r="38" spans="1:8" s="2" customFormat="1" ht="22.5" customHeight="1" x14ac:dyDescent="0.25">
      <c r="A38" s="184" t="s">
        <v>378</v>
      </c>
      <c r="B38" s="184"/>
      <c r="C38" s="184"/>
      <c r="D38" s="184"/>
      <c r="E38" s="184"/>
      <c r="F38" s="184"/>
    </row>
    <row r="39" spans="1:8" x14ac:dyDescent="0.25">
      <c r="A39" s="24" t="s">
        <v>379</v>
      </c>
    </row>
    <row r="40" spans="1:8" x14ac:dyDescent="0.25">
      <c r="A40" s="24" t="s">
        <v>380</v>
      </c>
    </row>
    <row r="42" spans="1:8" s="2" customFormat="1" x14ac:dyDescent="0.25">
      <c r="A42" s="10" t="s">
        <v>381</v>
      </c>
      <c r="B42" s="10"/>
      <c r="C42" s="10"/>
    </row>
    <row r="43" spans="1:8" s="28" customFormat="1" x14ac:dyDescent="0.25">
      <c r="A43" s="28" t="s">
        <v>382</v>
      </c>
    </row>
    <row r="44" spans="1:8" x14ac:dyDescent="0.25">
      <c r="A44" s="24" t="s">
        <v>383</v>
      </c>
    </row>
    <row r="45" spans="1:8" x14ac:dyDescent="0.25">
      <c r="A45" s="24" t="s">
        <v>384</v>
      </c>
    </row>
    <row r="47" spans="1:8" s="2" customFormat="1" x14ac:dyDescent="0.25">
      <c r="A47" s="10" t="s">
        <v>349</v>
      </c>
      <c r="B47" s="10"/>
      <c r="C47" s="10"/>
      <c r="D47" s="10"/>
      <c r="E47" s="10"/>
      <c r="F47" s="10"/>
      <c r="G47" s="188"/>
      <c r="H47" s="188"/>
    </row>
  </sheetData>
  <mergeCells count="2">
    <mergeCell ref="A38:F38"/>
    <mergeCell ref="A36:E3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F6D3-35CA-4385-8B03-A70BC972A79A}">
  <dimension ref="A1:H163"/>
  <sheetViews>
    <sheetView topLeftCell="A40" workbookViewId="0">
      <selection activeCell="A2" sqref="A2:XFD2"/>
    </sheetView>
  </sheetViews>
  <sheetFormatPr defaultRowHeight="16.5" x14ac:dyDescent="0.25"/>
  <cols>
    <col min="1" max="16384" width="9.140625" style="1"/>
  </cols>
  <sheetData>
    <row r="1" spans="1:1" s="3" customFormat="1" ht="27.75" customHeight="1" x14ac:dyDescent="0.25">
      <c r="A1" s="3" t="s">
        <v>470</v>
      </c>
    </row>
    <row r="2" spans="1:1" s="55" customFormat="1" ht="27.75" customHeight="1" x14ac:dyDescent="0.25">
      <c r="A2" s="192" t="s">
        <v>471</v>
      </c>
    </row>
    <row r="3" spans="1:1" ht="27.75" customHeight="1" x14ac:dyDescent="0.25">
      <c r="A3" s="1" t="s">
        <v>472</v>
      </c>
    </row>
    <row r="4" spans="1:1" ht="27.75" customHeight="1" x14ac:dyDescent="0.25">
      <c r="A4" s="1" t="s">
        <v>385</v>
      </c>
    </row>
    <row r="5" spans="1:1" ht="27.75" customHeight="1" x14ac:dyDescent="0.25">
      <c r="A5" s="1" t="s">
        <v>386</v>
      </c>
    </row>
    <row r="6" spans="1:1" ht="27.75" customHeight="1" x14ac:dyDescent="0.25">
      <c r="A6" s="1" t="s">
        <v>387</v>
      </c>
    </row>
    <row r="7" spans="1:1" ht="27.75" customHeight="1" x14ac:dyDescent="0.25">
      <c r="A7" s="24" t="s">
        <v>388</v>
      </c>
    </row>
    <row r="8" spans="1:1" ht="27.75" customHeight="1" x14ac:dyDescent="0.25"/>
    <row r="9" spans="1:1" ht="27.75" customHeight="1" x14ac:dyDescent="0.25">
      <c r="A9" s="1" t="s">
        <v>473</v>
      </c>
    </row>
    <row r="10" spans="1:1" ht="27.75" customHeight="1" x14ac:dyDescent="0.25">
      <c r="A10" s="1" t="s">
        <v>389</v>
      </c>
    </row>
    <row r="11" spans="1:1" ht="27.75" customHeight="1" x14ac:dyDescent="0.25">
      <c r="A11" s="1" t="s">
        <v>390</v>
      </c>
    </row>
    <row r="12" spans="1:1" ht="27.75" customHeight="1" x14ac:dyDescent="0.25"/>
    <row r="13" spans="1:1" ht="27.75" customHeight="1" x14ac:dyDescent="0.25">
      <c r="A13" s="1" t="s">
        <v>474</v>
      </c>
    </row>
    <row r="14" spans="1:1" ht="27.75" customHeight="1" x14ac:dyDescent="0.25">
      <c r="A14" s="1" t="s">
        <v>391</v>
      </c>
    </row>
    <row r="15" spans="1:1" ht="27.75" customHeight="1" x14ac:dyDescent="0.25">
      <c r="A15" s="1" t="s">
        <v>392</v>
      </c>
    </row>
    <row r="16" spans="1:1" ht="27.75" customHeight="1" x14ac:dyDescent="0.25">
      <c r="A16" s="24" t="s">
        <v>475</v>
      </c>
    </row>
    <row r="17" spans="1:1" ht="27.75" customHeight="1" x14ac:dyDescent="0.25">
      <c r="A17" s="24" t="s">
        <v>393</v>
      </c>
    </row>
    <row r="18" spans="1:1" ht="27.75" customHeight="1" x14ac:dyDescent="0.25">
      <c r="A18" s="24" t="s">
        <v>394</v>
      </c>
    </row>
    <row r="19" spans="1:1" ht="27.75" customHeight="1" x14ac:dyDescent="0.25">
      <c r="A19" s="24" t="s">
        <v>395</v>
      </c>
    </row>
    <row r="20" spans="1:1" ht="27.75" customHeight="1" x14ac:dyDescent="0.25">
      <c r="A20" s="24" t="s">
        <v>396</v>
      </c>
    </row>
    <row r="21" spans="1:1" ht="27.75" customHeight="1" x14ac:dyDescent="0.25"/>
    <row r="22" spans="1:1" ht="27.75" customHeight="1" x14ac:dyDescent="0.25">
      <c r="A22" s="1" t="s">
        <v>397</v>
      </c>
    </row>
    <row r="23" spans="1:1" ht="27.75" customHeight="1" x14ac:dyDescent="0.25">
      <c r="A23" s="24" t="s">
        <v>398</v>
      </c>
    </row>
    <row r="24" spans="1:1" ht="27.75" customHeight="1" x14ac:dyDescent="0.25">
      <c r="A24" s="24" t="s">
        <v>399</v>
      </c>
    </row>
    <row r="25" spans="1:1" ht="27.75" customHeight="1" x14ac:dyDescent="0.25"/>
    <row r="26" spans="1:1" ht="27.75" customHeight="1" x14ac:dyDescent="0.25">
      <c r="A26" s="1" t="s">
        <v>400</v>
      </c>
    </row>
    <row r="27" spans="1:1" ht="27.75" customHeight="1" x14ac:dyDescent="0.25">
      <c r="A27" s="24" t="s">
        <v>401</v>
      </c>
    </row>
    <row r="28" spans="1:1" ht="27.75" customHeight="1" x14ac:dyDescent="0.25">
      <c r="A28" s="24" t="s">
        <v>402</v>
      </c>
    </row>
    <row r="29" spans="1:1" ht="27.75" customHeight="1" x14ac:dyDescent="0.25">
      <c r="A29" s="24" t="s">
        <v>403</v>
      </c>
    </row>
    <row r="30" spans="1:1" ht="27.75" customHeight="1" x14ac:dyDescent="0.25">
      <c r="A30" s="24" t="s">
        <v>404</v>
      </c>
    </row>
    <row r="31" spans="1:1" ht="27.75" customHeight="1" x14ac:dyDescent="0.25">
      <c r="A31" s="24" t="s">
        <v>405</v>
      </c>
    </row>
    <row r="32" spans="1:1" ht="27.75" customHeight="1" x14ac:dyDescent="0.25"/>
    <row r="33" spans="1:8" ht="27.75" customHeight="1" x14ac:dyDescent="0.25">
      <c r="A33" s="1" t="s">
        <v>476</v>
      </c>
    </row>
    <row r="34" spans="1:8" ht="27.75" customHeight="1" x14ac:dyDescent="0.25">
      <c r="A34" s="24" t="s">
        <v>406</v>
      </c>
    </row>
    <row r="35" spans="1:8" ht="27.75" customHeight="1" x14ac:dyDescent="0.25"/>
    <row r="36" spans="1:8" ht="27.75" customHeight="1" x14ac:dyDescent="0.25">
      <c r="A36" s="1" t="s">
        <v>477</v>
      </c>
    </row>
    <row r="37" spans="1:8" ht="27.75" customHeight="1" x14ac:dyDescent="0.25">
      <c r="A37" s="24" t="s">
        <v>407</v>
      </c>
    </row>
    <row r="38" spans="1:8" ht="27.75" customHeight="1" x14ac:dyDescent="0.25">
      <c r="A38" s="24" t="s">
        <v>408</v>
      </c>
    </row>
    <row r="39" spans="1:8" ht="27.75" customHeight="1" x14ac:dyDescent="0.25"/>
    <row r="40" spans="1:8" ht="27.75" customHeight="1" x14ac:dyDescent="0.25">
      <c r="A40" s="1" t="s">
        <v>478</v>
      </c>
    </row>
    <row r="41" spans="1:8" ht="27.75" customHeight="1" x14ac:dyDescent="0.25">
      <c r="A41" s="24" t="s">
        <v>409</v>
      </c>
    </row>
    <row r="42" spans="1:8" ht="27.75" customHeight="1" x14ac:dyDescent="0.25">
      <c r="A42" s="24" t="s">
        <v>410</v>
      </c>
    </row>
    <row r="43" spans="1:8" ht="27.75" customHeight="1" x14ac:dyDescent="0.25">
      <c r="A43" s="24" t="s">
        <v>411</v>
      </c>
    </row>
    <row r="44" spans="1:8" ht="27.75" customHeight="1" x14ac:dyDescent="0.25">
      <c r="A44" s="24" t="s">
        <v>412</v>
      </c>
    </row>
    <row r="45" spans="1:8" ht="24" customHeight="1" x14ac:dyDescent="0.25">
      <c r="A45" s="24"/>
    </row>
    <row r="46" spans="1:8" s="2" customFormat="1" x14ac:dyDescent="0.25">
      <c r="A46" s="10" t="s">
        <v>349</v>
      </c>
      <c r="B46" s="10"/>
      <c r="C46" s="10"/>
      <c r="D46" s="10"/>
      <c r="E46" s="10"/>
      <c r="F46" s="10"/>
      <c r="G46" s="188"/>
      <c r="H46" s="188"/>
    </row>
    <row r="163" spans="1:1" x14ac:dyDescent="0.25">
      <c r="A163" s="2" t="s">
        <v>413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FC0C-F47E-4637-9875-FFC0D2442E46}">
  <dimension ref="A1:H113"/>
  <sheetViews>
    <sheetView topLeftCell="A22" workbookViewId="0">
      <selection activeCell="A15" sqref="A15:XFD15"/>
    </sheetView>
  </sheetViews>
  <sheetFormatPr defaultRowHeight="16.5" x14ac:dyDescent="0.25"/>
  <cols>
    <col min="1" max="16384" width="9.140625" style="1"/>
  </cols>
  <sheetData>
    <row r="1" spans="1:8" s="3" customFormat="1" ht="27.75" customHeight="1" x14ac:dyDescent="0.25">
      <c r="A1" s="3" t="s">
        <v>479</v>
      </c>
    </row>
    <row r="2" spans="1:8" s="2" customFormat="1" ht="27" customHeight="1" x14ac:dyDescent="0.25">
      <c r="A2" s="42" t="s">
        <v>480</v>
      </c>
    </row>
    <row r="3" spans="1:8" ht="27" customHeight="1" x14ac:dyDescent="0.25">
      <c r="A3" s="1" t="s">
        <v>481</v>
      </c>
    </row>
    <row r="4" spans="1:8" ht="27" customHeight="1" x14ac:dyDescent="0.25">
      <c r="A4" s="24" t="s">
        <v>414</v>
      </c>
    </row>
    <row r="5" spans="1:8" ht="27" customHeight="1" x14ac:dyDescent="0.25">
      <c r="A5" s="24" t="s">
        <v>415</v>
      </c>
    </row>
    <row r="6" spans="1:8" ht="27" customHeight="1" x14ac:dyDescent="0.25"/>
    <row r="7" spans="1:8" ht="27" customHeight="1" x14ac:dyDescent="0.25">
      <c r="A7" s="1" t="s">
        <v>482</v>
      </c>
    </row>
    <row r="8" spans="1:8" ht="27" customHeight="1" x14ac:dyDescent="0.25">
      <c r="A8" s="24" t="s">
        <v>416</v>
      </c>
    </row>
    <row r="9" spans="1:8" ht="27" customHeight="1" x14ac:dyDescent="0.25">
      <c r="A9" s="24" t="s">
        <v>417</v>
      </c>
    </row>
    <row r="10" spans="1:8" ht="27" customHeight="1" x14ac:dyDescent="0.25"/>
    <row r="11" spans="1:8" ht="27" customHeight="1" x14ac:dyDescent="0.25">
      <c r="A11" s="1" t="s">
        <v>483</v>
      </c>
    </row>
    <row r="12" spans="1:8" ht="27" customHeight="1" x14ac:dyDescent="0.25">
      <c r="A12" s="24" t="s">
        <v>418</v>
      </c>
    </row>
    <row r="13" spans="1:8" ht="27" customHeight="1" x14ac:dyDescent="0.25">
      <c r="A13" s="24" t="s">
        <v>419</v>
      </c>
    </row>
    <row r="14" spans="1:8" ht="27" customHeight="1" x14ac:dyDescent="0.25">
      <c r="A14" s="24"/>
    </row>
    <row r="15" spans="1:8" s="2" customFormat="1" x14ac:dyDescent="0.25">
      <c r="A15" s="10" t="s">
        <v>349</v>
      </c>
      <c r="B15" s="10"/>
      <c r="C15" s="10"/>
      <c r="D15" s="10"/>
      <c r="E15" s="10"/>
      <c r="F15" s="10"/>
      <c r="G15" s="188"/>
      <c r="H15" s="188"/>
    </row>
    <row r="16" spans="1:8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  <row r="21" spans="1:1" x14ac:dyDescent="0.25">
      <c r="A21" s="24"/>
    </row>
    <row r="22" spans="1:1" x14ac:dyDescent="0.25">
      <c r="A22" s="24"/>
    </row>
    <row r="23" spans="1:1" x14ac:dyDescent="0.25">
      <c r="A23" s="24"/>
    </row>
    <row r="24" spans="1:1" x14ac:dyDescent="0.25">
      <c r="A24" s="24"/>
    </row>
    <row r="25" spans="1:1" x14ac:dyDescent="0.25">
      <c r="A25" s="24"/>
    </row>
    <row r="26" spans="1:1" x14ac:dyDescent="0.25">
      <c r="A26" s="24"/>
    </row>
    <row r="27" spans="1:1" x14ac:dyDescent="0.25">
      <c r="A27" s="24"/>
    </row>
    <row r="28" spans="1:1" x14ac:dyDescent="0.25">
      <c r="A28" s="24"/>
    </row>
    <row r="29" spans="1:1" x14ac:dyDescent="0.25">
      <c r="A29" s="24"/>
    </row>
    <row r="30" spans="1:1" x14ac:dyDescent="0.25">
      <c r="A30" s="24"/>
    </row>
    <row r="31" spans="1:1" x14ac:dyDescent="0.25">
      <c r="A31" s="24"/>
    </row>
    <row r="32" spans="1:1" x14ac:dyDescent="0.25">
      <c r="A32" s="24"/>
    </row>
    <row r="33" spans="1:1" x14ac:dyDescent="0.25">
      <c r="A33" s="24"/>
    </row>
    <row r="34" spans="1:1" x14ac:dyDescent="0.25">
      <c r="A34" s="24"/>
    </row>
    <row r="35" spans="1:1" x14ac:dyDescent="0.25">
      <c r="A35" s="24"/>
    </row>
    <row r="36" spans="1:1" x14ac:dyDescent="0.25">
      <c r="A36" s="24"/>
    </row>
    <row r="37" spans="1:1" x14ac:dyDescent="0.25">
      <c r="A37" s="24"/>
    </row>
    <row r="38" spans="1:1" x14ac:dyDescent="0.25">
      <c r="A38" s="24"/>
    </row>
    <row r="39" spans="1:1" x14ac:dyDescent="0.25">
      <c r="A39" s="24"/>
    </row>
    <row r="40" spans="1:1" x14ac:dyDescent="0.25">
      <c r="A40" s="24"/>
    </row>
    <row r="41" spans="1:1" x14ac:dyDescent="0.25">
      <c r="A41" s="24"/>
    </row>
    <row r="42" spans="1:1" x14ac:dyDescent="0.25">
      <c r="A42" s="24"/>
    </row>
    <row r="43" spans="1:1" x14ac:dyDescent="0.25">
      <c r="A43" s="24"/>
    </row>
    <row r="44" spans="1:1" x14ac:dyDescent="0.25">
      <c r="A44" s="24"/>
    </row>
    <row r="45" spans="1:1" x14ac:dyDescent="0.25">
      <c r="A45" s="24"/>
    </row>
    <row r="46" spans="1:1" x14ac:dyDescent="0.25">
      <c r="A46" s="24"/>
    </row>
    <row r="47" spans="1:1" x14ac:dyDescent="0.25">
      <c r="A47" s="24"/>
    </row>
    <row r="48" spans="1:1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  <row r="79" spans="1:1" x14ac:dyDescent="0.25">
      <c r="A79" s="24"/>
    </row>
    <row r="80" spans="1:1" x14ac:dyDescent="0.25">
      <c r="A80" s="24"/>
    </row>
    <row r="81" spans="1:1" x14ac:dyDescent="0.25">
      <c r="A81" s="24"/>
    </row>
    <row r="82" spans="1:1" x14ac:dyDescent="0.25">
      <c r="A82" s="24"/>
    </row>
    <row r="83" spans="1:1" x14ac:dyDescent="0.25">
      <c r="A83" s="24"/>
    </row>
    <row r="84" spans="1:1" x14ac:dyDescent="0.25">
      <c r="A84" s="24"/>
    </row>
    <row r="85" spans="1:1" x14ac:dyDescent="0.25">
      <c r="A85" s="24"/>
    </row>
    <row r="86" spans="1:1" x14ac:dyDescent="0.25">
      <c r="A86" s="24"/>
    </row>
    <row r="87" spans="1:1" x14ac:dyDescent="0.25">
      <c r="A87" s="24"/>
    </row>
    <row r="88" spans="1:1" x14ac:dyDescent="0.25">
      <c r="A88" s="24"/>
    </row>
    <row r="89" spans="1:1" x14ac:dyDescent="0.25">
      <c r="A89" s="24"/>
    </row>
    <row r="90" spans="1:1" x14ac:dyDescent="0.25">
      <c r="A90" s="24"/>
    </row>
    <row r="91" spans="1:1" x14ac:dyDescent="0.25">
      <c r="A91" s="24"/>
    </row>
    <row r="92" spans="1:1" x14ac:dyDescent="0.25">
      <c r="A92" s="24"/>
    </row>
    <row r="93" spans="1:1" x14ac:dyDescent="0.25">
      <c r="A93" s="24"/>
    </row>
    <row r="94" spans="1:1" x14ac:dyDescent="0.25">
      <c r="A94" s="24"/>
    </row>
    <row r="95" spans="1:1" x14ac:dyDescent="0.25">
      <c r="A95" s="24"/>
    </row>
    <row r="96" spans="1:1" x14ac:dyDescent="0.25">
      <c r="A96" s="24"/>
    </row>
    <row r="97" spans="1:1" x14ac:dyDescent="0.25">
      <c r="A97" s="24"/>
    </row>
    <row r="98" spans="1:1" x14ac:dyDescent="0.25">
      <c r="A98" s="24"/>
    </row>
    <row r="99" spans="1:1" x14ac:dyDescent="0.25">
      <c r="A99" s="24"/>
    </row>
    <row r="100" spans="1:1" x14ac:dyDescent="0.25">
      <c r="A100" s="24"/>
    </row>
    <row r="101" spans="1:1" x14ac:dyDescent="0.25">
      <c r="A101" s="24"/>
    </row>
    <row r="102" spans="1:1" x14ac:dyDescent="0.25">
      <c r="A102" s="24"/>
    </row>
    <row r="103" spans="1:1" x14ac:dyDescent="0.25">
      <c r="A103" s="24"/>
    </row>
    <row r="104" spans="1:1" x14ac:dyDescent="0.25">
      <c r="A104" s="24"/>
    </row>
    <row r="105" spans="1:1" x14ac:dyDescent="0.25">
      <c r="A105" s="24"/>
    </row>
    <row r="106" spans="1:1" x14ac:dyDescent="0.25">
      <c r="A106" s="24"/>
    </row>
    <row r="107" spans="1:1" x14ac:dyDescent="0.25">
      <c r="A107" s="24"/>
    </row>
    <row r="108" spans="1:1" x14ac:dyDescent="0.25">
      <c r="A108" s="24"/>
    </row>
    <row r="109" spans="1:1" x14ac:dyDescent="0.25">
      <c r="A109" s="24"/>
    </row>
    <row r="110" spans="1:1" x14ac:dyDescent="0.25">
      <c r="A110" s="24"/>
    </row>
    <row r="111" spans="1:1" x14ac:dyDescent="0.25">
      <c r="A111" s="24"/>
    </row>
    <row r="112" spans="1:1" x14ac:dyDescent="0.25">
      <c r="A112" s="24"/>
    </row>
    <row r="113" spans="1:1" x14ac:dyDescent="0.25">
      <c r="A113" s="2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6946-923E-4442-9153-E0531C084D08}">
  <dimension ref="A1:H17"/>
  <sheetViews>
    <sheetView workbookViewId="0">
      <selection activeCell="A17" sqref="A17:XFD17"/>
    </sheetView>
  </sheetViews>
  <sheetFormatPr defaultRowHeight="16.5" x14ac:dyDescent="0.25"/>
  <cols>
    <col min="1" max="16384" width="9.140625" style="1"/>
  </cols>
  <sheetData>
    <row r="1" spans="1:1" s="3" customFormat="1" ht="30" customHeight="1" x14ac:dyDescent="0.25">
      <c r="A1" s="3" t="s">
        <v>484</v>
      </c>
    </row>
    <row r="2" spans="1:1" ht="30" customHeight="1" x14ac:dyDescent="0.25">
      <c r="A2" s="1" t="s">
        <v>485</v>
      </c>
    </row>
    <row r="3" spans="1:1" ht="30" customHeight="1" x14ac:dyDescent="0.25">
      <c r="A3" s="24" t="s">
        <v>420</v>
      </c>
    </row>
    <row r="4" spans="1:1" ht="30" customHeight="1" x14ac:dyDescent="0.25">
      <c r="A4" s="24" t="s">
        <v>421</v>
      </c>
    </row>
    <row r="5" spans="1:1" ht="30" customHeight="1" x14ac:dyDescent="0.25"/>
    <row r="6" spans="1:1" ht="30" customHeight="1" x14ac:dyDescent="0.25">
      <c r="A6" s="1" t="s">
        <v>486</v>
      </c>
    </row>
    <row r="7" spans="1:1" ht="30" customHeight="1" x14ac:dyDescent="0.25">
      <c r="A7" s="24" t="s">
        <v>422</v>
      </c>
    </row>
    <row r="8" spans="1:1" ht="30" customHeight="1" x14ac:dyDescent="0.25">
      <c r="A8" s="24" t="s">
        <v>423</v>
      </c>
    </row>
    <row r="9" spans="1:1" ht="30" customHeight="1" x14ac:dyDescent="0.25"/>
    <row r="10" spans="1:1" ht="30" customHeight="1" x14ac:dyDescent="0.25">
      <c r="A10" s="1" t="s">
        <v>487</v>
      </c>
    </row>
    <row r="11" spans="1:1" ht="30" customHeight="1" x14ac:dyDescent="0.25">
      <c r="A11" s="24" t="s">
        <v>424</v>
      </c>
    </row>
    <row r="12" spans="1:1" ht="30" customHeight="1" x14ac:dyDescent="0.25">
      <c r="A12" s="24" t="s">
        <v>425</v>
      </c>
    </row>
    <row r="13" spans="1:1" ht="30" customHeight="1" x14ac:dyDescent="0.25"/>
    <row r="14" spans="1:1" ht="30" customHeight="1" x14ac:dyDescent="0.25">
      <c r="A14" s="1" t="s">
        <v>488</v>
      </c>
    </row>
    <row r="15" spans="1:1" ht="30" customHeight="1" x14ac:dyDescent="0.25">
      <c r="A15" s="24" t="s">
        <v>489</v>
      </c>
    </row>
    <row r="17" spans="1:8" s="2" customFormat="1" x14ac:dyDescent="0.25">
      <c r="A17" s="10" t="s">
        <v>349</v>
      </c>
      <c r="B17" s="10"/>
      <c r="C17" s="10"/>
      <c r="D17" s="10"/>
      <c r="E17" s="10"/>
      <c r="F17" s="10"/>
      <c r="G17" s="188"/>
      <c r="H17" s="18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1588-4AF2-443A-B80F-7107B91153CE}">
  <dimension ref="A1:H32"/>
  <sheetViews>
    <sheetView workbookViewId="0">
      <selection activeCell="A31" sqref="A31:XFD31"/>
    </sheetView>
  </sheetViews>
  <sheetFormatPr defaultRowHeight="16.5" x14ac:dyDescent="0.25"/>
  <cols>
    <col min="1" max="1" width="29.85546875" style="1" customWidth="1"/>
    <col min="2" max="2" width="13.28515625" style="1" customWidth="1"/>
    <col min="3" max="3" width="23.85546875" style="1" customWidth="1"/>
    <col min="4" max="16384" width="9.140625" style="1"/>
  </cols>
  <sheetData>
    <row r="1" spans="1:1" s="3" customFormat="1" ht="27" customHeight="1" x14ac:dyDescent="0.25">
      <c r="A1" s="3" t="s">
        <v>491</v>
      </c>
    </row>
    <row r="2" spans="1:1" s="2" customFormat="1" ht="27" customHeight="1" x14ac:dyDescent="0.25">
      <c r="A2" s="42" t="s">
        <v>462</v>
      </c>
    </row>
    <row r="3" spans="1:1" ht="27" customHeight="1" x14ac:dyDescent="0.25">
      <c r="A3" s="1" t="s">
        <v>492</v>
      </c>
    </row>
    <row r="4" spans="1:1" ht="27" customHeight="1" x14ac:dyDescent="0.25">
      <c r="A4" s="1" t="s">
        <v>493</v>
      </c>
    </row>
    <row r="5" spans="1:1" ht="27" customHeight="1" x14ac:dyDescent="0.25">
      <c r="A5" s="1" t="s">
        <v>494</v>
      </c>
    </row>
    <row r="6" spans="1:1" ht="27" customHeight="1" x14ac:dyDescent="0.25">
      <c r="A6" s="1" t="s">
        <v>495</v>
      </c>
    </row>
    <row r="7" spans="1:1" ht="27" customHeight="1" x14ac:dyDescent="0.25">
      <c r="A7" s="24" t="s">
        <v>426</v>
      </c>
    </row>
    <row r="8" spans="1:1" ht="27" customHeight="1" x14ac:dyDescent="0.25">
      <c r="A8" s="1" t="s">
        <v>496</v>
      </c>
    </row>
    <row r="9" spans="1:1" ht="27" customHeight="1" x14ac:dyDescent="0.25">
      <c r="A9" s="24" t="s">
        <v>427</v>
      </c>
    </row>
    <row r="10" spans="1:1" ht="27" customHeight="1" x14ac:dyDescent="0.25">
      <c r="A10" s="24" t="s">
        <v>428</v>
      </c>
    </row>
    <row r="11" spans="1:1" ht="27" customHeight="1" x14ac:dyDescent="0.25">
      <c r="A11" s="24" t="s">
        <v>429</v>
      </c>
    </row>
    <row r="12" spans="1:1" ht="27" customHeight="1" x14ac:dyDescent="0.25"/>
    <row r="13" spans="1:1" ht="27" customHeight="1" x14ac:dyDescent="0.25">
      <c r="A13" s="1" t="s">
        <v>497</v>
      </c>
    </row>
    <row r="14" spans="1:1" ht="27" customHeight="1" x14ac:dyDescent="0.25">
      <c r="A14" s="1" t="s">
        <v>498</v>
      </c>
    </row>
    <row r="15" spans="1:1" ht="27" customHeight="1" x14ac:dyDescent="0.25"/>
    <row r="16" spans="1:1" s="3" customFormat="1" x14ac:dyDescent="0.25">
      <c r="A16" s="3" t="s">
        <v>213</v>
      </c>
    </row>
    <row r="17" spans="1:8" ht="24" customHeight="1" x14ac:dyDescent="0.25">
      <c r="A17" s="24" t="s">
        <v>430</v>
      </c>
    </row>
    <row r="18" spans="1:8" ht="24" customHeight="1" x14ac:dyDescent="0.25"/>
    <row r="19" spans="1:8" ht="33" x14ac:dyDescent="0.25">
      <c r="A19" s="191" t="s">
        <v>431</v>
      </c>
      <c r="B19" s="191" t="s">
        <v>323</v>
      </c>
      <c r="C19" s="191" t="s">
        <v>432</v>
      </c>
      <c r="D19" s="191" t="s">
        <v>322</v>
      </c>
      <c r="E19" s="191" t="s">
        <v>433</v>
      </c>
    </row>
    <row r="20" spans="1:8" ht="33" x14ac:dyDescent="0.25">
      <c r="A20" s="146" t="s">
        <v>375</v>
      </c>
      <c r="B20" s="147" t="s">
        <v>376</v>
      </c>
      <c r="C20" s="147" t="s">
        <v>328</v>
      </c>
      <c r="D20" s="147" t="s">
        <v>331</v>
      </c>
      <c r="E20" s="147" t="s">
        <v>377</v>
      </c>
    </row>
    <row r="21" spans="1:8" x14ac:dyDescent="0.25">
      <c r="A21" s="147"/>
      <c r="B21" s="147"/>
      <c r="C21" s="147" t="s">
        <v>434</v>
      </c>
      <c r="D21" s="147" t="s">
        <v>435</v>
      </c>
      <c r="E21" s="147" t="s">
        <v>435</v>
      </c>
    </row>
    <row r="22" spans="1:8" x14ac:dyDescent="0.25">
      <c r="A22" s="147"/>
      <c r="B22" s="147"/>
      <c r="C22" s="146" t="s">
        <v>436</v>
      </c>
      <c r="D22" s="147" t="s">
        <v>437</v>
      </c>
      <c r="E22" s="147" t="s">
        <v>438</v>
      </c>
    </row>
    <row r="23" spans="1:8" x14ac:dyDescent="0.25">
      <c r="A23" s="146" t="s">
        <v>439</v>
      </c>
      <c r="B23" s="147" t="s">
        <v>376</v>
      </c>
      <c r="C23" s="147" t="s">
        <v>435</v>
      </c>
      <c r="D23" s="147" t="s">
        <v>435</v>
      </c>
      <c r="E23" s="147" t="s">
        <v>435</v>
      </c>
    </row>
    <row r="24" spans="1:8" x14ac:dyDescent="0.25">
      <c r="A24" s="146" t="s">
        <v>440</v>
      </c>
      <c r="B24" s="147" t="s">
        <v>376</v>
      </c>
      <c r="C24" s="147" t="s">
        <v>435</v>
      </c>
      <c r="D24" s="147" t="s">
        <v>435</v>
      </c>
      <c r="E24" s="147" t="s">
        <v>435</v>
      </c>
    </row>
    <row r="25" spans="1:8" x14ac:dyDescent="0.25">
      <c r="A25" s="146" t="s">
        <v>441</v>
      </c>
      <c r="B25" s="147" t="s">
        <v>376</v>
      </c>
      <c r="C25" s="147" t="s">
        <v>435</v>
      </c>
      <c r="D25" s="147" t="s">
        <v>435</v>
      </c>
      <c r="E25" s="147" t="s">
        <v>435</v>
      </c>
    </row>
    <row r="26" spans="1:8" x14ac:dyDescent="0.25">
      <c r="A26" s="146" t="s">
        <v>442</v>
      </c>
      <c r="B26" s="147" t="s">
        <v>376</v>
      </c>
      <c r="C26" s="147" t="s">
        <v>435</v>
      </c>
      <c r="D26" s="147" t="s">
        <v>435</v>
      </c>
      <c r="E26" s="147" t="s">
        <v>435</v>
      </c>
    </row>
    <row r="27" spans="1:8" x14ac:dyDescent="0.25">
      <c r="A27" s="146" t="s">
        <v>443</v>
      </c>
      <c r="B27" s="147" t="s">
        <v>376</v>
      </c>
      <c r="C27" s="147" t="s">
        <v>435</v>
      </c>
      <c r="D27" s="147" t="s">
        <v>435</v>
      </c>
      <c r="E27" s="147" t="s">
        <v>435</v>
      </c>
    </row>
    <row r="28" spans="1:8" x14ac:dyDescent="0.25">
      <c r="A28" s="146" t="s">
        <v>444</v>
      </c>
      <c r="B28" s="147" t="s">
        <v>376</v>
      </c>
      <c r="C28" s="147" t="s">
        <v>435</v>
      </c>
      <c r="D28" s="189"/>
      <c r="E28" s="189"/>
    </row>
    <row r="31" spans="1:8" s="2" customFormat="1" x14ac:dyDescent="0.25">
      <c r="A31" s="10" t="s">
        <v>349</v>
      </c>
      <c r="B31" s="10"/>
      <c r="C31" s="10"/>
      <c r="D31" s="10"/>
      <c r="E31" s="10"/>
      <c r="F31" s="10"/>
      <c r="G31" s="188"/>
      <c r="H31" s="188"/>
    </row>
    <row r="32" spans="1:8" x14ac:dyDescent="0.25">
      <c r="A32" s="190" t="s">
        <v>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topLeftCell="A53" zoomScaleNormal="100" workbookViewId="0">
      <selection activeCell="J69" sqref="J69"/>
    </sheetView>
  </sheetViews>
  <sheetFormatPr defaultRowHeight="15" x14ac:dyDescent="0.25"/>
  <cols>
    <col min="2" max="2" width="14.140625" customWidth="1"/>
    <col min="3" max="3" width="20.85546875" customWidth="1"/>
    <col min="4" max="4" width="27.42578125" customWidth="1"/>
  </cols>
  <sheetData>
    <row r="1" spans="1:4" ht="24" customHeight="1" x14ac:dyDescent="0.25">
      <c r="A1" s="53" t="s">
        <v>134</v>
      </c>
      <c r="B1" s="54"/>
    </row>
    <row r="11" spans="1:4" s="1" customFormat="1" ht="16.5" x14ac:dyDescent="0.25">
      <c r="A11" s="10" t="s">
        <v>7</v>
      </c>
      <c r="B11" s="11"/>
      <c r="C11" s="20"/>
      <c r="D11" s="11"/>
    </row>
    <row r="12" spans="1:4" s="1" customFormat="1" ht="16.5" x14ac:dyDescent="0.25">
      <c r="A12" s="3" t="s">
        <v>23</v>
      </c>
      <c r="C12" s="21"/>
    </row>
    <row r="13" spans="1:4" s="1" customFormat="1" ht="16.5" x14ac:dyDescent="0.25">
      <c r="A13" s="1" t="s">
        <v>24</v>
      </c>
      <c r="C13" s="21"/>
    </row>
    <row r="14" spans="1:4" s="1" customFormat="1" ht="16.5" x14ac:dyDescent="0.25">
      <c r="A14" s="1" t="s">
        <v>26</v>
      </c>
      <c r="C14" s="21"/>
    </row>
    <row r="25" spans="1:3" s="1" customFormat="1" ht="16.5" x14ac:dyDescent="0.25">
      <c r="A25" s="3" t="s">
        <v>25</v>
      </c>
      <c r="C25" s="21"/>
    </row>
    <row r="26" spans="1:3" s="1" customFormat="1" ht="16.5" x14ac:dyDescent="0.25">
      <c r="A26" s="1" t="s">
        <v>132</v>
      </c>
      <c r="C26" s="21"/>
    </row>
    <row r="27" spans="1:3" s="1" customFormat="1" ht="16.5" x14ac:dyDescent="0.25">
      <c r="A27" s="1" t="s">
        <v>131</v>
      </c>
      <c r="C27" s="21"/>
    </row>
    <row r="29" spans="1:3" s="1" customFormat="1" ht="16.5" x14ac:dyDescent="0.25">
      <c r="A29" s="10" t="s">
        <v>8</v>
      </c>
      <c r="B29" s="10"/>
      <c r="C29" s="21"/>
    </row>
    <row r="41" spans="1:7" s="1" customFormat="1" ht="16.5" x14ac:dyDescent="0.25">
      <c r="A41" s="10" t="s">
        <v>27</v>
      </c>
      <c r="B41" s="11"/>
      <c r="C41" s="20"/>
      <c r="D41" s="11"/>
    </row>
    <row r="42" spans="1:7" s="1" customFormat="1" ht="16.5" x14ac:dyDescent="0.25">
      <c r="A42" s="3" t="s">
        <v>28</v>
      </c>
      <c r="C42" s="21"/>
    </row>
    <row r="43" spans="1:7" s="12" customFormat="1" ht="24.75" customHeight="1" x14ac:dyDescent="0.25">
      <c r="A43" s="44" t="s">
        <v>11</v>
      </c>
      <c r="B43" s="44" t="s">
        <v>33</v>
      </c>
      <c r="C43" s="49" t="s">
        <v>29</v>
      </c>
      <c r="D43" s="46" t="s">
        <v>14</v>
      </c>
    </row>
    <row r="44" spans="1:7" s="1" customFormat="1" ht="16.5" x14ac:dyDescent="0.25">
      <c r="A44" s="7">
        <v>0</v>
      </c>
      <c r="B44" s="7">
        <v>0</v>
      </c>
      <c r="C44" s="22">
        <f>1/(1.18)^A44</f>
        <v>1</v>
      </c>
      <c r="D44" s="5">
        <f>B44*C44</f>
        <v>0</v>
      </c>
      <c r="G44" s="13"/>
    </row>
    <row r="45" spans="1:7" s="1" customFormat="1" ht="16.5" x14ac:dyDescent="0.25">
      <c r="A45" s="7">
        <v>1</v>
      </c>
      <c r="B45" s="7">
        <v>0</v>
      </c>
      <c r="C45" s="22">
        <f t="shared" ref="C45:C51" si="0">1/(1.18)^A45</f>
        <v>0.84745762711864414</v>
      </c>
      <c r="D45" s="5">
        <f t="shared" ref="D45:D51" si="1">B45*C45</f>
        <v>0</v>
      </c>
    </row>
    <row r="46" spans="1:7" s="1" customFormat="1" ht="16.5" x14ac:dyDescent="0.25">
      <c r="A46" s="7">
        <v>2</v>
      </c>
      <c r="B46" s="7">
        <v>150</v>
      </c>
      <c r="C46" s="22">
        <f t="shared" si="0"/>
        <v>0.71818442976156283</v>
      </c>
      <c r="D46" s="5">
        <f t="shared" si="1"/>
        <v>107.72766446423442</v>
      </c>
    </row>
    <row r="47" spans="1:7" s="1" customFormat="1" ht="16.5" x14ac:dyDescent="0.25">
      <c r="A47" s="7">
        <v>3</v>
      </c>
      <c r="B47" s="7">
        <v>220</v>
      </c>
      <c r="C47" s="22">
        <f t="shared" si="0"/>
        <v>0.6086308726792905</v>
      </c>
      <c r="D47" s="5">
        <f t="shared" si="1"/>
        <v>133.89879198944391</v>
      </c>
    </row>
    <row r="48" spans="1:7" s="1" customFormat="1" ht="16.5" x14ac:dyDescent="0.25">
      <c r="A48" s="7">
        <v>4</v>
      </c>
      <c r="B48" s="7">
        <v>215</v>
      </c>
      <c r="C48" s="22">
        <f t="shared" si="0"/>
        <v>0.51578887515194116</v>
      </c>
      <c r="D48" s="5">
        <f t="shared" si="1"/>
        <v>110.89460815766735</v>
      </c>
    </row>
    <row r="49" spans="1:6" s="1" customFormat="1" ht="16.5" x14ac:dyDescent="0.25">
      <c r="A49" s="7">
        <v>5</v>
      </c>
      <c r="B49" s="7">
        <v>205</v>
      </c>
      <c r="C49" s="22">
        <f t="shared" si="0"/>
        <v>0.43710921623045873</v>
      </c>
      <c r="D49" s="5">
        <f t="shared" si="1"/>
        <v>89.607389327244036</v>
      </c>
    </row>
    <row r="50" spans="1:6" s="1" customFormat="1" ht="16.5" x14ac:dyDescent="0.25">
      <c r="A50" s="7">
        <v>6</v>
      </c>
      <c r="B50" s="7">
        <v>197</v>
      </c>
      <c r="C50" s="22">
        <f t="shared" si="0"/>
        <v>0.37043153917835481</v>
      </c>
      <c r="D50" s="5">
        <f t="shared" si="1"/>
        <v>72.975013218135899</v>
      </c>
    </row>
    <row r="51" spans="1:6" s="1" customFormat="1" ht="16.5" x14ac:dyDescent="0.25">
      <c r="A51" s="7">
        <v>7</v>
      </c>
      <c r="B51" s="7">
        <v>100</v>
      </c>
      <c r="C51" s="22">
        <f t="shared" si="0"/>
        <v>0.31392503320199561</v>
      </c>
      <c r="D51" s="5">
        <f t="shared" si="1"/>
        <v>31.392503320199559</v>
      </c>
    </row>
    <row r="52" spans="1:6" s="1" customFormat="1" ht="23.25" customHeight="1" x14ac:dyDescent="0.25">
      <c r="A52" s="151" t="s">
        <v>15</v>
      </c>
      <c r="B52" s="151"/>
      <c r="C52" s="151"/>
      <c r="D52" s="48">
        <f>SUM(D44:D51)</f>
        <v>546.49597047692521</v>
      </c>
    </row>
    <row r="53" spans="1:6" s="1" customFormat="1" ht="16.5" x14ac:dyDescent="0.25">
      <c r="C53" s="21"/>
    </row>
    <row r="54" spans="1:6" s="1" customFormat="1" ht="22.5" customHeight="1" x14ac:dyDescent="0.25">
      <c r="A54" s="44" t="s">
        <v>11</v>
      </c>
      <c r="B54" s="44" t="s">
        <v>34</v>
      </c>
      <c r="C54" s="49" t="s">
        <v>29</v>
      </c>
      <c r="D54" s="46" t="s">
        <v>14</v>
      </c>
    </row>
    <row r="55" spans="1:6" s="1" customFormat="1" ht="16.5" x14ac:dyDescent="0.25">
      <c r="A55" s="7">
        <v>0</v>
      </c>
      <c r="B55" s="7">
        <v>225</v>
      </c>
      <c r="C55" s="22">
        <f>1/(1.18)^A55</f>
        <v>1</v>
      </c>
      <c r="D55" s="5">
        <f>B55*C55</f>
        <v>225</v>
      </c>
    </row>
    <row r="56" spans="1:6" s="1" customFormat="1" ht="16.5" x14ac:dyDescent="0.25">
      <c r="A56" s="7">
        <v>1</v>
      </c>
      <c r="B56" s="7">
        <v>190</v>
      </c>
      <c r="C56" s="22">
        <f t="shared" ref="C56:C62" si="2">1/(1.18)^A56</f>
        <v>0.84745762711864414</v>
      </c>
      <c r="D56" s="5">
        <f t="shared" ref="D56:D62" si="3">B56*C56</f>
        <v>161.0169491525424</v>
      </c>
    </row>
    <row r="57" spans="1:6" s="1" customFormat="1" ht="16.5" x14ac:dyDescent="0.25">
      <c r="A57" s="7">
        <v>2</v>
      </c>
      <c r="B57" s="7">
        <v>0</v>
      </c>
      <c r="C57" s="22">
        <f t="shared" si="2"/>
        <v>0.71818442976156283</v>
      </c>
      <c r="D57" s="5">
        <f t="shared" si="3"/>
        <v>0</v>
      </c>
    </row>
    <row r="58" spans="1:6" s="1" customFormat="1" ht="16.5" x14ac:dyDescent="0.25">
      <c r="A58" s="7">
        <v>3</v>
      </c>
      <c r="B58" s="7">
        <v>30</v>
      </c>
      <c r="C58" s="22">
        <f t="shared" si="2"/>
        <v>0.6086308726792905</v>
      </c>
      <c r="D58" s="5">
        <f t="shared" si="3"/>
        <v>18.258926180378715</v>
      </c>
    </row>
    <row r="59" spans="1:6" s="1" customFormat="1" ht="16.5" x14ac:dyDescent="0.25">
      <c r="A59" s="7">
        <v>4</v>
      </c>
      <c r="B59" s="7">
        <v>0</v>
      </c>
      <c r="C59" s="22">
        <f t="shared" si="2"/>
        <v>0.51578887515194116</v>
      </c>
      <c r="D59" s="5">
        <f t="shared" si="3"/>
        <v>0</v>
      </c>
    </row>
    <row r="60" spans="1:6" s="1" customFormat="1" ht="16.5" x14ac:dyDescent="0.25">
      <c r="A60" s="7">
        <v>5</v>
      </c>
      <c r="B60" s="7">
        <v>30</v>
      </c>
      <c r="C60" s="22">
        <f t="shared" si="2"/>
        <v>0.43710921623045873</v>
      </c>
      <c r="D60" s="5">
        <f t="shared" si="3"/>
        <v>13.113276486913762</v>
      </c>
    </row>
    <row r="61" spans="1:6" s="1" customFormat="1" ht="16.5" x14ac:dyDescent="0.25">
      <c r="A61" s="7">
        <v>6</v>
      </c>
      <c r="B61" s="7">
        <v>0</v>
      </c>
      <c r="C61" s="22">
        <f t="shared" si="2"/>
        <v>0.37043153917835481</v>
      </c>
      <c r="D61" s="5">
        <f t="shared" si="3"/>
        <v>0</v>
      </c>
    </row>
    <row r="62" spans="1:6" s="1" customFormat="1" ht="16.5" x14ac:dyDescent="0.25">
      <c r="A62" s="7">
        <v>7</v>
      </c>
      <c r="B62" s="7">
        <v>30</v>
      </c>
      <c r="C62" s="22">
        <f t="shared" si="2"/>
        <v>0.31392503320199561</v>
      </c>
      <c r="D62" s="5">
        <f t="shared" si="3"/>
        <v>9.4177509960598691</v>
      </c>
    </row>
    <row r="63" spans="1:6" s="1" customFormat="1" ht="21" customHeight="1" x14ac:dyDescent="0.25">
      <c r="A63" s="151" t="s">
        <v>18</v>
      </c>
      <c r="B63" s="151"/>
      <c r="C63" s="151"/>
      <c r="D63" s="48">
        <f>SUM(D55:D62)</f>
        <v>426.80690281589472</v>
      </c>
      <c r="E63" s="4"/>
      <c r="F63" s="4"/>
    </row>
    <row r="64" spans="1:6" s="1" customFormat="1" ht="16.5" x14ac:dyDescent="0.25">
      <c r="C64" s="21"/>
    </row>
    <row r="65" spans="1:5" s="1" customFormat="1" ht="16.5" x14ac:dyDescent="0.25">
      <c r="C65" s="21"/>
    </row>
    <row r="66" spans="1:5" s="1" customFormat="1" ht="16.5" x14ac:dyDescent="0.25">
      <c r="A66" s="3" t="s">
        <v>32</v>
      </c>
      <c r="C66" s="21"/>
    </row>
    <row r="67" spans="1:5" s="1" customFormat="1" ht="20.25" customHeight="1" x14ac:dyDescent="0.25">
      <c r="A67" s="44" t="s">
        <v>11</v>
      </c>
      <c r="B67" s="44" t="s">
        <v>33</v>
      </c>
      <c r="C67" s="49" t="s">
        <v>29</v>
      </c>
      <c r="D67" s="46" t="s">
        <v>14</v>
      </c>
    </row>
    <row r="68" spans="1:5" s="1" customFormat="1" ht="16.5" x14ac:dyDescent="0.25">
      <c r="A68" s="7">
        <v>0</v>
      </c>
      <c r="B68" s="7">
        <v>0</v>
      </c>
      <c r="C68" s="22">
        <f>1/(1.18)^A68</f>
        <v>1</v>
      </c>
      <c r="D68" s="5">
        <f>B68*C68</f>
        <v>0</v>
      </c>
    </row>
    <row r="69" spans="1:5" s="1" customFormat="1" ht="16.5" x14ac:dyDescent="0.25">
      <c r="A69" s="7">
        <v>1</v>
      </c>
      <c r="B69" s="7">
        <v>50</v>
      </c>
      <c r="C69" s="22">
        <f t="shared" ref="C69:C75" si="4">1/(1.18)^A69</f>
        <v>0.84745762711864414</v>
      </c>
      <c r="D69" s="5">
        <f t="shared" ref="D69:D75" si="5">B69*C69</f>
        <v>42.372881355932208</v>
      </c>
    </row>
    <row r="70" spans="1:5" s="1" customFormat="1" ht="16.5" x14ac:dyDescent="0.25">
      <c r="A70" s="7">
        <v>2</v>
      </c>
      <c r="B70" s="7">
        <v>150</v>
      </c>
      <c r="C70" s="22">
        <f t="shared" si="4"/>
        <v>0.71818442976156283</v>
      </c>
      <c r="D70" s="5">
        <f t="shared" si="5"/>
        <v>107.72766446423442</v>
      </c>
    </row>
    <row r="71" spans="1:5" s="1" customFormat="1" ht="16.5" x14ac:dyDescent="0.25">
      <c r="A71" s="7">
        <v>3</v>
      </c>
      <c r="B71" s="7">
        <v>250</v>
      </c>
      <c r="C71" s="22">
        <f t="shared" si="4"/>
        <v>0.6086308726792905</v>
      </c>
      <c r="D71" s="5">
        <f t="shared" si="5"/>
        <v>152.15771816982263</v>
      </c>
    </row>
    <row r="72" spans="1:5" s="1" customFormat="1" ht="16.5" x14ac:dyDescent="0.25">
      <c r="A72" s="7">
        <v>4</v>
      </c>
      <c r="B72" s="7">
        <v>250</v>
      </c>
      <c r="C72" s="22">
        <f t="shared" si="4"/>
        <v>0.51578887515194116</v>
      </c>
      <c r="D72" s="5">
        <f t="shared" si="5"/>
        <v>128.94721878798529</v>
      </c>
    </row>
    <row r="73" spans="1:5" s="1" customFormat="1" ht="16.5" x14ac:dyDescent="0.25">
      <c r="A73" s="7">
        <v>5</v>
      </c>
      <c r="B73" s="7">
        <v>200</v>
      </c>
      <c r="C73" s="22">
        <f t="shared" si="4"/>
        <v>0.43710921623045873</v>
      </c>
      <c r="D73" s="5">
        <f t="shared" si="5"/>
        <v>87.42184324609174</v>
      </c>
    </row>
    <row r="74" spans="1:5" s="1" customFormat="1" ht="16.5" x14ac:dyDescent="0.25">
      <c r="A74" s="7">
        <v>6</v>
      </c>
      <c r="B74" s="7">
        <v>180</v>
      </c>
      <c r="C74" s="22">
        <f t="shared" si="4"/>
        <v>0.37043153917835481</v>
      </c>
      <c r="D74" s="5">
        <f t="shared" si="5"/>
        <v>66.67767705210386</v>
      </c>
    </row>
    <row r="75" spans="1:5" s="1" customFormat="1" ht="16.5" x14ac:dyDescent="0.25">
      <c r="A75" s="7">
        <v>7</v>
      </c>
      <c r="B75" s="7">
        <v>120</v>
      </c>
      <c r="C75" s="22">
        <f t="shared" si="4"/>
        <v>0.31392503320199561</v>
      </c>
      <c r="D75" s="5">
        <f t="shared" si="5"/>
        <v>37.671003984239476</v>
      </c>
    </row>
    <row r="76" spans="1:5" s="1" customFormat="1" ht="16.5" x14ac:dyDescent="0.25">
      <c r="A76" s="151" t="s">
        <v>15</v>
      </c>
      <c r="B76" s="151"/>
      <c r="C76" s="151"/>
      <c r="D76" s="48">
        <f>SUM(D68:D75)</f>
        <v>622.97600706040964</v>
      </c>
      <c r="E76" s="4"/>
    </row>
    <row r="77" spans="1:5" s="1" customFormat="1" ht="16.5" x14ac:dyDescent="0.25">
      <c r="C77" s="21"/>
    </row>
    <row r="78" spans="1:5" s="1" customFormat="1" ht="21.75" customHeight="1" x14ac:dyDescent="0.25">
      <c r="A78" s="44" t="s">
        <v>11</v>
      </c>
      <c r="B78" s="44" t="s">
        <v>34</v>
      </c>
      <c r="C78" s="49" t="s">
        <v>29</v>
      </c>
      <c r="D78" s="46" t="s">
        <v>37</v>
      </c>
    </row>
    <row r="79" spans="1:5" s="1" customFormat="1" ht="16.5" x14ac:dyDescent="0.25">
      <c r="A79" s="7">
        <v>0</v>
      </c>
      <c r="B79" s="7">
        <v>300</v>
      </c>
      <c r="C79" s="22">
        <f>1/(1.18)^A79</f>
        <v>1</v>
      </c>
      <c r="D79" s="5">
        <f>B79*C79</f>
        <v>300</v>
      </c>
    </row>
    <row r="80" spans="1:5" s="1" customFormat="1" ht="16.5" x14ac:dyDescent="0.25">
      <c r="A80" s="7">
        <v>1</v>
      </c>
      <c r="B80" s="7">
        <v>100</v>
      </c>
      <c r="C80" s="22">
        <f t="shared" ref="C80:C86" si="6">1/(1.18)^A80</f>
        <v>0.84745762711864414</v>
      </c>
      <c r="D80" s="5">
        <f t="shared" ref="D80:D86" si="7">B80*C80</f>
        <v>84.745762711864415</v>
      </c>
    </row>
    <row r="81" spans="1:5" s="1" customFormat="1" ht="16.5" x14ac:dyDescent="0.25">
      <c r="A81" s="7">
        <v>2</v>
      </c>
      <c r="B81" s="7">
        <v>0</v>
      </c>
      <c r="C81" s="22">
        <f t="shared" si="6"/>
        <v>0.71818442976156283</v>
      </c>
      <c r="D81" s="5">
        <f t="shared" si="7"/>
        <v>0</v>
      </c>
    </row>
    <row r="82" spans="1:5" s="1" customFormat="1" ht="16.5" x14ac:dyDescent="0.25">
      <c r="A82" s="7">
        <v>3</v>
      </c>
      <c r="B82" s="7">
        <v>50</v>
      </c>
      <c r="C82" s="22">
        <f t="shared" si="6"/>
        <v>0.6086308726792905</v>
      </c>
      <c r="D82" s="5">
        <f t="shared" si="7"/>
        <v>30.431543633964527</v>
      </c>
    </row>
    <row r="83" spans="1:5" s="1" customFormat="1" ht="16.5" x14ac:dyDescent="0.25">
      <c r="A83" s="7">
        <v>4</v>
      </c>
      <c r="B83" s="7">
        <v>0</v>
      </c>
      <c r="C83" s="22">
        <f t="shared" si="6"/>
        <v>0.51578887515194116</v>
      </c>
      <c r="D83" s="5">
        <f t="shared" si="7"/>
        <v>0</v>
      </c>
    </row>
    <row r="84" spans="1:5" s="1" customFormat="1" ht="16.5" x14ac:dyDescent="0.25">
      <c r="A84" s="7">
        <v>5</v>
      </c>
      <c r="B84" s="7">
        <v>50</v>
      </c>
      <c r="C84" s="22">
        <f t="shared" si="6"/>
        <v>0.43710921623045873</v>
      </c>
      <c r="D84" s="5">
        <f t="shared" si="7"/>
        <v>21.855460811522935</v>
      </c>
    </row>
    <row r="85" spans="1:5" s="1" customFormat="1" ht="16.5" x14ac:dyDescent="0.25">
      <c r="A85" s="7">
        <v>6</v>
      </c>
      <c r="B85" s="7">
        <v>0</v>
      </c>
      <c r="C85" s="22">
        <f t="shared" si="6"/>
        <v>0.37043153917835481</v>
      </c>
      <c r="D85" s="5">
        <f t="shared" si="7"/>
        <v>0</v>
      </c>
    </row>
    <row r="86" spans="1:5" s="1" customFormat="1" ht="16.5" x14ac:dyDescent="0.25">
      <c r="A86" s="7">
        <v>7</v>
      </c>
      <c r="B86" s="7">
        <v>50</v>
      </c>
      <c r="C86" s="22">
        <f t="shared" si="6"/>
        <v>0.31392503320199561</v>
      </c>
      <c r="D86" s="5">
        <f t="shared" si="7"/>
        <v>15.696251660099779</v>
      </c>
    </row>
    <row r="87" spans="1:5" s="1" customFormat="1" ht="20.25" customHeight="1" x14ac:dyDescent="0.25">
      <c r="A87" s="151" t="s">
        <v>18</v>
      </c>
      <c r="B87" s="151"/>
      <c r="C87" s="151"/>
      <c r="D87" s="48">
        <f>SUM(D79:D86)</f>
        <v>452.72901881745167</v>
      </c>
      <c r="E87" s="4"/>
    </row>
    <row r="88" spans="1:5" s="1" customFormat="1" ht="16.5" x14ac:dyDescent="0.25">
      <c r="C88" s="21"/>
    </row>
    <row r="89" spans="1:5" s="55" customFormat="1" ht="22.15" customHeight="1" x14ac:dyDescent="0.25">
      <c r="A89" s="95" t="s">
        <v>20</v>
      </c>
      <c r="B89" s="95"/>
      <c r="C89" s="97"/>
    </row>
    <row r="90" spans="1:5" s="3" customFormat="1" ht="16.5" x14ac:dyDescent="0.25">
      <c r="A90" s="9" t="s">
        <v>22</v>
      </c>
      <c r="C90" s="16"/>
    </row>
    <row r="94" spans="1:5" s="3" customFormat="1" ht="16.5" x14ac:dyDescent="0.25">
      <c r="A94" s="3" t="s">
        <v>30</v>
      </c>
      <c r="C94" s="16"/>
    </row>
    <row r="95" spans="1:5" s="3" customFormat="1" ht="16.5" x14ac:dyDescent="0.25">
      <c r="A95" s="1" t="s">
        <v>35</v>
      </c>
      <c r="C95" s="16"/>
    </row>
    <row r="96" spans="1:5" s="3" customFormat="1" ht="16.5" x14ac:dyDescent="0.25">
      <c r="A96" s="1" t="s">
        <v>36</v>
      </c>
      <c r="C96" s="16"/>
    </row>
    <row r="97" spans="1:4" s="1" customFormat="1" ht="16.5" x14ac:dyDescent="0.25">
      <c r="A97" s="2" t="s">
        <v>31</v>
      </c>
      <c r="C97" s="13"/>
    </row>
    <row r="99" spans="1:4" s="1" customFormat="1" ht="16.5" x14ac:dyDescent="0.25">
      <c r="A99" s="3" t="s">
        <v>38</v>
      </c>
      <c r="C99" s="13"/>
    </row>
    <row r="100" spans="1:4" s="3" customFormat="1" ht="16.5" x14ac:dyDescent="0.25">
      <c r="A100" s="1" t="s">
        <v>39</v>
      </c>
      <c r="C100" s="16"/>
    </row>
    <row r="101" spans="1:4" s="3" customFormat="1" ht="16.5" x14ac:dyDescent="0.25">
      <c r="A101" s="1" t="s">
        <v>40</v>
      </c>
      <c r="C101" s="16"/>
    </row>
    <row r="102" spans="1:4" s="1" customFormat="1" ht="16.5" x14ac:dyDescent="0.25">
      <c r="A102" s="2" t="s">
        <v>41</v>
      </c>
      <c r="C102" s="13"/>
    </row>
    <row r="104" spans="1:4" ht="65.25" customHeight="1" x14ac:dyDescent="0.25">
      <c r="A104" s="153" t="s">
        <v>192</v>
      </c>
      <c r="B104" s="154"/>
      <c r="C104" s="154"/>
      <c r="D104" s="154"/>
    </row>
  </sheetData>
  <mergeCells count="5">
    <mergeCell ref="A52:C52"/>
    <mergeCell ref="A63:C63"/>
    <mergeCell ref="A76:C76"/>
    <mergeCell ref="A87:C87"/>
    <mergeCell ref="A104:D10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AC43-757F-4B51-849D-06DDF1242D22}">
  <dimension ref="A1:H19"/>
  <sheetViews>
    <sheetView workbookViewId="0">
      <selection sqref="A1:XFD1"/>
    </sheetView>
  </sheetViews>
  <sheetFormatPr defaultRowHeight="16.5" x14ac:dyDescent="0.25"/>
  <cols>
    <col min="1" max="16384" width="9.140625" style="1"/>
  </cols>
  <sheetData>
    <row r="1" spans="1:1" s="3" customFormat="1" ht="28.5" customHeight="1" x14ac:dyDescent="0.25">
      <c r="A1" s="3" t="s">
        <v>499</v>
      </c>
    </row>
    <row r="2" spans="1:1" ht="28.5" customHeight="1" x14ac:dyDescent="0.25">
      <c r="A2" s="192" t="s">
        <v>500</v>
      </c>
    </row>
    <row r="3" spans="1:1" ht="28.5" customHeight="1" x14ac:dyDescent="0.25">
      <c r="A3" s="193" t="s">
        <v>501</v>
      </c>
    </row>
    <row r="4" spans="1:1" ht="28.5" customHeight="1" x14ac:dyDescent="0.25">
      <c r="A4" s="193" t="s">
        <v>502</v>
      </c>
    </row>
    <row r="5" spans="1:1" ht="28.5" customHeight="1" x14ac:dyDescent="0.25">
      <c r="A5" s="193" t="s">
        <v>503</v>
      </c>
    </row>
    <row r="6" spans="1:1" ht="28.5" customHeight="1" x14ac:dyDescent="0.25">
      <c r="A6" s="193" t="s">
        <v>504</v>
      </c>
    </row>
    <row r="7" spans="1:1" ht="28.5" customHeight="1" x14ac:dyDescent="0.25">
      <c r="A7" s="194" t="s">
        <v>505</v>
      </c>
    </row>
    <row r="8" spans="1:1" ht="28.5" customHeight="1" x14ac:dyDescent="0.25">
      <c r="A8" s="194" t="s">
        <v>506</v>
      </c>
    </row>
    <row r="9" spans="1:1" ht="28.5" customHeight="1" x14ac:dyDescent="0.25">
      <c r="A9" s="194" t="s">
        <v>507</v>
      </c>
    </row>
    <row r="10" spans="1:1" ht="28.5" customHeight="1" x14ac:dyDescent="0.25">
      <c r="A10" s="194" t="s">
        <v>508</v>
      </c>
    </row>
    <row r="11" spans="1:1" ht="28.5" customHeight="1" x14ac:dyDescent="0.25">
      <c r="A11" s="195" t="s">
        <v>509</v>
      </c>
    </row>
    <row r="12" spans="1:1" s="2" customFormat="1" ht="28.5" customHeight="1" x14ac:dyDescent="0.25">
      <c r="A12" s="2" t="s">
        <v>510</v>
      </c>
    </row>
    <row r="13" spans="1:1" ht="28.5" customHeight="1" x14ac:dyDescent="0.25">
      <c r="A13" s="42" t="s">
        <v>511</v>
      </c>
    </row>
    <row r="14" spans="1:1" ht="28.5" customHeight="1" x14ac:dyDescent="0.25">
      <c r="A14" s="42" t="s">
        <v>512</v>
      </c>
    </row>
    <row r="15" spans="1:1" ht="28.5" customHeight="1" x14ac:dyDescent="0.25">
      <c r="A15" s="42" t="s">
        <v>513</v>
      </c>
    </row>
    <row r="16" spans="1:1" ht="28.5" customHeight="1" x14ac:dyDescent="0.25">
      <c r="A16" s="42" t="s">
        <v>514</v>
      </c>
    </row>
    <row r="17" spans="1:8" ht="28.5" customHeight="1" x14ac:dyDescent="0.25">
      <c r="A17" s="42" t="s">
        <v>515</v>
      </c>
    </row>
    <row r="18" spans="1:8" x14ac:dyDescent="0.25">
      <c r="A18" s="2"/>
    </row>
    <row r="19" spans="1:8" s="2" customFormat="1" x14ac:dyDescent="0.25">
      <c r="A19" s="10" t="s">
        <v>349</v>
      </c>
      <c r="B19" s="10"/>
      <c r="C19" s="10"/>
      <c r="D19" s="10"/>
      <c r="E19" s="10"/>
      <c r="F19" s="10"/>
      <c r="G19" s="188"/>
      <c r="H19" s="188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838A-1CDB-4CBD-89FA-30BBCF3177BE}">
  <dimension ref="A1:H11"/>
  <sheetViews>
    <sheetView tabSelected="1" workbookViewId="0">
      <selection activeCell="H5" sqref="H5"/>
    </sheetView>
  </sheetViews>
  <sheetFormatPr defaultRowHeight="16.5" x14ac:dyDescent="0.25"/>
  <cols>
    <col min="1" max="16384" width="9.140625" style="1"/>
  </cols>
  <sheetData>
    <row r="1" spans="1:8" s="3" customFormat="1" ht="30.75" customHeight="1" x14ac:dyDescent="0.25">
      <c r="A1" s="3" t="s">
        <v>516</v>
      </c>
    </row>
    <row r="2" spans="1:8" ht="30.75" customHeight="1" x14ac:dyDescent="0.25">
      <c r="A2" s="192" t="s">
        <v>462</v>
      </c>
    </row>
    <row r="3" spans="1:8" ht="30.75" customHeight="1" x14ac:dyDescent="0.25">
      <c r="A3" s="193" t="s">
        <v>518</v>
      </c>
    </row>
    <row r="4" spans="1:8" ht="30.75" customHeight="1" x14ac:dyDescent="0.25">
      <c r="A4" s="195" t="s">
        <v>521</v>
      </c>
    </row>
    <row r="5" spans="1:8" ht="30.75" customHeight="1" x14ac:dyDescent="0.25">
      <c r="A5" s="195" t="s">
        <v>522</v>
      </c>
    </row>
    <row r="6" spans="1:8" ht="30.75" customHeight="1" x14ac:dyDescent="0.25">
      <c r="A6" s="193" t="s">
        <v>519</v>
      </c>
    </row>
    <row r="7" spans="1:8" ht="30.75" customHeight="1" x14ac:dyDescent="0.25">
      <c r="A7" s="195" t="s">
        <v>523</v>
      </c>
    </row>
    <row r="8" spans="1:8" ht="30.75" customHeight="1" x14ac:dyDescent="0.25">
      <c r="A8" s="195" t="s">
        <v>524</v>
      </c>
    </row>
    <row r="9" spans="1:8" ht="30.75" customHeight="1" x14ac:dyDescent="0.25">
      <c r="A9" s="196" t="s">
        <v>520</v>
      </c>
    </row>
    <row r="10" spans="1:8" x14ac:dyDescent="0.25">
      <c r="A10" s="196"/>
    </row>
    <row r="11" spans="1:8" s="2" customFormat="1" x14ac:dyDescent="0.25">
      <c r="A11" s="10" t="s">
        <v>349</v>
      </c>
      <c r="B11" s="10"/>
      <c r="C11" s="10"/>
      <c r="D11" s="10"/>
      <c r="E11" s="10"/>
      <c r="F11" s="10"/>
      <c r="G11" s="188"/>
      <c r="H11" s="18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476A-80FC-4A3B-9359-E502D02D16CD}">
  <dimension ref="A1:H18"/>
  <sheetViews>
    <sheetView topLeftCell="A67" workbookViewId="0">
      <selection activeCell="O79" sqref="O79"/>
    </sheetView>
  </sheetViews>
  <sheetFormatPr defaultRowHeight="16.5" x14ac:dyDescent="0.25"/>
  <cols>
    <col min="1" max="16384" width="9.140625" style="1"/>
  </cols>
  <sheetData>
    <row r="1" spans="1:7" s="3" customFormat="1" ht="24.75" customHeight="1" x14ac:dyDescent="0.25">
      <c r="A1" s="3" t="s">
        <v>517</v>
      </c>
    </row>
    <row r="2" spans="1:7" ht="24.75" customHeight="1" x14ac:dyDescent="0.25">
      <c r="A2" s="98" t="s">
        <v>525</v>
      </c>
      <c r="B2" s="11"/>
      <c r="C2" s="11"/>
      <c r="D2" s="11"/>
      <c r="E2" s="11"/>
      <c r="F2" s="11"/>
      <c r="G2" s="11"/>
    </row>
    <row r="3" spans="1:7" ht="24.75" customHeight="1" x14ac:dyDescent="0.25">
      <c r="A3" s="192" t="s">
        <v>462</v>
      </c>
    </row>
    <row r="4" spans="1:7" ht="24.75" customHeight="1" x14ac:dyDescent="0.25">
      <c r="A4" s="193" t="s">
        <v>526</v>
      </c>
    </row>
    <row r="5" spans="1:7" ht="24.75" customHeight="1" x14ac:dyDescent="0.25">
      <c r="A5" s="195" t="s">
        <v>527</v>
      </c>
    </row>
    <row r="6" spans="1:7" ht="24.75" customHeight="1" x14ac:dyDescent="0.25">
      <c r="A6" s="197" t="s">
        <v>528</v>
      </c>
    </row>
    <row r="7" spans="1:7" ht="24.75" customHeight="1" x14ac:dyDescent="0.25">
      <c r="A7" s="197" t="s">
        <v>529</v>
      </c>
    </row>
    <row r="8" spans="1:7" ht="24.75" customHeight="1" x14ac:dyDescent="0.25">
      <c r="A8" s="197" t="s">
        <v>530</v>
      </c>
    </row>
    <row r="9" spans="1:7" ht="24.75" customHeight="1" x14ac:dyDescent="0.25">
      <c r="A9" s="197" t="s">
        <v>531</v>
      </c>
    </row>
    <row r="10" spans="1:7" ht="24.75" customHeight="1" x14ac:dyDescent="0.25">
      <c r="A10" s="197" t="s">
        <v>532</v>
      </c>
    </row>
    <row r="11" spans="1:7" ht="24.75" customHeight="1" x14ac:dyDescent="0.25">
      <c r="A11" s="196" t="s">
        <v>533</v>
      </c>
    </row>
    <row r="12" spans="1:7" ht="24.75" customHeight="1" x14ac:dyDescent="0.25">
      <c r="A12" s="195" t="s">
        <v>535</v>
      </c>
    </row>
    <row r="13" spans="1:7" ht="24.75" customHeight="1" x14ac:dyDescent="0.25">
      <c r="A13" s="195" t="s">
        <v>536</v>
      </c>
    </row>
    <row r="14" spans="1:7" ht="24.75" customHeight="1" x14ac:dyDescent="0.25">
      <c r="A14" s="196" t="s">
        <v>534</v>
      </c>
    </row>
    <row r="15" spans="1:7" ht="24.75" customHeight="1" x14ac:dyDescent="0.25">
      <c r="A15" s="195" t="s">
        <v>537</v>
      </c>
    </row>
    <row r="16" spans="1:7" ht="24.75" customHeight="1" x14ac:dyDescent="0.25">
      <c r="A16" s="195" t="s">
        <v>538</v>
      </c>
    </row>
    <row r="17" spans="1:8" ht="24.75" customHeight="1" x14ac:dyDescent="0.25">
      <c r="A17" s="195"/>
    </row>
    <row r="18" spans="1:8" s="2" customFormat="1" ht="24.75" customHeight="1" x14ac:dyDescent="0.25">
      <c r="A18" s="10" t="s">
        <v>349</v>
      </c>
      <c r="B18" s="10"/>
      <c r="C18" s="10"/>
      <c r="D18" s="10"/>
      <c r="E18" s="10"/>
      <c r="F18" s="10"/>
      <c r="G18" s="188"/>
      <c r="H18" s="1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workbookViewId="0">
      <selection activeCell="D33" sqref="D33"/>
    </sheetView>
  </sheetViews>
  <sheetFormatPr defaultColWidth="9.140625" defaultRowHeight="16.5" x14ac:dyDescent="0.25"/>
  <cols>
    <col min="1" max="1" width="9.140625" style="1"/>
    <col min="2" max="2" width="20.140625" style="1" customWidth="1"/>
    <col min="3" max="3" width="12.5703125" style="23" customWidth="1"/>
    <col min="4" max="4" width="6.42578125" style="1" customWidth="1"/>
    <col min="5" max="5" width="7.28515625" style="1" customWidth="1"/>
    <col min="6" max="6" width="22.28515625" style="1" customWidth="1"/>
    <col min="7" max="16384" width="9.140625" style="1"/>
  </cols>
  <sheetData>
    <row r="1" spans="1:24" customFormat="1" ht="26.25" customHeight="1" x14ac:dyDescent="0.25">
      <c r="A1" s="53" t="s">
        <v>135</v>
      </c>
      <c r="B1" s="5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77" customFormat="1" ht="26.25" customHeight="1" x14ac:dyDescent="0.25">
      <c r="A2" s="63" t="s">
        <v>142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s="64" customFormat="1" ht="26.25" customHeight="1" x14ac:dyDescent="0.25">
      <c r="A3" s="65" t="s">
        <v>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3" t="s">
        <v>23</v>
      </c>
    </row>
    <row r="5" spans="1:24" x14ac:dyDescent="0.25">
      <c r="A5" s="24" t="s">
        <v>45</v>
      </c>
      <c r="C5" s="23">
        <v>150000</v>
      </c>
      <c r="D5" s="1" t="s">
        <v>42</v>
      </c>
    </row>
    <row r="6" spans="1:24" x14ac:dyDescent="0.25">
      <c r="A6" s="24" t="s">
        <v>44</v>
      </c>
      <c r="C6" s="23">
        <v>40000</v>
      </c>
      <c r="D6" s="1" t="s">
        <v>42</v>
      </c>
    </row>
    <row r="7" spans="1:24" x14ac:dyDescent="0.25">
      <c r="A7" s="24"/>
    </row>
    <row r="8" spans="1:24" x14ac:dyDescent="0.25">
      <c r="A8" s="3" t="s">
        <v>25</v>
      </c>
    </row>
    <row r="9" spans="1:24" x14ac:dyDescent="0.25">
      <c r="A9" s="24" t="s">
        <v>45</v>
      </c>
      <c r="C9" s="23">
        <v>200000</v>
      </c>
      <c r="D9" s="1" t="s">
        <v>42</v>
      </c>
    </row>
    <row r="10" spans="1:24" x14ac:dyDescent="0.25">
      <c r="A10" s="24" t="s">
        <v>44</v>
      </c>
      <c r="C10" s="23">
        <v>50000</v>
      </c>
      <c r="D10" s="1" t="s">
        <v>42</v>
      </c>
    </row>
    <row r="11" spans="1:24" x14ac:dyDescent="0.25">
      <c r="A11" s="24"/>
    </row>
    <row r="12" spans="1:24" s="12" customFormat="1" ht="21" customHeight="1" x14ac:dyDescent="0.25">
      <c r="A12" s="100" t="s">
        <v>158</v>
      </c>
      <c r="C12" s="94"/>
    </row>
    <row r="13" spans="1:24" s="55" customFormat="1" ht="22.9" customHeight="1" x14ac:dyDescent="0.25">
      <c r="A13" s="98" t="s">
        <v>190</v>
      </c>
      <c r="B13" s="95"/>
      <c r="C13" s="99"/>
    </row>
    <row r="14" spans="1:24" ht="24" customHeight="1" x14ac:dyDescent="0.25">
      <c r="A14" s="34" t="s">
        <v>159</v>
      </c>
    </row>
    <row r="15" spans="1:24" x14ac:dyDescent="0.25">
      <c r="A15" s="24"/>
      <c r="B15" s="155" t="s">
        <v>162</v>
      </c>
      <c r="C15" s="72" t="s">
        <v>160</v>
      </c>
      <c r="D15" s="73"/>
    </row>
    <row r="16" spans="1:24" x14ac:dyDescent="0.25">
      <c r="A16" s="24"/>
      <c r="B16" s="155"/>
      <c r="C16" s="74" t="s">
        <v>161</v>
      </c>
      <c r="D16" s="9"/>
    </row>
    <row r="17" spans="1:10" x14ac:dyDescent="0.25">
      <c r="A17" s="24"/>
    </row>
    <row r="18" spans="1:10" x14ac:dyDescent="0.25">
      <c r="A18" s="3" t="s">
        <v>23</v>
      </c>
    </row>
    <row r="19" spans="1:10" x14ac:dyDescent="0.25">
      <c r="A19" s="161" t="s">
        <v>166</v>
      </c>
      <c r="B19" s="161"/>
      <c r="C19" s="71">
        <v>150000</v>
      </c>
      <c r="D19" s="156" t="s">
        <v>110</v>
      </c>
      <c r="E19" s="158">
        <f>C5/C6</f>
        <v>3.75</v>
      </c>
      <c r="F19" s="157" t="s">
        <v>163</v>
      </c>
    </row>
    <row r="20" spans="1:10" x14ac:dyDescent="0.25">
      <c r="A20" s="161"/>
      <c r="B20" s="161"/>
      <c r="C20" s="23">
        <v>40000</v>
      </c>
      <c r="D20" s="157"/>
      <c r="E20" s="158"/>
      <c r="F20" s="157"/>
    </row>
    <row r="22" spans="1:10" x14ac:dyDescent="0.25">
      <c r="A22" s="3" t="s">
        <v>25</v>
      </c>
    </row>
    <row r="23" spans="1:10" x14ac:dyDescent="0.25">
      <c r="A23" s="161" t="s">
        <v>167</v>
      </c>
      <c r="B23" s="161"/>
      <c r="C23" s="71">
        <v>200000</v>
      </c>
      <c r="D23" s="156" t="s">
        <v>110</v>
      </c>
      <c r="E23" s="159">
        <f>C9/C10</f>
        <v>4</v>
      </c>
      <c r="F23" s="160" t="s">
        <v>46</v>
      </c>
    </row>
    <row r="24" spans="1:10" x14ac:dyDescent="0.25">
      <c r="A24" s="161"/>
      <c r="B24" s="161"/>
      <c r="C24" s="23">
        <v>50000</v>
      </c>
      <c r="D24" s="157"/>
      <c r="E24" s="159"/>
      <c r="F24" s="160"/>
    </row>
    <row r="25" spans="1:10" x14ac:dyDescent="0.25">
      <c r="B25" s="3"/>
      <c r="C25" s="13"/>
    </row>
    <row r="26" spans="1:10" s="104" customFormat="1" ht="19.149999999999999" customHeight="1" x14ac:dyDescent="0.25">
      <c r="A26" s="101" t="s">
        <v>191</v>
      </c>
      <c r="B26" s="102"/>
      <c r="C26" s="103"/>
      <c r="D26" s="102"/>
    </row>
    <row r="27" spans="1:10" x14ac:dyDescent="0.25">
      <c r="A27" s="24" t="s">
        <v>164</v>
      </c>
    </row>
    <row r="28" spans="1:10" x14ac:dyDescent="0.25">
      <c r="A28" s="24" t="s">
        <v>47</v>
      </c>
    </row>
    <row r="29" spans="1:10" ht="45.75" customHeight="1" x14ac:dyDescent="0.25">
      <c r="A29" s="154" t="s">
        <v>193</v>
      </c>
      <c r="B29" s="154"/>
      <c r="C29" s="154"/>
      <c r="D29" s="154"/>
      <c r="E29" s="154"/>
      <c r="F29" s="154"/>
      <c r="G29" s="154"/>
      <c r="H29" s="154"/>
      <c r="I29" s="154"/>
      <c r="J29" s="154"/>
    </row>
  </sheetData>
  <mergeCells count="10">
    <mergeCell ref="A29:J29"/>
    <mergeCell ref="B15:B16"/>
    <mergeCell ref="D19:D20"/>
    <mergeCell ref="E19:E20"/>
    <mergeCell ref="F19:F20"/>
    <mergeCell ref="D23:D24"/>
    <mergeCell ref="E23:E24"/>
    <mergeCell ref="F23:F24"/>
    <mergeCell ref="A19:B20"/>
    <mergeCell ref="A23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8"/>
  <sheetViews>
    <sheetView topLeftCell="A34" workbookViewId="0">
      <selection activeCell="G44" sqref="G44"/>
    </sheetView>
  </sheetViews>
  <sheetFormatPr defaultColWidth="9.140625" defaultRowHeight="16.5" x14ac:dyDescent="0.25"/>
  <cols>
    <col min="1" max="1" width="22.85546875" style="1" customWidth="1"/>
    <col min="2" max="2" width="13.28515625" style="1" customWidth="1"/>
    <col min="3" max="3" width="10.5703125" style="1" customWidth="1"/>
    <col min="4" max="4" width="8.7109375" style="1" customWidth="1"/>
    <col min="5" max="5" width="9.5703125" style="1" bestFit="1" customWidth="1"/>
    <col min="6" max="16384" width="9.140625" style="1"/>
  </cols>
  <sheetData>
    <row r="1" spans="1:22" ht="19.5" customHeight="1" x14ac:dyDescent="0.25">
      <c r="A1" s="53" t="s">
        <v>136</v>
      </c>
      <c r="B1" s="67"/>
    </row>
    <row r="2" spans="1:22" s="43" customFormat="1" ht="19.5" customHeight="1" x14ac:dyDescent="0.25">
      <c r="A2" s="63" t="s">
        <v>142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43" customFormat="1" ht="19.5" customHeight="1" x14ac:dyDescent="0.25">
      <c r="A3" s="65" t="s">
        <v>151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68" customFormat="1" ht="19.5" customHeight="1" x14ac:dyDescent="0.25">
      <c r="A4" s="66" t="s">
        <v>152</v>
      </c>
      <c r="B4" s="69">
        <v>5000</v>
      </c>
      <c r="C4" s="68" t="s">
        <v>42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43" customFormat="1" ht="19.5" customHeight="1" x14ac:dyDescent="0.25">
      <c r="A5" s="66" t="s">
        <v>153</v>
      </c>
      <c r="B5" s="78">
        <v>1000</v>
      </c>
      <c r="C5" s="68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43" customFormat="1" ht="19.5" customHeight="1" x14ac:dyDescent="0.25">
      <c r="A6" s="66" t="s">
        <v>154</v>
      </c>
      <c r="B6" s="79">
        <v>0.1</v>
      </c>
      <c r="C6" s="43" t="s">
        <v>155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s="43" customFormat="1" ht="19.5" customHeight="1" x14ac:dyDescent="0.25">
      <c r="A7" s="70" t="s">
        <v>156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s="43" customFormat="1" ht="19.5" customHeight="1" x14ac:dyDescent="0.25">
      <c r="A8" s="7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105" customFormat="1" ht="19.5" customHeight="1" x14ac:dyDescent="0.25">
      <c r="A9" s="80" t="s">
        <v>157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s="55" customFormat="1" ht="24.6" customHeight="1" x14ac:dyDescent="0.25">
      <c r="A10" s="95" t="s">
        <v>48</v>
      </c>
      <c r="B10" s="95"/>
      <c r="C10" s="95"/>
      <c r="D10" s="95"/>
      <c r="E10" s="95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25">
      <c r="A11" s="24" t="s">
        <v>43</v>
      </c>
      <c r="C11" s="23">
        <f>B4</f>
        <v>5000</v>
      </c>
      <c r="D11" s="1" t="s">
        <v>42</v>
      </c>
    </row>
    <row r="12" spans="1:22" x14ac:dyDescent="0.25">
      <c r="A12" s="24" t="s">
        <v>49</v>
      </c>
      <c r="C12" s="23">
        <v>1000</v>
      </c>
      <c r="D12" s="1" t="s">
        <v>42</v>
      </c>
    </row>
    <row r="13" spans="1:22" x14ac:dyDescent="0.25">
      <c r="A13" s="25" t="s">
        <v>168</v>
      </c>
      <c r="C13" s="39">
        <f>C11/C12</f>
        <v>5</v>
      </c>
      <c r="D13" s="1" t="s">
        <v>46</v>
      </c>
    </row>
    <row r="14" spans="1:22" x14ac:dyDescent="0.25">
      <c r="A14" s="24" t="s">
        <v>50</v>
      </c>
    </row>
    <row r="16" spans="1:22" s="2" customFormat="1" ht="24" customHeight="1" x14ac:dyDescent="0.25">
      <c r="A16" s="95" t="s">
        <v>51</v>
      </c>
      <c r="B16" s="95"/>
      <c r="C16" s="95"/>
      <c r="D16" s="95"/>
      <c r="E16" s="95"/>
      <c r="F16" s="95"/>
    </row>
    <row r="17" spans="1:8" s="41" customFormat="1" ht="22.15" customHeight="1" x14ac:dyDescent="0.25">
      <c r="A17" s="82" t="s">
        <v>52</v>
      </c>
      <c r="C17" s="83">
        <v>0.1</v>
      </c>
    </row>
    <row r="18" spans="1:8" s="41" customFormat="1" ht="19.149999999999999" customHeight="1" x14ac:dyDescent="0.25">
      <c r="A18" s="82" t="s">
        <v>53</v>
      </c>
    </row>
    <row r="19" spans="1:8" s="41" customFormat="1" x14ac:dyDescent="0.25">
      <c r="A19" s="84" t="s">
        <v>54</v>
      </c>
      <c r="B19" s="41" t="s">
        <v>55</v>
      </c>
    </row>
    <row r="20" spans="1:8" x14ac:dyDescent="0.25">
      <c r="A20" s="24"/>
      <c r="H20" s="13"/>
    </row>
    <row r="21" spans="1:8" x14ac:dyDescent="0.25">
      <c r="A21" s="9" t="s">
        <v>196</v>
      </c>
      <c r="B21" s="162"/>
      <c r="C21" s="162"/>
    </row>
    <row r="22" spans="1:8" x14ac:dyDescent="0.25">
      <c r="A22" s="28" t="s">
        <v>56</v>
      </c>
      <c r="B22" s="24" t="s">
        <v>58</v>
      </c>
      <c r="D22" s="27">
        <f>$C$12/(1+0.1)^1</f>
        <v>909.09090909090901</v>
      </c>
    </row>
    <row r="23" spans="1:8" x14ac:dyDescent="0.25">
      <c r="A23" s="28" t="s">
        <v>169</v>
      </c>
      <c r="B23" s="24" t="s">
        <v>59</v>
      </c>
      <c r="D23" s="27">
        <f>$C$12/(1+0.1)^2</f>
        <v>826.44628099173542</v>
      </c>
    </row>
    <row r="24" spans="1:8" x14ac:dyDescent="0.25">
      <c r="A24" s="28" t="s">
        <v>57</v>
      </c>
      <c r="B24" s="24" t="s">
        <v>60</v>
      </c>
      <c r="D24" s="27">
        <f>$C$12/(1+0.1)^3</f>
        <v>751.31480090157754</v>
      </c>
    </row>
    <row r="25" spans="1:8" x14ac:dyDescent="0.25">
      <c r="A25" s="28" t="s">
        <v>61</v>
      </c>
      <c r="B25" s="24" t="s">
        <v>62</v>
      </c>
      <c r="D25" s="27">
        <f>$C$12/(1+0.1)^4</f>
        <v>683.01345536507051</v>
      </c>
    </row>
    <row r="26" spans="1:8" x14ac:dyDescent="0.25">
      <c r="A26" s="28" t="s">
        <v>63</v>
      </c>
      <c r="B26" s="24" t="s">
        <v>64</v>
      </c>
      <c r="D26" s="27">
        <f>$C$12/(1+0.1)^5</f>
        <v>620.92132305915493</v>
      </c>
    </row>
    <row r="27" spans="1:8" x14ac:dyDescent="0.25">
      <c r="A27" s="28" t="s">
        <v>65</v>
      </c>
      <c r="B27" s="24" t="s">
        <v>66</v>
      </c>
      <c r="D27" s="27">
        <f>$C$12/(1+0.1)^6</f>
        <v>564.47393005377717</v>
      </c>
    </row>
    <row r="28" spans="1:8" x14ac:dyDescent="0.25">
      <c r="A28" s="28" t="s">
        <v>67</v>
      </c>
      <c r="B28" s="24" t="s">
        <v>68</v>
      </c>
      <c r="D28" s="27">
        <f>$C$12/(1+0.1)^7</f>
        <v>513.15811823070646</v>
      </c>
    </row>
    <row r="29" spans="1:8" x14ac:dyDescent="0.25">
      <c r="D29" s="28"/>
    </row>
    <row r="30" spans="1:8" s="9" customFormat="1" ht="20.45" customHeight="1" x14ac:dyDescent="0.25">
      <c r="A30" s="9" t="s">
        <v>69</v>
      </c>
      <c r="D30" s="35"/>
    </row>
    <row r="31" spans="1:8" x14ac:dyDescent="0.25">
      <c r="A31" s="24" t="s">
        <v>70</v>
      </c>
      <c r="B31" s="26" t="s">
        <v>79</v>
      </c>
      <c r="D31" s="27">
        <f>D22</f>
        <v>909.09090909090901</v>
      </c>
    </row>
    <row r="32" spans="1:8" x14ac:dyDescent="0.25">
      <c r="A32" s="24" t="s">
        <v>71</v>
      </c>
      <c r="B32" s="26" t="s">
        <v>173</v>
      </c>
      <c r="D32" s="27">
        <f>D31+D23</f>
        <v>1735.5371900826444</v>
      </c>
    </row>
    <row r="33" spans="1:5" x14ac:dyDescent="0.25">
      <c r="A33" s="24" t="s">
        <v>72</v>
      </c>
      <c r="B33" s="24" t="s">
        <v>170</v>
      </c>
      <c r="D33" s="27">
        <f>D32+D24</f>
        <v>2486.8519909842221</v>
      </c>
    </row>
    <row r="34" spans="1:5" x14ac:dyDescent="0.25">
      <c r="A34" s="24" t="s">
        <v>73</v>
      </c>
      <c r="B34" s="24" t="s">
        <v>172</v>
      </c>
      <c r="D34" s="27">
        <f>D33+D25</f>
        <v>3169.8654463492926</v>
      </c>
    </row>
    <row r="35" spans="1:5" x14ac:dyDescent="0.25">
      <c r="A35" s="24" t="s">
        <v>74</v>
      </c>
      <c r="B35" s="24" t="s">
        <v>77</v>
      </c>
      <c r="D35" s="27">
        <f>D34+ D26</f>
        <v>3790.7867694084475</v>
      </c>
    </row>
    <row r="36" spans="1:5" x14ac:dyDescent="0.25">
      <c r="A36" s="24" t="s">
        <v>75</v>
      </c>
      <c r="B36" s="24" t="s">
        <v>78</v>
      </c>
      <c r="D36" s="27">
        <f>D35 +D27</f>
        <v>4355.2606994622247</v>
      </c>
    </row>
    <row r="37" spans="1:5" x14ac:dyDescent="0.25">
      <c r="A37" s="24" t="s">
        <v>76</v>
      </c>
      <c r="B37" s="24" t="s">
        <v>171</v>
      </c>
      <c r="D37" s="27">
        <f>D36 +D28</f>
        <v>4868.418817692931</v>
      </c>
    </row>
    <row r="38" spans="1:5" x14ac:dyDescent="0.25">
      <c r="A38" s="24" t="s">
        <v>81</v>
      </c>
      <c r="B38" s="24"/>
      <c r="D38" s="28">
        <v>5000</v>
      </c>
    </row>
    <row r="39" spans="1:5" s="41" customFormat="1" ht="23.45" customHeight="1" x14ac:dyDescent="0.25">
      <c r="A39" s="82" t="s">
        <v>80</v>
      </c>
    </row>
    <row r="40" spans="1:5" s="41" customFormat="1" ht="23.45" customHeight="1" x14ac:dyDescent="0.25">
      <c r="A40" s="82" t="s">
        <v>176</v>
      </c>
      <c r="C40" s="85">
        <f>D38-D36</f>
        <v>644.73930053777531</v>
      </c>
      <c r="D40" s="41" t="s">
        <v>82</v>
      </c>
    </row>
    <row r="41" spans="1:5" s="41" customFormat="1" ht="23.45" customHeight="1" x14ac:dyDescent="0.25">
      <c r="A41" s="82" t="s">
        <v>83</v>
      </c>
      <c r="C41" s="85">
        <f>D28</f>
        <v>513.15811823070646</v>
      </c>
    </row>
    <row r="42" spans="1:5" s="41" customFormat="1" ht="23.45" customHeight="1" x14ac:dyDescent="0.25">
      <c r="A42" s="82" t="s">
        <v>174</v>
      </c>
      <c r="C42" s="85">
        <f>C40/C41</f>
        <v>1.2564145000000027</v>
      </c>
      <c r="D42" s="41" t="s">
        <v>46</v>
      </c>
    </row>
    <row r="43" spans="1:5" s="87" customFormat="1" ht="23.45" customHeight="1" x14ac:dyDescent="0.25">
      <c r="A43" s="86" t="s">
        <v>175</v>
      </c>
      <c r="D43" s="88">
        <f>7+C42</f>
        <v>8.2564145000000018</v>
      </c>
      <c r="E43" s="87" t="s">
        <v>177</v>
      </c>
    </row>
    <row r="45" spans="1:5" x14ac:dyDescent="0.25">
      <c r="A45" s="106" t="s">
        <v>197</v>
      </c>
    </row>
    <row r="46" spans="1:5" x14ac:dyDescent="0.25">
      <c r="A46" s="1" t="s">
        <v>198</v>
      </c>
    </row>
    <row r="48" spans="1:5" x14ac:dyDescent="0.25">
      <c r="A48" s="2" t="s">
        <v>199</v>
      </c>
    </row>
  </sheetData>
  <mergeCells count="1">
    <mergeCell ref="B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"/>
  <sheetViews>
    <sheetView workbookViewId="0">
      <selection activeCell="D56" sqref="D56"/>
    </sheetView>
  </sheetViews>
  <sheetFormatPr defaultColWidth="9.140625" defaultRowHeight="16.5" x14ac:dyDescent="0.25"/>
  <cols>
    <col min="1" max="1" width="10.7109375" style="6" customWidth="1"/>
    <col min="2" max="2" width="17.28515625" style="6" customWidth="1"/>
    <col min="3" max="3" width="24.7109375" style="6" customWidth="1"/>
    <col min="4" max="4" width="19" style="6" customWidth="1"/>
    <col min="5" max="5" width="7.7109375" style="1" customWidth="1"/>
    <col min="6" max="16384" width="9.140625" style="1"/>
  </cols>
  <sheetData>
    <row r="1" spans="1:20" customFormat="1" ht="19.5" customHeight="1" x14ac:dyDescent="0.25">
      <c r="A1" s="53" t="s">
        <v>137</v>
      </c>
      <c r="B1" s="5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77" customFormat="1" ht="19.5" customHeight="1" x14ac:dyDescent="0.25">
      <c r="A2" s="63" t="s">
        <v>142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28" t="s">
        <v>85</v>
      </c>
    </row>
    <row r="12" spans="1:20" s="28" customFormat="1" ht="20.45" customHeight="1" x14ac:dyDescent="0.25">
      <c r="A12" s="109" t="s">
        <v>188</v>
      </c>
      <c r="B12" s="110"/>
      <c r="C12" s="110"/>
      <c r="D12" s="108"/>
    </row>
    <row r="13" spans="1:20" x14ac:dyDescent="0.25">
      <c r="A13" s="111" t="s">
        <v>205</v>
      </c>
      <c r="C13" s="28">
        <v>100</v>
      </c>
      <c r="D13" s="27" t="s">
        <v>206</v>
      </c>
    </row>
    <row r="14" spans="1:20" s="28" customFormat="1" x14ac:dyDescent="0.25">
      <c r="A14" s="28" t="s">
        <v>179</v>
      </c>
    </row>
    <row r="15" spans="1:20" s="2" customFormat="1" x14ac:dyDescent="0.25">
      <c r="A15" s="92" t="s">
        <v>180</v>
      </c>
      <c r="B15" s="93" t="s">
        <v>181</v>
      </c>
      <c r="C15" s="50"/>
      <c r="D15" s="50"/>
    </row>
    <row r="16" spans="1:20" s="2" customFormat="1" x14ac:dyDescent="0.25">
      <c r="A16" s="92"/>
      <c r="B16" s="92" t="s">
        <v>182</v>
      </c>
      <c r="C16" s="50"/>
      <c r="D16" s="50"/>
    </row>
    <row r="18" spans="1:5" s="89" customFormat="1" ht="54" customHeight="1" x14ac:dyDescent="0.25">
      <c r="A18" s="90" t="s">
        <v>84</v>
      </c>
      <c r="B18" s="90" t="s">
        <v>185</v>
      </c>
      <c r="C18" s="90" t="s">
        <v>183</v>
      </c>
      <c r="D18" s="90" t="s">
        <v>184</v>
      </c>
    </row>
    <row r="19" spans="1:5" x14ac:dyDescent="0.25">
      <c r="A19" s="7">
        <v>1</v>
      </c>
      <c r="B19" s="7">
        <v>30</v>
      </c>
      <c r="C19" s="8">
        <f>B19/(1+0.17)^1</f>
        <v>25.641025641025642</v>
      </c>
      <c r="D19" s="8">
        <f>C19</f>
        <v>25.641025641025642</v>
      </c>
    </row>
    <row r="20" spans="1:5" x14ac:dyDescent="0.25">
      <c r="A20" s="7">
        <v>2</v>
      </c>
      <c r="B20" s="7">
        <v>30</v>
      </c>
      <c r="C20" s="8">
        <f>B20/(1+0.17)^2</f>
        <v>21.915406530791149</v>
      </c>
      <c r="D20" s="8">
        <f>D19+C20</f>
        <v>47.556432171816795</v>
      </c>
    </row>
    <row r="21" spans="1:5" x14ac:dyDescent="0.25">
      <c r="A21" s="7">
        <v>3</v>
      </c>
      <c r="B21" s="7">
        <v>30</v>
      </c>
      <c r="C21" s="8">
        <f>B21/(1+0.17)^3</f>
        <v>18.731116692983889</v>
      </c>
      <c r="D21" s="8">
        <f t="shared" ref="D21:D23" si="0">D20+C21</f>
        <v>66.287548864800684</v>
      </c>
    </row>
    <row r="22" spans="1:5" x14ac:dyDescent="0.25">
      <c r="A22" s="7">
        <v>4</v>
      </c>
      <c r="B22" s="7">
        <v>40</v>
      </c>
      <c r="C22" s="8">
        <f>B22/(1+0.17)^4</f>
        <v>21.34600192932637</v>
      </c>
      <c r="D22" s="8">
        <f t="shared" si="0"/>
        <v>87.633550794127046</v>
      </c>
    </row>
    <row r="23" spans="1:5" x14ac:dyDescent="0.25">
      <c r="A23" s="7">
        <v>5</v>
      </c>
      <c r="B23" s="7">
        <v>40</v>
      </c>
      <c r="C23" s="8">
        <f>B23/(1+0.17)^5</f>
        <v>18.244446093441343</v>
      </c>
      <c r="D23" s="8">
        <f t="shared" si="0"/>
        <v>105.87799688756839</v>
      </c>
    </row>
    <row r="24" spans="1:5" x14ac:dyDescent="0.25">
      <c r="C24" s="29"/>
      <c r="E24" s="4"/>
    </row>
    <row r="25" spans="1:5" s="28" customFormat="1" x14ac:dyDescent="0.25">
      <c r="A25" s="28" t="s">
        <v>186</v>
      </c>
      <c r="C25" s="27"/>
      <c r="E25" s="27"/>
    </row>
    <row r="26" spans="1:5" s="9" customFormat="1" x14ac:dyDescent="0.25">
      <c r="A26" s="91" t="s">
        <v>187</v>
      </c>
      <c r="B26" s="92"/>
      <c r="C26" s="92"/>
      <c r="D26" s="92"/>
    </row>
    <row r="27" spans="1:5" s="9" customFormat="1" x14ac:dyDescent="0.25">
      <c r="A27" s="91"/>
      <c r="B27" s="92"/>
      <c r="C27" s="92"/>
      <c r="D27" s="92"/>
    </row>
    <row r="28" spans="1:5" s="9" customFormat="1" ht="24" customHeight="1" x14ac:dyDescent="0.25">
      <c r="A28" s="113" t="s">
        <v>189</v>
      </c>
      <c r="B28" s="114"/>
      <c r="C28" s="114"/>
      <c r="D28" s="114"/>
    </row>
    <row r="29" spans="1:5" s="9" customFormat="1" x14ac:dyDescent="0.25">
      <c r="A29" s="111" t="s">
        <v>200</v>
      </c>
      <c r="B29" s="92"/>
      <c r="C29" s="92"/>
      <c r="D29" s="112">
        <f>C13-D22</f>
        <v>12.366449205872954</v>
      </c>
      <c r="E29" s="75" t="s">
        <v>94</v>
      </c>
    </row>
    <row r="30" spans="1:5" s="9" customFormat="1" x14ac:dyDescent="0.25">
      <c r="A30" s="111" t="s">
        <v>201</v>
      </c>
      <c r="B30" s="92"/>
      <c r="C30" s="92"/>
      <c r="D30" s="112">
        <f>C23</f>
        <v>18.244446093441343</v>
      </c>
      <c r="E30" s="75" t="s">
        <v>94</v>
      </c>
    </row>
    <row r="31" spans="1:5" s="9" customFormat="1" x14ac:dyDescent="0.25">
      <c r="A31" s="111" t="s">
        <v>208</v>
      </c>
      <c r="B31" s="92"/>
      <c r="C31" s="92"/>
      <c r="D31" s="112">
        <f>D29/D30</f>
        <v>0.67781993174999933</v>
      </c>
      <c r="E31" s="75" t="s">
        <v>46</v>
      </c>
    </row>
    <row r="32" spans="1:5" s="9" customFormat="1" x14ac:dyDescent="0.25">
      <c r="A32" s="111"/>
      <c r="B32" s="92"/>
      <c r="C32" s="92"/>
      <c r="D32" s="112"/>
      <c r="E32" s="75"/>
    </row>
    <row r="33" spans="1:5" s="75" customFormat="1" x14ac:dyDescent="0.25">
      <c r="A33" s="111" t="s">
        <v>209</v>
      </c>
      <c r="B33" s="118"/>
      <c r="C33" s="118"/>
      <c r="D33" s="119">
        <f>A22+D31</f>
        <v>4.6778199317499993</v>
      </c>
      <c r="E33" s="75" t="s">
        <v>178</v>
      </c>
    </row>
    <row r="34" spans="1:5" s="9" customFormat="1" x14ac:dyDescent="0.25">
      <c r="A34" s="91" t="s">
        <v>207</v>
      </c>
      <c r="B34" s="92"/>
      <c r="C34" s="92"/>
      <c r="D34" s="92"/>
    </row>
    <row r="35" spans="1:5" x14ac:dyDescent="0.25">
      <c r="A35" s="30"/>
      <c r="D35" s="27"/>
    </row>
    <row r="36" spans="1:5" s="12" customFormat="1" ht="22.15" customHeight="1" x14ac:dyDescent="0.25">
      <c r="A36" s="115" t="s">
        <v>202</v>
      </c>
      <c r="B36" s="116"/>
      <c r="C36" s="116"/>
      <c r="D36" s="117"/>
    </row>
    <row r="37" spans="1:5" x14ac:dyDescent="0.25">
      <c r="A37" s="91" t="s">
        <v>203</v>
      </c>
      <c r="D37" s="27"/>
    </row>
    <row r="38" spans="1:5" x14ac:dyDescent="0.25">
      <c r="A38" s="111" t="s">
        <v>204</v>
      </c>
      <c r="D38" s="27"/>
    </row>
    <row r="39" spans="1:5" ht="49.5" x14ac:dyDescent="0.25">
      <c r="A39" s="90" t="s">
        <v>84</v>
      </c>
      <c r="B39" s="90" t="s">
        <v>185</v>
      </c>
      <c r="C39" s="90" t="s">
        <v>184</v>
      </c>
      <c r="D39" s="1"/>
    </row>
    <row r="40" spans="1:5" x14ac:dyDescent="0.25">
      <c r="A40" s="7">
        <v>1</v>
      </c>
      <c r="B40" s="7">
        <v>30</v>
      </c>
      <c r="C40" s="120">
        <v>30</v>
      </c>
      <c r="D40" s="1"/>
    </row>
    <row r="41" spans="1:5" x14ac:dyDescent="0.25">
      <c r="A41" s="7">
        <v>2</v>
      </c>
      <c r="B41" s="7">
        <v>30</v>
      </c>
      <c r="C41" s="120">
        <f>C40+B41</f>
        <v>60</v>
      </c>
      <c r="D41" s="1"/>
    </row>
    <row r="42" spans="1:5" x14ac:dyDescent="0.25">
      <c r="A42" s="7">
        <v>3</v>
      </c>
      <c r="B42" s="7">
        <v>30</v>
      </c>
      <c r="C42" s="120">
        <f t="shared" ref="C42:C44" si="1">C41+B42</f>
        <v>90</v>
      </c>
      <c r="D42" s="1"/>
    </row>
    <row r="43" spans="1:5" x14ac:dyDescent="0.25">
      <c r="A43" s="7">
        <v>4</v>
      </c>
      <c r="B43" s="7">
        <v>40</v>
      </c>
      <c r="C43" s="120">
        <f t="shared" si="1"/>
        <v>130</v>
      </c>
      <c r="D43" s="1"/>
    </row>
    <row r="44" spans="1:5" x14ac:dyDescent="0.25">
      <c r="A44" s="7">
        <v>5</v>
      </c>
      <c r="B44" s="7">
        <v>40</v>
      </c>
      <c r="C44" s="120">
        <f t="shared" si="1"/>
        <v>170</v>
      </c>
      <c r="D44" s="1"/>
    </row>
    <row r="45" spans="1:5" x14ac:dyDescent="0.25">
      <c r="A45" s="111"/>
      <c r="D45" s="27"/>
    </row>
    <row r="46" spans="1:5" x14ac:dyDescent="0.25">
      <c r="A46" s="30" t="s">
        <v>210</v>
      </c>
      <c r="D46" s="27"/>
    </row>
    <row r="47" spans="1:5" x14ac:dyDescent="0.25">
      <c r="A47" s="111" t="s">
        <v>211</v>
      </c>
      <c r="D47" s="27"/>
    </row>
    <row r="48" spans="1:5" x14ac:dyDescent="0.25">
      <c r="A48" s="111"/>
      <c r="D48" s="27"/>
    </row>
    <row r="49" spans="1:16" ht="53.45" customHeight="1" x14ac:dyDescent="0.25">
      <c r="A49" s="163" t="s">
        <v>212</v>
      </c>
      <c r="B49" s="163"/>
      <c r="C49" s="163"/>
      <c r="D49" s="163"/>
      <c r="E49" s="163"/>
      <c r="F49" s="163"/>
      <c r="G49" s="163"/>
    </row>
    <row r="50" spans="1:16" s="28" customFormat="1" x14ac:dyDescent="0.25">
      <c r="A50" s="91"/>
    </row>
    <row r="59" spans="1:16" x14ac:dyDescent="0.25">
      <c r="P59" s="1">
        <f>30*17%</f>
        <v>5.1000000000000005</v>
      </c>
    </row>
  </sheetData>
  <mergeCells count="1">
    <mergeCell ref="A49:G49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zoomScaleNormal="100" workbookViewId="0">
      <selection activeCell="E29" sqref="E29"/>
    </sheetView>
  </sheetViews>
  <sheetFormatPr defaultColWidth="9.140625" defaultRowHeight="16.5" x14ac:dyDescent="0.25"/>
  <cols>
    <col min="1" max="1" width="13.28515625" style="1" customWidth="1"/>
    <col min="2" max="2" width="15.28515625" style="1" customWidth="1"/>
    <col min="3" max="3" width="9.28515625" style="1" customWidth="1"/>
    <col min="4" max="4" width="14.85546875" style="1" customWidth="1"/>
    <col min="5" max="5" width="8.28515625" style="1" customWidth="1"/>
    <col min="6" max="6" width="9.140625" style="1"/>
    <col min="7" max="7" width="3.42578125" style="1" customWidth="1"/>
    <col min="8" max="8" width="9.140625" style="1"/>
    <col min="9" max="9" width="10.28515625" style="1" customWidth="1"/>
    <col min="10" max="16384" width="9.140625" style="1"/>
  </cols>
  <sheetData>
    <row r="1" spans="1:10" customFormat="1" ht="19.5" customHeight="1" x14ac:dyDescent="0.25">
      <c r="A1" s="53" t="s">
        <v>138</v>
      </c>
      <c r="B1" s="54"/>
    </row>
    <row r="2" spans="1:10" x14ac:dyDescent="0.25">
      <c r="A2" s="3" t="s">
        <v>129</v>
      </c>
    </row>
    <row r="3" spans="1:10" ht="17.45" customHeight="1" x14ac:dyDescent="0.25">
      <c r="A3" s="1" t="s">
        <v>86</v>
      </c>
    </row>
    <row r="4" spans="1:10" ht="17.45" customHeight="1" x14ac:dyDescent="0.25">
      <c r="A4" s="24" t="s">
        <v>87</v>
      </c>
    </row>
    <row r="5" spans="1:10" ht="17.45" customHeight="1" x14ac:dyDescent="0.25">
      <c r="A5" s="24" t="s">
        <v>88</v>
      </c>
    </row>
    <row r="6" spans="1:10" ht="17.45" customHeight="1" x14ac:dyDescent="0.25">
      <c r="A6" s="24" t="s">
        <v>89</v>
      </c>
    </row>
    <row r="7" spans="1:10" ht="17.45" customHeight="1" x14ac:dyDescent="0.25">
      <c r="A7" s="24" t="s">
        <v>225</v>
      </c>
    </row>
    <row r="8" spans="1:10" x14ac:dyDescent="0.25">
      <c r="A8" s="24"/>
    </row>
    <row r="9" spans="1:10" x14ac:dyDescent="0.25">
      <c r="A9" s="42" t="s">
        <v>213</v>
      </c>
    </row>
    <row r="10" spans="1:10" x14ac:dyDescent="0.25">
      <c r="A10" s="24" t="s">
        <v>219</v>
      </c>
    </row>
    <row r="11" spans="1:10" s="12" customFormat="1" ht="22.9" customHeight="1" x14ac:dyDescent="0.25">
      <c r="A11" s="51" t="s">
        <v>222</v>
      </c>
    </row>
    <row r="12" spans="1:10" s="12" customFormat="1" ht="23.45" customHeight="1" x14ac:dyDescent="0.25">
      <c r="A12" s="51" t="s">
        <v>221</v>
      </c>
      <c r="J12" s="38">
        <v>300</v>
      </c>
    </row>
    <row r="13" spans="1:10" x14ac:dyDescent="0.25">
      <c r="A13" s="42" t="s">
        <v>223</v>
      </c>
      <c r="J13" s="1" t="s">
        <v>220</v>
      </c>
    </row>
    <row r="14" spans="1:10" x14ac:dyDescent="0.25">
      <c r="A14" s="42"/>
    </row>
    <row r="15" spans="1:10" x14ac:dyDescent="0.25">
      <c r="A15" s="42" t="s">
        <v>224</v>
      </c>
    </row>
    <row r="16" spans="1:10" x14ac:dyDescent="0.25">
      <c r="A16" s="9" t="s">
        <v>90</v>
      </c>
    </row>
    <row r="17" spans="1:9" s="75" customFormat="1" x14ac:dyDescent="0.25">
      <c r="A17" s="76" t="s">
        <v>226</v>
      </c>
      <c r="H17" s="121">
        <f>100*(1+17%)^1</f>
        <v>117</v>
      </c>
      <c r="I17" s="75" t="s">
        <v>206</v>
      </c>
    </row>
    <row r="18" spans="1:9" s="75" customFormat="1" x14ac:dyDescent="0.25">
      <c r="A18" s="76"/>
      <c r="H18" s="121"/>
    </row>
    <row r="19" spans="1:9" x14ac:dyDescent="0.25">
      <c r="A19" s="24" t="s">
        <v>227</v>
      </c>
    </row>
    <row r="20" spans="1:9" x14ac:dyDescent="0.25">
      <c r="A20" s="164" t="s">
        <v>214</v>
      </c>
      <c r="B20" s="31">
        <v>300</v>
      </c>
      <c r="C20" s="51"/>
      <c r="D20" s="123"/>
    </row>
    <row r="21" spans="1:9" x14ac:dyDescent="0.25">
      <c r="A21" s="164"/>
      <c r="B21" s="1" t="s">
        <v>91</v>
      </c>
      <c r="C21" s="12"/>
      <c r="D21" s="6"/>
      <c r="G21" s="13"/>
    </row>
    <row r="22" spans="1:9" x14ac:dyDescent="0.25">
      <c r="A22" s="56"/>
      <c r="C22" s="33"/>
      <c r="D22" s="6"/>
      <c r="G22" s="13"/>
    </row>
    <row r="23" spans="1:9" x14ac:dyDescent="0.25">
      <c r="A23" s="165" t="s">
        <v>215</v>
      </c>
      <c r="B23" s="32">
        <v>300</v>
      </c>
      <c r="C23" s="51"/>
      <c r="D23" s="6"/>
      <c r="G23" s="13"/>
    </row>
    <row r="24" spans="1:9" x14ac:dyDescent="0.25">
      <c r="A24" s="165"/>
      <c r="B24" s="1" t="s">
        <v>216</v>
      </c>
      <c r="C24" s="12"/>
      <c r="D24" s="6"/>
      <c r="G24" s="13"/>
    </row>
    <row r="25" spans="1:9" ht="21.6" customHeight="1" x14ac:dyDescent="0.25">
      <c r="A25" s="56"/>
      <c r="C25" s="33"/>
      <c r="D25" s="6"/>
      <c r="G25" s="13"/>
    </row>
    <row r="26" spans="1:9" x14ac:dyDescent="0.25">
      <c r="A26" s="122" t="s">
        <v>215</v>
      </c>
      <c r="B26" s="124">
        <f>300/(1+17%)^2</f>
        <v>219.15406530791151</v>
      </c>
      <c r="C26" s="56"/>
      <c r="D26" s="33"/>
    </row>
    <row r="28" spans="1:9" s="75" customFormat="1" x14ac:dyDescent="0.25">
      <c r="A28" s="76" t="s">
        <v>217</v>
      </c>
      <c r="E28" s="125">
        <f>H17+B26</f>
        <v>336.15406530791154</v>
      </c>
      <c r="F28" s="75" t="s">
        <v>94</v>
      </c>
    </row>
    <row r="29" spans="1:9" s="9" customFormat="1" ht="23.45" customHeight="1" x14ac:dyDescent="0.25">
      <c r="A29" s="9" t="s">
        <v>218</v>
      </c>
    </row>
  </sheetData>
  <mergeCells count="2">
    <mergeCell ref="A20:A21"/>
    <mergeCell ref="A23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topLeftCell="A40" zoomScaleNormal="100" workbookViewId="0">
      <selection activeCell="F28" sqref="F28"/>
    </sheetView>
  </sheetViews>
  <sheetFormatPr defaultColWidth="9.140625" defaultRowHeight="16.5" x14ac:dyDescent="0.25"/>
  <cols>
    <col min="1" max="4" width="9.140625" style="1"/>
    <col min="5" max="5" width="26" style="1" customWidth="1"/>
    <col min="6" max="16384" width="9.140625" style="1"/>
  </cols>
  <sheetData>
    <row r="1" spans="1:2" customFormat="1" ht="19.5" customHeight="1" x14ac:dyDescent="0.25">
      <c r="A1" s="53" t="s">
        <v>139</v>
      </c>
      <c r="B1" s="54"/>
    </row>
    <row r="14" spans="1:2" s="28" customFormat="1" x14ac:dyDescent="0.25">
      <c r="A14" s="28" t="s">
        <v>228</v>
      </c>
    </row>
    <row r="15" spans="1:2" s="105" customFormat="1" ht="21" customHeight="1" x14ac:dyDescent="0.25">
      <c r="A15" s="129" t="s">
        <v>229</v>
      </c>
    </row>
    <row r="16" spans="1:2" s="105" customFormat="1" ht="21" customHeight="1" x14ac:dyDescent="0.25">
      <c r="A16" s="68" t="s">
        <v>230</v>
      </c>
    </row>
    <row r="17" spans="1:9" s="105" customFormat="1" ht="21" customHeight="1" x14ac:dyDescent="0.25">
      <c r="A17" s="129" t="s">
        <v>231</v>
      </c>
    </row>
    <row r="18" spans="1:9" s="105" customFormat="1" ht="21" customHeight="1" x14ac:dyDescent="0.25">
      <c r="A18" s="129" t="s">
        <v>232</v>
      </c>
    </row>
    <row r="19" spans="1:9" s="105" customFormat="1" ht="21" customHeight="1" x14ac:dyDescent="0.25">
      <c r="A19" s="129" t="s">
        <v>233</v>
      </c>
    </row>
    <row r="20" spans="1:9" s="105" customFormat="1" ht="21" customHeight="1" x14ac:dyDescent="0.25">
      <c r="A20" s="129" t="s">
        <v>234</v>
      </c>
    </row>
    <row r="21" spans="1:9" s="105" customFormat="1" ht="21" customHeight="1" x14ac:dyDescent="0.25">
      <c r="A21" s="129" t="s">
        <v>235</v>
      </c>
    </row>
    <row r="22" spans="1:9" s="3" customFormat="1" ht="21" customHeight="1" x14ac:dyDescent="0.25">
      <c r="A22" s="127" t="s">
        <v>236</v>
      </c>
      <c r="B22" s="58"/>
      <c r="C22" s="58"/>
      <c r="D22" s="58"/>
      <c r="E22" s="58"/>
      <c r="F22" s="105"/>
    </row>
    <row r="23" spans="1:9" s="105" customFormat="1" ht="21" customHeight="1" x14ac:dyDescent="0.25">
      <c r="A23" s="68" t="s">
        <v>237</v>
      </c>
    </row>
    <row r="24" spans="1:9" s="105" customFormat="1" ht="21" customHeight="1" x14ac:dyDescent="0.25">
      <c r="A24" s="68" t="s">
        <v>238</v>
      </c>
    </row>
    <row r="25" spans="1:9" ht="21" customHeight="1" x14ac:dyDescent="0.25">
      <c r="A25" s="1" t="s">
        <v>243</v>
      </c>
      <c r="F25" s="28">
        <f>2*9+5*5+4*2+3*0+1*2+3*5</f>
        <v>68</v>
      </c>
    </row>
    <row r="26" spans="1:9" ht="21" customHeight="1" x14ac:dyDescent="0.25">
      <c r="A26" s="1" t="s">
        <v>239</v>
      </c>
      <c r="F26" s="28">
        <f>2*2+5*6+4*2+3*0+1*5+3*1</f>
        <v>50</v>
      </c>
    </row>
    <row r="27" spans="1:9" ht="21" customHeight="1" x14ac:dyDescent="0.25">
      <c r="A27" s="1" t="s">
        <v>244</v>
      </c>
      <c r="F27" s="28">
        <f>2*6+5*8+4*2+3*2+1*6+3*0</f>
        <v>72</v>
      </c>
    </row>
    <row r="28" spans="1:9" ht="21" customHeight="1" x14ac:dyDescent="0.25">
      <c r="A28" s="1" t="s">
        <v>240</v>
      </c>
      <c r="F28" s="28">
        <f>2*1+5*1+4*5+3*10+1*5+3*0</f>
        <v>62</v>
      </c>
    </row>
    <row r="29" spans="1:9" ht="21" customHeight="1" x14ac:dyDescent="0.25">
      <c r="A29" s="1" t="s">
        <v>245</v>
      </c>
      <c r="F29" s="28">
        <f>2*3+5*10+4*9+3*1+1*8+3*0</f>
        <v>103</v>
      </c>
      <c r="G29" s="11" t="s">
        <v>100</v>
      </c>
      <c r="H29" s="11"/>
      <c r="I29" s="11"/>
    </row>
    <row r="31" spans="1:9" ht="19.149999999999999" customHeight="1" x14ac:dyDescent="0.25">
      <c r="A31" s="127" t="s">
        <v>95</v>
      </c>
      <c r="B31" s="128"/>
      <c r="C31" s="128"/>
      <c r="D31" s="128"/>
    </row>
    <row r="32" spans="1:9" s="2" customFormat="1" ht="19.149999999999999" customHeight="1" x14ac:dyDescent="0.25">
      <c r="A32" s="9" t="s">
        <v>96</v>
      </c>
    </row>
    <row r="33" spans="1:11" ht="19.149999999999999" customHeight="1" x14ac:dyDescent="0.25">
      <c r="A33" s="24" t="s">
        <v>241</v>
      </c>
    </row>
    <row r="34" spans="1:11" ht="19.149999999999999" customHeight="1" x14ac:dyDescent="0.25">
      <c r="A34" s="24" t="s">
        <v>242</v>
      </c>
    </row>
    <row r="36" spans="1:11" s="126" customFormat="1" ht="21" customHeight="1" x14ac:dyDescent="0.25">
      <c r="A36" s="127" t="s">
        <v>98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</row>
    <row r="37" spans="1:11" s="9" customFormat="1" ht="21" customHeight="1" x14ac:dyDescent="0.25">
      <c r="A37" s="9" t="s">
        <v>97</v>
      </c>
    </row>
    <row r="38" spans="1:11" ht="21" customHeight="1" x14ac:dyDescent="0.25">
      <c r="A38" s="1" t="s">
        <v>246</v>
      </c>
      <c r="F38" s="28">
        <f>5*9+5*5+ 4*2+3*0 +1*2+3*5</f>
        <v>95</v>
      </c>
    </row>
    <row r="39" spans="1:11" ht="21" customHeight="1" x14ac:dyDescent="0.25">
      <c r="A39" s="1" t="s">
        <v>247</v>
      </c>
      <c r="F39" s="28">
        <f>5*2+5*6+4*2+3*0+1*5+3*1</f>
        <v>56</v>
      </c>
    </row>
    <row r="40" spans="1:11" ht="21" customHeight="1" x14ac:dyDescent="0.25">
      <c r="A40" s="1" t="s">
        <v>99</v>
      </c>
      <c r="F40" s="28">
        <f>6*5+8*5+2*4+2*3+6*1+0*3</f>
        <v>90</v>
      </c>
    </row>
    <row r="41" spans="1:11" ht="21" customHeight="1" x14ac:dyDescent="0.25">
      <c r="A41" s="1" t="s">
        <v>248</v>
      </c>
      <c r="F41" s="28">
        <f xml:space="preserve"> 5*1+5*1+4*5+3*10+1*5+3*0</f>
        <v>65</v>
      </c>
    </row>
    <row r="42" spans="1:11" ht="21" customHeight="1" x14ac:dyDescent="0.25">
      <c r="A42" s="1" t="s">
        <v>249</v>
      </c>
      <c r="F42" s="28">
        <f>5*3+5*10+4*9+3*1+1*8+3*0</f>
        <v>112</v>
      </c>
      <c r="G42" s="11" t="s">
        <v>101</v>
      </c>
      <c r="H42" s="11"/>
      <c r="I42" s="11"/>
    </row>
    <row r="44" spans="1:11" x14ac:dyDescent="0.25">
      <c r="A44" s="1" t="s">
        <v>250</v>
      </c>
    </row>
    <row r="45" spans="1:11" ht="19.899999999999999" customHeight="1" x14ac:dyDescent="0.25">
      <c r="A45" s="9" t="s">
        <v>251</v>
      </c>
    </row>
    <row r="46" spans="1:11" ht="19.899999999999999" customHeight="1" x14ac:dyDescent="0.25">
      <c r="A46" s="9" t="s">
        <v>253</v>
      </c>
    </row>
    <row r="47" spans="1:11" ht="19.899999999999999" customHeight="1" x14ac:dyDescent="0.25">
      <c r="A47" s="9" t="s">
        <v>252</v>
      </c>
    </row>
    <row r="48" spans="1:11" ht="19.899999999999999" customHeight="1" x14ac:dyDescent="0.25">
      <c r="A48" s="24" t="s">
        <v>106</v>
      </c>
    </row>
    <row r="49" spans="1:12" ht="19.899999999999999" customHeight="1" x14ac:dyDescent="0.25">
      <c r="A49" s="24" t="s">
        <v>107</v>
      </c>
    </row>
    <row r="51" spans="1:12" s="75" customFormat="1" x14ac:dyDescent="0.25">
      <c r="A51" s="127" t="s">
        <v>102</v>
      </c>
      <c r="B51" s="128"/>
      <c r="C51" s="128"/>
      <c r="D51" s="128"/>
    </row>
    <row r="52" spans="1:12" ht="21" customHeight="1" x14ac:dyDescent="0.25">
      <c r="A52" s="51" t="s">
        <v>103</v>
      </c>
    </row>
    <row r="53" spans="1:12" s="28" customFormat="1" ht="42" customHeight="1" x14ac:dyDescent="0.25">
      <c r="A53" s="166" t="s">
        <v>104</v>
      </c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</row>
    <row r="54" spans="1:12" ht="33.75" customHeight="1" x14ac:dyDescent="0.25">
      <c r="A54" s="167" t="s">
        <v>105</v>
      </c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</sheetData>
  <mergeCells count="2">
    <mergeCell ref="A53:L53"/>
    <mergeCell ref="A54:L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5"/>
  <sheetViews>
    <sheetView topLeftCell="A22" zoomScaleNormal="100" workbookViewId="0">
      <selection activeCell="A26" sqref="A26:XFD36"/>
    </sheetView>
  </sheetViews>
  <sheetFormatPr defaultColWidth="9.140625" defaultRowHeight="16.5" x14ac:dyDescent="0.25"/>
  <cols>
    <col min="1" max="1" width="9.7109375" style="1" customWidth="1"/>
    <col min="2" max="2" width="8" style="1" customWidth="1"/>
    <col min="3" max="3" width="21.7109375" style="1" customWidth="1"/>
    <col min="4" max="4" width="13.28515625" style="1" customWidth="1"/>
    <col min="5" max="5" width="10.5703125" style="1" customWidth="1"/>
    <col min="6" max="6" width="3.85546875" style="1" customWidth="1"/>
    <col min="7" max="7" width="9.140625" style="1"/>
    <col min="8" max="8" width="6.85546875" style="1" customWidth="1"/>
    <col min="9" max="9" width="11.85546875" style="1" customWidth="1"/>
    <col min="10" max="10" width="10.5703125" style="1" customWidth="1"/>
    <col min="11" max="11" width="9.140625" style="1"/>
    <col min="12" max="12" width="9.7109375" style="1" bestFit="1" customWidth="1"/>
    <col min="13" max="16384" width="9.140625" style="1"/>
  </cols>
  <sheetData>
    <row r="1" spans="1:7" customFormat="1" ht="19.5" customHeight="1" x14ac:dyDescent="0.25">
      <c r="A1" s="53" t="s">
        <v>140</v>
      </c>
      <c r="B1" s="54"/>
    </row>
    <row r="2" spans="1:7" x14ac:dyDescent="0.25">
      <c r="A2" s="2" t="s">
        <v>142</v>
      </c>
    </row>
    <row r="3" spans="1:7" x14ac:dyDescent="0.25">
      <c r="A3" s="1" t="s">
        <v>265</v>
      </c>
    </row>
    <row r="4" spans="1:7" x14ac:dyDescent="0.25">
      <c r="A4" s="1" t="s">
        <v>266</v>
      </c>
      <c r="C4" s="28">
        <v>200</v>
      </c>
      <c r="D4" s="1" t="s">
        <v>206</v>
      </c>
    </row>
    <row r="5" spans="1:7" x14ac:dyDescent="0.25">
      <c r="A5" s="1" t="s">
        <v>282</v>
      </c>
      <c r="C5" s="28">
        <v>25</v>
      </c>
      <c r="D5" s="1" t="s">
        <v>284</v>
      </c>
      <c r="F5" s="28">
        <v>12</v>
      </c>
      <c r="G5" s="1" t="s">
        <v>268</v>
      </c>
    </row>
    <row r="6" spans="1:7" x14ac:dyDescent="0.25">
      <c r="A6" s="24" t="s">
        <v>283</v>
      </c>
      <c r="C6" s="28"/>
      <c r="D6" s="28">
        <f>1.5/100</f>
        <v>1.4999999999999999E-2</v>
      </c>
    </row>
    <row r="7" spans="1:7" s="9" customFormat="1" x14ac:dyDescent="0.25">
      <c r="A7" s="9" t="s">
        <v>269</v>
      </c>
      <c r="C7" s="35"/>
    </row>
    <row r="8" spans="1:7" s="9" customFormat="1" x14ac:dyDescent="0.25">
      <c r="C8" s="35"/>
    </row>
    <row r="9" spans="1:7" s="9" customFormat="1" x14ac:dyDescent="0.25">
      <c r="A9" s="9" t="s">
        <v>157</v>
      </c>
      <c r="C9" s="35"/>
    </row>
    <row r="10" spans="1:7" x14ac:dyDescent="0.25">
      <c r="A10" s="24" t="s">
        <v>108</v>
      </c>
    </row>
    <row r="11" spans="1:7" x14ac:dyDescent="0.25">
      <c r="A11" s="24" t="s">
        <v>270</v>
      </c>
    </row>
    <row r="12" spans="1:7" s="9" customFormat="1" x14ac:dyDescent="0.25">
      <c r="A12" s="34" t="s">
        <v>271</v>
      </c>
    </row>
    <row r="13" spans="1:7" x14ac:dyDescent="0.25">
      <c r="A13" s="169" t="s">
        <v>109</v>
      </c>
      <c r="B13" s="164" t="s">
        <v>110</v>
      </c>
      <c r="C13" s="170" t="s">
        <v>272</v>
      </c>
      <c r="D13" s="36" t="s">
        <v>274</v>
      </c>
    </row>
    <row r="14" spans="1:7" ht="23.45" customHeight="1" x14ac:dyDescent="0.25">
      <c r="A14" s="169"/>
      <c r="B14" s="170"/>
      <c r="C14" s="170"/>
      <c r="D14" s="33" t="s">
        <v>111</v>
      </c>
    </row>
    <row r="15" spans="1:7" s="12" customFormat="1" ht="24.6" customHeight="1" x14ac:dyDescent="0.25">
      <c r="A15" s="170"/>
      <c r="B15" s="164" t="s">
        <v>110</v>
      </c>
      <c r="C15" s="170" t="s">
        <v>113</v>
      </c>
      <c r="D15" s="137" t="s">
        <v>275</v>
      </c>
      <c r="E15" s="138"/>
      <c r="G15" s="162"/>
    </row>
    <row r="16" spans="1:7" x14ac:dyDescent="0.25">
      <c r="A16" s="170"/>
      <c r="B16" s="170"/>
      <c r="C16" s="170"/>
      <c r="D16" s="168">
        <v>1.4999999999999999E-2</v>
      </c>
      <c r="E16" s="168"/>
      <c r="G16" s="162"/>
    </row>
    <row r="17" spans="1:10" ht="15.6" customHeight="1" x14ac:dyDescent="0.25">
      <c r="A17" s="33"/>
      <c r="B17" s="33"/>
      <c r="C17" s="33"/>
      <c r="D17" s="6"/>
    </row>
    <row r="18" spans="1:10" ht="15.6" customHeight="1" x14ac:dyDescent="0.25">
      <c r="A18" s="33"/>
      <c r="B18" s="56" t="s">
        <v>93</v>
      </c>
      <c r="C18" s="6" t="s">
        <v>273</v>
      </c>
      <c r="D18" s="134" t="s">
        <v>114</v>
      </c>
      <c r="E18" s="37"/>
      <c r="G18" s="2" t="s">
        <v>276</v>
      </c>
      <c r="I18" s="2"/>
      <c r="J18" s="136">
        <f>1.015^-12</f>
        <v>0.83638742189539661</v>
      </c>
    </row>
    <row r="19" spans="1:10" ht="15.6" customHeight="1" x14ac:dyDescent="0.25">
      <c r="A19" s="33"/>
      <c r="B19" s="33"/>
      <c r="C19" s="33"/>
      <c r="D19" s="168">
        <v>1.4999999999999999E-2</v>
      </c>
      <c r="E19" s="168"/>
    </row>
    <row r="20" spans="1:10" ht="15.6" customHeight="1" x14ac:dyDescent="0.25">
      <c r="A20" s="33"/>
      <c r="B20" s="56"/>
      <c r="C20" s="33"/>
      <c r="D20" s="6"/>
    </row>
    <row r="21" spans="1:10" x14ac:dyDescent="0.25">
      <c r="A21" s="33"/>
      <c r="B21" s="56" t="s">
        <v>92</v>
      </c>
      <c r="C21" s="6" t="s">
        <v>273</v>
      </c>
      <c r="D21" s="32" t="s">
        <v>277</v>
      </c>
    </row>
    <row r="22" spans="1:10" x14ac:dyDescent="0.25">
      <c r="A22" s="33"/>
      <c r="B22" s="33"/>
      <c r="D22" s="57">
        <v>1.4999999999999999E-2</v>
      </c>
    </row>
    <row r="23" spans="1:10" x14ac:dyDescent="0.25">
      <c r="A23" s="33"/>
      <c r="B23" s="33"/>
      <c r="D23" s="123"/>
    </row>
    <row r="24" spans="1:10" x14ac:dyDescent="0.25">
      <c r="A24" s="33"/>
      <c r="B24" s="56" t="s">
        <v>92</v>
      </c>
      <c r="C24" s="135">
        <f>C5*(1-J18)/D6</f>
        <v>272.68763017433895</v>
      </c>
      <c r="D24" s="12" t="s">
        <v>94</v>
      </c>
    </row>
    <row r="25" spans="1:10" x14ac:dyDescent="0.25">
      <c r="A25" s="33"/>
      <c r="B25" s="33"/>
      <c r="C25" s="33"/>
      <c r="D25" s="6"/>
    </row>
    <row r="26" spans="1:10" s="75" customFormat="1" x14ac:dyDescent="0.25">
      <c r="A26" s="139" t="s">
        <v>278</v>
      </c>
      <c r="B26" s="127"/>
      <c r="C26" s="127"/>
      <c r="D26" s="107"/>
    </row>
    <row r="27" spans="1:10" x14ac:dyDescent="0.25">
      <c r="A27" s="34" t="s">
        <v>279</v>
      </c>
      <c r="D27" s="28"/>
    </row>
    <row r="28" spans="1:10" x14ac:dyDescent="0.25">
      <c r="A28" s="24" t="s">
        <v>267</v>
      </c>
      <c r="D28" s="132">
        <f>D6</f>
        <v>1.4999999999999999E-2</v>
      </c>
    </row>
    <row r="29" spans="1:10" x14ac:dyDescent="0.25">
      <c r="A29" s="24" t="s">
        <v>255</v>
      </c>
      <c r="C29" s="28">
        <f>F5</f>
        <v>12</v>
      </c>
      <c r="D29" s="28"/>
    </row>
    <row r="30" spans="1:10" x14ac:dyDescent="0.25">
      <c r="A30" s="24" t="s">
        <v>264</v>
      </c>
    </row>
    <row r="31" spans="1:10" x14ac:dyDescent="0.25">
      <c r="A31" s="24" t="s">
        <v>256</v>
      </c>
      <c r="D31" s="28"/>
      <c r="E31" s="28">
        <v>0</v>
      </c>
    </row>
    <row r="32" spans="1:10" x14ac:dyDescent="0.25">
      <c r="A32" s="24" t="s">
        <v>257</v>
      </c>
      <c r="D32" s="28"/>
    </row>
    <row r="33" spans="1:11" s="9" customFormat="1" x14ac:dyDescent="0.25">
      <c r="A33" s="34" t="s">
        <v>258</v>
      </c>
      <c r="D33" s="35">
        <v>0</v>
      </c>
    </row>
    <row r="34" spans="1:11" s="75" customFormat="1" x14ac:dyDescent="0.25">
      <c r="A34" s="76" t="s">
        <v>259</v>
      </c>
      <c r="C34" s="121">
        <v>1</v>
      </c>
      <c r="D34" s="121"/>
    </row>
    <row r="35" spans="1:11" x14ac:dyDescent="0.25">
      <c r="A35" s="24" t="s">
        <v>280</v>
      </c>
      <c r="D35" s="28"/>
    </row>
    <row r="36" spans="1:11" s="3" customFormat="1" x14ac:dyDescent="0.25">
      <c r="A36" s="25" t="s">
        <v>281</v>
      </c>
      <c r="D36" s="133">
        <f>PV(D28,C29,J41,E31,D33)</f>
        <v>272.68763017433912</v>
      </c>
    </row>
    <row r="37" spans="1:11" x14ac:dyDescent="0.25">
      <c r="A37" s="24"/>
      <c r="D37" s="28"/>
    </row>
    <row r="38" spans="1:11" s="9" customFormat="1" x14ac:dyDescent="0.25">
      <c r="A38" s="34" t="s">
        <v>260</v>
      </c>
      <c r="D38" s="35"/>
    </row>
    <row r="39" spans="1:11" x14ac:dyDescent="0.25">
      <c r="A39" s="24" t="s">
        <v>261</v>
      </c>
      <c r="D39" s="28"/>
    </row>
    <row r="40" spans="1:11" x14ac:dyDescent="0.25">
      <c r="A40" s="131" t="s">
        <v>262</v>
      </c>
    </row>
    <row r="41" spans="1:11" x14ac:dyDescent="0.25">
      <c r="A41" s="24" t="s">
        <v>263</v>
      </c>
      <c r="D41" s="28"/>
      <c r="J41" s="28">
        <f>-25</f>
        <v>-25</v>
      </c>
      <c r="K41" s="1" t="s">
        <v>254</v>
      </c>
    </row>
    <row r="42" spans="1:11" x14ac:dyDescent="0.25">
      <c r="A42" s="24"/>
      <c r="D42" s="28"/>
      <c r="J42" s="28"/>
    </row>
    <row r="43" spans="1:11" s="9" customFormat="1" x14ac:dyDescent="0.25">
      <c r="A43" s="140" t="s">
        <v>197</v>
      </c>
    </row>
    <row r="44" spans="1:11" x14ac:dyDescent="0.25">
      <c r="A44" s="24" t="s">
        <v>285</v>
      </c>
    </row>
    <row r="45" spans="1:11" x14ac:dyDescent="0.25">
      <c r="A45" s="24" t="s">
        <v>286</v>
      </c>
    </row>
  </sheetData>
  <mergeCells count="9">
    <mergeCell ref="G15:G16"/>
    <mergeCell ref="D19:E19"/>
    <mergeCell ref="D16:E16"/>
    <mergeCell ref="A13:A14"/>
    <mergeCell ref="B13:B14"/>
    <mergeCell ref="C13:C14"/>
    <mergeCell ref="A15:A16"/>
    <mergeCell ref="B15:B16"/>
    <mergeCell ref="C15:C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4"/>
  <sheetViews>
    <sheetView zoomScaleNormal="100" workbookViewId="0">
      <selection activeCell="E70" sqref="E70"/>
    </sheetView>
  </sheetViews>
  <sheetFormatPr defaultColWidth="9.140625" defaultRowHeight="16.5" x14ac:dyDescent="0.25"/>
  <cols>
    <col min="1" max="1" width="16.7109375" style="1" customWidth="1"/>
    <col min="2" max="2" width="16.85546875" style="1" customWidth="1"/>
    <col min="3" max="3" width="14.140625" style="1" customWidth="1"/>
    <col min="4" max="4" width="13.28515625" style="1" customWidth="1"/>
    <col min="5" max="5" width="9.140625" style="1" customWidth="1"/>
    <col min="6" max="16384" width="9.140625" style="1"/>
  </cols>
  <sheetData>
    <row r="1" spans="1:7" customFormat="1" ht="20.25" customHeight="1" x14ac:dyDescent="0.25">
      <c r="A1" s="53" t="s">
        <v>141</v>
      </c>
      <c r="B1" s="54"/>
    </row>
    <row r="2" spans="1:7" x14ac:dyDescent="0.25">
      <c r="A2" s="3" t="s">
        <v>129</v>
      </c>
    </row>
    <row r="3" spans="1:7" x14ac:dyDescent="0.25">
      <c r="A3" s="24" t="s">
        <v>117</v>
      </c>
      <c r="C3" s="28">
        <v>100</v>
      </c>
      <c r="D3" s="1" t="s">
        <v>115</v>
      </c>
    </row>
    <row r="4" spans="1:7" x14ac:dyDescent="0.25">
      <c r="A4" s="24" t="s">
        <v>116</v>
      </c>
      <c r="C4" s="28">
        <v>0.12</v>
      </c>
      <c r="E4" s="13"/>
    </row>
    <row r="5" spans="1:7" x14ac:dyDescent="0.25">
      <c r="A5" s="24" t="s">
        <v>287</v>
      </c>
    </row>
    <row r="6" spans="1:7" x14ac:dyDescent="0.25">
      <c r="A6" s="24" t="s">
        <v>118</v>
      </c>
    </row>
    <row r="7" spans="1:7" x14ac:dyDescent="0.25">
      <c r="A7" s="24"/>
    </row>
    <row r="8" spans="1:7" x14ac:dyDescent="0.25">
      <c r="A8" s="25" t="s">
        <v>213</v>
      </c>
    </row>
    <row r="9" spans="1:7" s="2" customFormat="1" x14ac:dyDescent="0.25">
      <c r="A9" s="10" t="s">
        <v>119</v>
      </c>
      <c r="B9" s="10"/>
      <c r="C9" s="10"/>
      <c r="D9" s="10"/>
      <c r="E9" s="10"/>
      <c r="F9" s="10"/>
      <c r="G9" s="10"/>
    </row>
    <row r="10" spans="1:7" s="12" customFormat="1" ht="24.6" customHeight="1" x14ac:dyDescent="0.25">
      <c r="A10" s="12" t="s">
        <v>120</v>
      </c>
    </row>
    <row r="11" spans="1:7" s="75" customFormat="1" x14ac:dyDescent="0.25">
      <c r="A11" s="75" t="s">
        <v>128</v>
      </c>
    </row>
    <row r="12" spans="1:7" x14ac:dyDescent="0.25">
      <c r="A12" s="171"/>
      <c r="B12" s="172"/>
    </row>
    <row r="13" spans="1:7" x14ac:dyDescent="0.25">
      <c r="A13" s="171"/>
      <c r="B13" s="162"/>
    </row>
    <row r="16" spans="1:7" x14ac:dyDescent="0.25">
      <c r="A16" s="2" t="s">
        <v>112</v>
      </c>
    </row>
    <row r="17" spans="1:4" x14ac:dyDescent="0.25">
      <c r="A17" s="81" t="s">
        <v>288</v>
      </c>
      <c r="B17" s="1">
        <v>100</v>
      </c>
      <c r="C17" s="1" t="s">
        <v>289</v>
      </c>
    </row>
    <row r="18" spans="1:4" x14ac:dyDescent="0.25">
      <c r="A18" s="81" t="s">
        <v>292</v>
      </c>
      <c r="B18" s="1">
        <f>12/100</f>
        <v>0.12</v>
      </c>
      <c r="C18" s="1" t="s">
        <v>291</v>
      </c>
    </row>
    <row r="19" spans="1:4" x14ac:dyDescent="0.25">
      <c r="A19" s="39" t="s">
        <v>290</v>
      </c>
      <c r="B19" s="1">
        <v>10</v>
      </c>
    </row>
    <row r="20" spans="1:4" x14ac:dyDescent="0.25">
      <c r="A20" s="39" t="s">
        <v>293</v>
      </c>
      <c r="B20" s="1">
        <v>7</v>
      </c>
      <c r="C20" s="1" t="s">
        <v>294</v>
      </c>
    </row>
    <row r="22" spans="1:4" x14ac:dyDescent="0.25">
      <c r="A22" s="1" t="s">
        <v>297</v>
      </c>
    </row>
    <row r="27" spans="1:4" x14ac:dyDescent="0.25">
      <c r="A27" s="170" t="s">
        <v>295</v>
      </c>
      <c r="B27" s="157" t="s">
        <v>296</v>
      </c>
      <c r="C27" s="157"/>
      <c r="D27" s="37" t="s">
        <v>127</v>
      </c>
    </row>
    <row r="28" spans="1:4" x14ac:dyDescent="0.25">
      <c r="A28" s="170"/>
      <c r="B28" s="157"/>
      <c r="C28" s="157"/>
      <c r="D28" s="6">
        <v>0.12</v>
      </c>
    </row>
    <row r="29" spans="1:4" x14ac:dyDescent="0.25">
      <c r="A29" s="33"/>
      <c r="B29" s="33"/>
      <c r="C29" s="33"/>
      <c r="D29" s="6"/>
    </row>
    <row r="30" spans="1:4" x14ac:dyDescent="0.25">
      <c r="A30" s="170" t="s">
        <v>295</v>
      </c>
      <c r="B30" s="173">
        <f>B17*(1+B18)^B20-(B19*((1+B18)^B20-1)/B18)</f>
        <v>120.178023456768</v>
      </c>
      <c r="C30" s="40"/>
    </row>
    <row r="31" spans="1:4" x14ac:dyDescent="0.25">
      <c r="A31" s="170"/>
      <c r="B31" s="173"/>
    </row>
    <row r="32" spans="1:4" x14ac:dyDescent="0.25">
      <c r="A32" s="24" t="s">
        <v>300</v>
      </c>
    </row>
    <row r="33" spans="1:7" s="9" customFormat="1" x14ac:dyDescent="0.25">
      <c r="A33" s="34" t="s">
        <v>130</v>
      </c>
    </row>
    <row r="35" spans="1:7" s="3" customFormat="1" x14ac:dyDescent="0.25">
      <c r="A35" s="127" t="s">
        <v>121</v>
      </c>
      <c r="B35" s="127"/>
      <c r="C35" s="127"/>
      <c r="D35" s="127"/>
      <c r="E35" s="127"/>
      <c r="F35" s="127"/>
      <c r="G35" s="127"/>
    </row>
    <row r="36" spans="1:7" s="9" customFormat="1" x14ac:dyDescent="0.25">
      <c r="A36" s="9" t="s">
        <v>298</v>
      </c>
    </row>
    <row r="37" spans="1:7" s="9" customFormat="1" x14ac:dyDescent="0.25"/>
    <row r="38" spans="1:7" s="9" customFormat="1" x14ac:dyDescent="0.25"/>
    <row r="39" spans="1:7" s="9" customFormat="1" x14ac:dyDescent="0.25"/>
    <row r="40" spans="1:7" s="9" customFormat="1" x14ac:dyDescent="0.25"/>
    <row r="41" spans="1:7" s="9" customFormat="1" x14ac:dyDescent="0.25"/>
    <row r="42" spans="1:7" s="9" customFormat="1" x14ac:dyDescent="0.25">
      <c r="A42" s="174" t="s">
        <v>299</v>
      </c>
    </row>
    <row r="43" spans="1:7" s="9" customFormat="1" ht="16.149999999999999" customHeight="1" x14ac:dyDescent="0.25">
      <c r="A43" s="174"/>
    </row>
    <row r="44" spans="1:7" s="9" customFormat="1" ht="16.149999999999999" customHeight="1" x14ac:dyDescent="0.25">
      <c r="A44" s="141"/>
    </row>
    <row r="45" spans="1:7" s="9" customFormat="1" x14ac:dyDescent="0.25"/>
    <row r="46" spans="1:7" s="9" customFormat="1" x14ac:dyDescent="0.25">
      <c r="A46" s="164" t="s">
        <v>301</v>
      </c>
      <c r="B46" s="32">
        <v>0.12</v>
      </c>
    </row>
    <row r="47" spans="1:7" x14ac:dyDescent="0.25">
      <c r="A47" s="170"/>
      <c r="B47" s="6" t="s">
        <v>122</v>
      </c>
    </row>
    <row r="48" spans="1:7" x14ac:dyDescent="0.25">
      <c r="A48" s="2" t="s">
        <v>123</v>
      </c>
    </row>
    <row r="50" spans="1:12" x14ac:dyDescent="0.25">
      <c r="A50" s="157" t="s">
        <v>124</v>
      </c>
      <c r="B50" s="32">
        <v>0.12</v>
      </c>
      <c r="C50" s="1" t="s">
        <v>303</v>
      </c>
      <c r="E50" s="1">
        <f>(1+0.12)^-5</f>
        <v>0.56742685571859919</v>
      </c>
    </row>
    <row r="51" spans="1:12" x14ac:dyDescent="0.25">
      <c r="A51" s="157"/>
      <c r="B51" s="6" t="s">
        <v>125</v>
      </c>
    </row>
    <row r="52" spans="1:12" x14ac:dyDescent="0.25">
      <c r="A52" s="24"/>
      <c r="B52" s="27"/>
    </row>
    <row r="53" spans="1:12" s="9" customFormat="1" x14ac:dyDescent="0.25">
      <c r="A53" s="142" t="s">
        <v>302</v>
      </c>
      <c r="B53" s="88">
        <f>B30*B18/(1-E50)</f>
        <v>33.338553272347077</v>
      </c>
      <c r="C53" s="9" t="s">
        <v>126</v>
      </c>
    </row>
    <row r="55" spans="1:12" ht="36.6" customHeight="1" x14ac:dyDescent="0.25">
      <c r="A55" s="163" t="s">
        <v>304</v>
      </c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7" spans="1:12" x14ac:dyDescent="0.25">
      <c r="A57" s="10" t="s">
        <v>305</v>
      </c>
      <c r="B57" s="10"/>
      <c r="C57" s="10"/>
    </row>
    <row r="58" spans="1:12" x14ac:dyDescent="0.25">
      <c r="A58" s="1" t="s">
        <v>306</v>
      </c>
    </row>
    <row r="59" spans="1:12" x14ac:dyDescent="0.25">
      <c r="A59" s="24" t="s">
        <v>307</v>
      </c>
      <c r="D59" s="28"/>
    </row>
    <row r="60" spans="1:12" x14ac:dyDescent="0.25">
      <c r="A60" s="143" t="s">
        <v>308</v>
      </c>
      <c r="C60" s="40">
        <f>FV(0.12,7,10,-100,0)</f>
        <v>120.17802345676802</v>
      </c>
    </row>
    <row r="62" spans="1:12" x14ac:dyDescent="0.25">
      <c r="A62" s="1" t="s">
        <v>309</v>
      </c>
    </row>
    <row r="63" spans="1:12" x14ac:dyDescent="0.25">
      <c r="A63" s="24" t="s">
        <v>310</v>
      </c>
    </row>
    <row r="64" spans="1:12" x14ac:dyDescent="0.25">
      <c r="A64" s="24" t="s">
        <v>311</v>
      </c>
      <c r="C64" s="130">
        <f>PMT(0.12,5,-120.178,0)</f>
        <v>33.338546765211376</v>
      </c>
    </row>
  </sheetData>
  <mergeCells count="10">
    <mergeCell ref="A55:L55"/>
    <mergeCell ref="A50:A51"/>
    <mergeCell ref="B27:C28"/>
    <mergeCell ref="A12:A13"/>
    <mergeCell ref="B12:B13"/>
    <mergeCell ref="A46:A47"/>
    <mergeCell ref="A27:A28"/>
    <mergeCell ref="A30:A31"/>
    <mergeCell ref="B30:B31"/>
    <mergeCell ref="A42:A4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Bài 1</vt:lpstr>
      <vt:lpstr>Bài 2</vt:lpstr>
      <vt:lpstr>Bài 3</vt:lpstr>
      <vt:lpstr>Bài 4</vt:lpstr>
      <vt:lpstr>Bài 5</vt:lpstr>
      <vt:lpstr>Bài 6</vt:lpstr>
      <vt:lpstr>Bài 7</vt:lpstr>
      <vt:lpstr>Bài 8</vt:lpstr>
      <vt:lpstr>Bài 9</vt:lpstr>
      <vt:lpstr>Phần B</vt:lpstr>
      <vt:lpstr>Bảng 3.1</vt:lpstr>
      <vt:lpstr>Bảng 3.2 </vt:lpstr>
      <vt:lpstr>Bảng 3.3</vt:lpstr>
      <vt:lpstr>Câu 1 Phần B</vt:lpstr>
      <vt:lpstr>Câu 2 Phần B</vt:lpstr>
      <vt:lpstr>Câu 3 Phần B</vt:lpstr>
      <vt:lpstr>Câu 4 Phần B</vt:lpstr>
      <vt:lpstr>Câu 5 Phần B</vt:lpstr>
      <vt:lpstr>Câu 6 Phần B</vt:lpstr>
      <vt:lpstr>Câu 7 Phần B</vt:lpstr>
      <vt:lpstr>Câu 8 Phần B</vt:lpstr>
      <vt:lpstr>Câu 9 Phần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FPTSHOP</cp:lastModifiedBy>
  <dcterms:created xsi:type="dcterms:W3CDTF">2025-09-15T12:02:59Z</dcterms:created>
  <dcterms:modified xsi:type="dcterms:W3CDTF">2025-09-20T12:45:50Z</dcterms:modified>
</cp:coreProperties>
</file>