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2" windowHeight="7848" activeTab="12"/>
  </bookViews>
  <sheets>
    <sheet name="Tổng hợp 2015" sheetId="11" r:id="rId1"/>
    <sheet name="T01" sheetId="1" r:id="rId2"/>
    <sheet name="T02" sheetId="5" r:id="rId3"/>
    <sheet name="T03" sheetId="6" r:id="rId4"/>
    <sheet name="T04" sheetId="7" r:id="rId5"/>
    <sheet name="T05" sheetId="8" r:id="rId6"/>
    <sheet name="T06" sheetId="9" r:id="rId7"/>
    <sheet name="T07" sheetId="10" r:id="rId8"/>
    <sheet name="T08" sheetId="12" r:id="rId9"/>
    <sheet name="Gia hạn" sheetId="2" r:id="rId10"/>
    <sheet name="Nợ" sheetId="3" r:id="rId11"/>
    <sheet name="Sheet1" sheetId="4" r:id="rId12"/>
    <sheet name="THWeb" sheetId="13" r:id="rId13"/>
  </sheets>
  <definedNames>
    <definedName name="_xlnm._FilterDatabase" localSheetId="1" hidden="1">'T01'!$A$5:$Z$50</definedName>
    <definedName name="_xlnm._FilterDatabase" localSheetId="2" hidden="1">'T02'!$A$6:$Z$24</definedName>
    <definedName name="_xlnm._FilterDatabase" localSheetId="3" hidden="1">'T03'!$A$5:$Z$44</definedName>
    <definedName name="_xlnm._FilterDatabase" localSheetId="4" hidden="1">'T04'!$A$5:$Z$37</definedName>
    <definedName name="_xlnm._FilterDatabase" localSheetId="5" hidden="1">'T05'!$A$3:$Z$40</definedName>
    <definedName name="_xlnm._FilterDatabase" localSheetId="6" hidden="1">'T06'!$A$3:$Z$49</definedName>
    <definedName name="_xlnm._FilterDatabase" localSheetId="7" hidden="1">'T07'!$A$3:$Z$48</definedName>
    <definedName name="_xlnm._FilterDatabase" localSheetId="0" hidden="1">'Tổng hợp 2015'!$A$3:$Z$326</definedName>
  </definedNames>
  <calcPr calcId="124519"/>
</workbook>
</file>

<file path=xl/calcChain.xml><?xml version="1.0" encoding="utf-8"?>
<calcChain xmlns="http://schemas.openxmlformats.org/spreadsheetml/2006/main">
  <c r="U30" i="13"/>
  <c r="Y30" s="1"/>
  <c r="Y29"/>
  <c r="U29"/>
  <c r="U28"/>
  <c r="Y28" s="1"/>
  <c r="Y27"/>
  <c r="U27"/>
  <c r="U26"/>
  <c r="Y26" s="1"/>
  <c r="Y25"/>
  <c r="U25"/>
  <c r="U24"/>
  <c r="Y24" s="1"/>
  <c r="Y23"/>
  <c r="U23"/>
  <c r="U22"/>
  <c r="Y22" s="1"/>
  <c r="Y21"/>
  <c r="U21"/>
  <c r="U20"/>
  <c r="Y20" s="1"/>
  <c r="Y19"/>
  <c r="U19"/>
  <c r="U18"/>
  <c r="Y18" s="1"/>
  <c r="Y17"/>
  <c r="U17"/>
  <c r="U16"/>
  <c r="Y16" s="1"/>
  <c r="Y15"/>
  <c r="U15"/>
  <c r="U14"/>
  <c r="Y14" s="1"/>
  <c r="Y13"/>
  <c r="U13"/>
  <c r="U12"/>
  <c r="Y12" s="1"/>
  <c r="Y11"/>
  <c r="U11"/>
  <c r="U10"/>
  <c r="Y10" s="1"/>
  <c r="Y9"/>
  <c r="U9"/>
  <c r="U8"/>
  <c r="Y8" s="1"/>
  <c r="Y7"/>
  <c r="U7"/>
  <c r="U6"/>
  <c r="Y6" s="1"/>
  <c r="Y5"/>
  <c r="U5"/>
  <c r="U4"/>
  <c r="Y4" s="1"/>
  <c r="Y3"/>
  <c r="U3"/>
  <c r="B24" i="12"/>
  <c r="V259" i="11"/>
  <c r="T262"/>
  <c r="U307" l="1"/>
  <c r="U308"/>
  <c r="U309"/>
  <c r="V231"/>
  <c r="W32" i="10"/>
  <c r="X32"/>
  <c r="V32"/>
  <c r="U43" l="1"/>
  <c r="Y43" s="1"/>
  <c r="U42"/>
  <c r="Y42" s="1"/>
  <c r="U41"/>
  <c r="Y41" s="1"/>
  <c r="U40"/>
  <c r="Y40" s="1"/>
  <c r="U39"/>
  <c r="Y39" s="1"/>
  <c r="U38"/>
  <c r="Y38" s="1"/>
  <c r="U37"/>
  <c r="Y37" s="1"/>
  <c r="U36"/>
  <c r="Y36" s="1"/>
  <c r="U35"/>
  <c r="Y35" s="1"/>
  <c r="U34"/>
  <c r="Y34" s="1"/>
  <c r="U33"/>
  <c r="Y33" s="1"/>
  <c r="U32"/>
  <c r="Y32" s="1"/>
  <c r="U31"/>
  <c r="Y31" s="1"/>
  <c r="U30"/>
  <c r="Y30" s="1"/>
  <c r="U29"/>
  <c r="Y29" s="1"/>
  <c r="U28"/>
  <c r="Y28" s="1"/>
  <c r="U27"/>
  <c r="Y27" s="1"/>
  <c r="U26"/>
  <c r="Y26" s="1"/>
  <c r="U25"/>
  <c r="Y25" s="1"/>
  <c r="U24"/>
  <c r="Y24" s="1"/>
  <c r="U23"/>
  <c r="Y23" s="1"/>
  <c r="U22"/>
  <c r="Y22" s="1"/>
  <c r="U21"/>
  <c r="Y21" s="1"/>
  <c r="U20"/>
  <c r="Y20" s="1"/>
  <c r="U19"/>
  <c r="Y19" s="1"/>
  <c r="U18"/>
  <c r="Y18" s="1"/>
  <c r="U17"/>
  <c r="Y17" s="1"/>
  <c r="U16"/>
  <c r="Y16" s="1"/>
  <c r="U15"/>
  <c r="Y15" s="1"/>
  <c r="U14"/>
  <c r="Y14" s="1"/>
  <c r="U13"/>
  <c r="Y13" s="1"/>
  <c r="U12"/>
  <c r="Y12" s="1"/>
  <c r="U11"/>
  <c r="Y11" s="1"/>
  <c r="U10"/>
  <c r="Y10" s="1"/>
  <c r="V9"/>
  <c r="U9"/>
  <c r="Y9" s="1"/>
  <c r="U8"/>
  <c r="Y8" s="1"/>
  <c r="U7"/>
  <c r="Y7" s="1"/>
  <c r="U6"/>
  <c r="Y6" s="1"/>
  <c r="Y11" i="11" l="1"/>
  <c r="Y20"/>
  <c r="Y25"/>
  <c r="Y79"/>
  <c r="Y100"/>
  <c r="Y149"/>
  <c r="Y227"/>
  <c r="Y269"/>
  <c r="U292"/>
  <c r="Y292" s="1"/>
  <c r="U293"/>
  <c r="Y293" s="1"/>
  <c r="U294"/>
  <c r="Y294" s="1"/>
  <c r="U295"/>
  <c r="Y295" s="1"/>
  <c r="U296"/>
  <c r="Y296" s="1"/>
  <c r="U297"/>
  <c r="Y297" s="1"/>
  <c r="U298"/>
  <c r="Y298" s="1"/>
  <c r="U299"/>
  <c r="Y299" s="1"/>
  <c r="U300"/>
  <c r="Y300" s="1"/>
  <c r="U301"/>
  <c r="Y301" s="1"/>
  <c r="U302"/>
  <c r="Y302" s="1"/>
  <c r="U303"/>
  <c r="Y303" s="1"/>
  <c r="U304"/>
  <c r="Y304" s="1"/>
  <c r="U305"/>
  <c r="Y305" s="1"/>
  <c r="U306"/>
  <c r="Y306" s="1"/>
  <c r="Y307"/>
  <c r="Y308"/>
  <c r="Y309"/>
  <c r="U310"/>
  <c r="Y310" s="1"/>
  <c r="U311"/>
  <c r="Y311" s="1"/>
  <c r="U312"/>
  <c r="Y312" s="1"/>
  <c r="U313"/>
  <c r="Y313" s="1"/>
  <c r="U314"/>
  <c r="Y314" s="1"/>
  <c r="U315"/>
  <c r="Y315" s="1"/>
  <c r="U316"/>
  <c r="Y316" s="1"/>
  <c r="U317"/>
  <c r="Y317" s="1"/>
  <c r="U318"/>
  <c r="Y318" s="1"/>
  <c r="U289"/>
  <c r="Y289" s="1"/>
  <c r="U290"/>
  <c r="Y290" s="1"/>
  <c r="U291"/>
  <c r="Y291" s="1"/>
  <c r="U319"/>
  <c r="Y319" s="1"/>
  <c r="U320"/>
  <c r="Y320" s="1"/>
  <c r="U321"/>
  <c r="Y321" s="1"/>
  <c r="U322"/>
  <c r="Y322" s="1"/>
  <c r="U323"/>
  <c r="Y323" s="1"/>
  <c r="U324"/>
  <c r="Y324" s="1"/>
  <c r="I14" i="12"/>
  <c r="J14"/>
  <c r="K14"/>
  <c r="L14"/>
  <c r="M14"/>
  <c r="N14"/>
  <c r="O14"/>
  <c r="P14"/>
  <c r="Q14"/>
  <c r="R14"/>
  <c r="S14"/>
  <c r="T14"/>
  <c r="V14"/>
  <c r="W14"/>
  <c r="X14"/>
  <c r="I15"/>
  <c r="J15"/>
  <c r="K15"/>
  <c r="L15"/>
  <c r="M15"/>
  <c r="N15"/>
  <c r="O15"/>
  <c r="P15"/>
  <c r="Q15"/>
  <c r="R15"/>
  <c r="S15"/>
  <c r="T15"/>
  <c r="V15"/>
  <c r="W15"/>
  <c r="X15"/>
  <c r="I16"/>
  <c r="J16"/>
  <c r="K16"/>
  <c r="L16"/>
  <c r="M16"/>
  <c r="N16"/>
  <c r="O16"/>
  <c r="P16"/>
  <c r="Q16"/>
  <c r="R16"/>
  <c r="S16"/>
  <c r="T16"/>
  <c r="V16"/>
  <c r="W16"/>
  <c r="X16"/>
  <c r="I17"/>
  <c r="J17"/>
  <c r="K17"/>
  <c r="L17"/>
  <c r="M17"/>
  <c r="N17"/>
  <c r="O17"/>
  <c r="P17"/>
  <c r="Q17"/>
  <c r="R17"/>
  <c r="S17"/>
  <c r="T17"/>
  <c r="V17"/>
  <c r="W17"/>
  <c r="X17"/>
  <c r="I18"/>
  <c r="J18"/>
  <c r="K18"/>
  <c r="L18"/>
  <c r="M18"/>
  <c r="N18"/>
  <c r="O18"/>
  <c r="P18"/>
  <c r="Q18"/>
  <c r="R18"/>
  <c r="S18"/>
  <c r="T18"/>
  <c r="V18"/>
  <c r="W18"/>
  <c r="X18"/>
  <c r="I19"/>
  <c r="J19"/>
  <c r="K19"/>
  <c r="L19"/>
  <c r="M19"/>
  <c r="N19"/>
  <c r="O19"/>
  <c r="P19"/>
  <c r="Q19"/>
  <c r="R19"/>
  <c r="S19"/>
  <c r="T19"/>
  <c r="V19"/>
  <c r="W19"/>
  <c r="X19"/>
  <c r="I20"/>
  <c r="J20"/>
  <c r="K20"/>
  <c r="L20"/>
  <c r="M20"/>
  <c r="N20"/>
  <c r="O20"/>
  <c r="P20"/>
  <c r="Q20"/>
  <c r="R20"/>
  <c r="S20"/>
  <c r="T20"/>
  <c r="V20"/>
  <c r="W20"/>
  <c r="X20"/>
  <c r="I21"/>
  <c r="J21"/>
  <c r="K21"/>
  <c r="L21"/>
  <c r="M21"/>
  <c r="N21"/>
  <c r="O21"/>
  <c r="P21"/>
  <c r="Q21"/>
  <c r="R21"/>
  <c r="S21"/>
  <c r="T21"/>
  <c r="V21"/>
  <c r="W21"/>
  <c r="X21"/>
  <c r="I22"/>
  <c r="J22"/>
  <c r="K22"/>
  <c r="L22"/>
  <c r="M22"/>
  <c r="N22"/>
  <c r="O22"/>
  <c r="P22"/>
  <c r="Q22"/>
  <c r="R22"/>
  <c r="S22"/>
  <c r="T22"/>
  <c r="V22"/>
  <c r="W22"/>
  <c r="X22"/>
  <c r="H14"/>
  <c r="U14" s="1"/>
  <c r="Y14" s="1"/>
  <c r="H15"/>
  <c r="H16"/>
  <c r="H17"/>
  <c r="H18"/>
  <c r="U18" s="1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F15"/>
  <c r="F16"/>
  <c r="F17"/>
  <c r="F18"/>
  <c r="F19"/>
  <c r="F20"/>
  <c r="F21"/>
  <c r="F22"/>
  <c r="F23"/>
  <c r="F24"/>
  <c r="F25"/>
  <c r="E14"/>
  <c r="E15"/>
  <c r="E16"/>
  <c r="E17"/>
  <c r="E18"/>
  <c r="E19"/>
  <c r="E20"/>
  <c r="E21"/>
  <c r="E22"/>
  <c r="D14"/>
  <c r="D15"/>
  <c r="D16"/>
  <c r="D17"/>
  <c r="D18"/>
  <c r="D19"/>
  <c r="D20"/>
  <c r="D21"/>
  <c r="C15"/>
  <c r="C16"/>
  <c r="C17"/>
  <c r="C18"/>
  <c r="C19"/>
  <c r="C20"/>
  <c r="C21"/>
  <c r="C22"/>
  <c r="C23"/>
  <c r="C24"/>
  <c r="B14"/>
  <c r="B15"/>
  <c r="B16"/>
  <c r="B17"/>
  <c r="B18"/>
  <c r="B19"/>
  <c r="B20"/>
  <c r="B21"/>
  <c r="B22"/>
  <c r="B23"/>
  <c r="B25"/>
  <c r="B26"/>
  <c r="A20"/>
  <c r="A21"/>
  <c r="A22"/>
  <c r="A23"/>
  <c r="A24"/>
  <c r="A25"/>
  <c r="A26"/>
  <c r="A27"/>
  <c r="A28"/>
  <c r="A29"/>
  <c r="A30"/>
  <c r="A14"/>
  <c r="A15"/>
  <c r="A16"/>
  <c r="A17"/>
  <c r="A18"/>
  <c r="A19"/>
  <c r="U20" l="1"/>
  <c r="Y20" s="1"/>
  <c r="U16"/>
  <c r="Y16" s="1"/>
  <c r="U15"/>
  <c r="Y15" s="1"/>
  <c r="U21"/>
  <c r="Y21" s="1"/>
  <c r="U19"/>
  <c r="Y19" s="1"/>
  <c r="Y18"/>
  <c r="U22"/>
  <c r="Y22" s="1"/>
  <c r="U17"/>
  <c r="Y17" s="1"/>
  <c r="U280" i="11"/>
  <c r="Y280" s="1"/>
  <c r="U281"/>
  <c r="Y281" s="1"/>
  <c r="U282"/>
  <c r="Y282" s="1"/>
  <c r="U283"/>
  <c r="Y283" s="1"/>
  <c r="U284"/>
  <c r="Y284" s="1"/>
  <c r="U285"/>
  <c r="Y285" s="1"/>
  <c r="U286"/>
  <c r="Y286" s="1"/>
  <c r="U287"/>
  <c r="Y287" s="1"/>
  <c r="U288"/>
  <c r="Y288" s="1"/>
  <c r="U325"/>
  <c r="Y325" s="1"/>
  <c r="V45" i="10"/>
  <c r="V46"/>
  <c r="V42" i="11"/>
  <c r="W46" i="1"/>
  <c r="W47"/>
  <c r="W49"/>
  <c r="W43"/>
  <c r="W44"/>
  <c r="W45"/>
  <c r="W31"/>
  <c r="W32"/>
  <c r="W33"/>
  <c r="W34"/>
  <c r="W35"/>
  <c r="W36"/>
  <c r="W37"/>
  <c r="W38"/>
  <c r="W39"/>
  <c r="W40"/>
  <c r="W41"/>
  <c r="W42"/>
  <c r="W30"/>
  <c r="W27"/>
  <c r="W28"/>
  <c r="W26"/>
  <c r="W24"/>
  <c r="W17"/>
  <c r="W18"/>
  <c r="W19"/>
  <c r="W16"/>
  <c r="W14"/>
  <c r="W13"/>
  <c r="W9"/>
  <c r="W10"/>
  <c r="W8"/>
  <c r="W7"/>
  <c r="W6"/>
  <c r="V48"/>
  <c r="V47"/>
  <c r="V45"/>
  <c r="V44"/>
  <c r="V31"/>
  <c r="V32"/>
  <c r="V35"/>
  <c r="V38"/>
  <c r="V39"/>
  <c r="V41"/>
  <c r="V42"/>
  <c r="V30"/>
  <c r="V25"/>
  <c r="V26"/>
  <c r="V28"/>
  <c r="V22"/>
  <c r="V17"/>
  <c r="V18"/>
  <c r="V16"/>
  <c r="V13"/>
  <c r="V7"/>
  <c r="V10"/>
  <c r="V11"/>
  <c r="V233" i="11" l="1"/>
  <c r="U43" i="2" l="1"/>
  <c r="Y43" s="1"/>
  <c r="U42"/>
  <c r="Y42" s="1"/>
  <c r="U41"/>
  <c r="Y41" s="1"/>
  <c r="U40"/>
  <c r="Y40" s="1"/>
  <c r="U39"/>
  <c r="Y39" s="1"/>
  <c r="U38"/>
  <c r="Y38" s="1"/>
  <c r="U37"/>
  <c r="Y37" s="1"/>
  <c r="U36"/>
  <c r="Y36" s="1"/>
  <c r="U35"/>
  <c r="Y35" s="1"/>
  <c r="U271" i="11"/>
  <c r="Y271" s="1"/>
  <c r="U272"/>
  <c r="Y272" s="1"/>
  <c r="U273"/>
  <c r="Y273" s="1"/>
  <c r="U274"/>
  <c r="Y274" s="1"/>
  <c r="U275"/>
  <c r="Y275" s="1"/>
  <c r="U276"/>
  <c r="Y276" s="1"/>
  <c r="U277"/>
  <c r="Y277" s="1"/>
  <c r="U278"/>
  <c r="Y278" s="1"/>
  <c r="U279"/>
  <c r="Y279" s="1"/>
  <c r="U326"/>
  <c r="Y326" s="1"/>
  <c r="U270"/>
  <c r="Y270" s="1"/>
  <c r="U230"/>
  <c r="Y230" s="1"/>
  <c r="U231"/>
  <c r="Y231" s="1"/>
  <c r="U232"/>
  <c r="Y232" s="1"/>
  <c r="U233"/>
  <c r="Y233" s="1"/>
  <c r="U234"/>
  <c r="Y234" s="1"/>
  <c r="U235"/>
  <c r="Y235" s="1"/>
  <c r="U236"/>
  <c r="Y236" s="1"/>
  <c r="U237"/>
  <c r="Y237" s="1"/>
  <c r="U238"/>
  <c r="Y238" s="1"/>
  <c r="U239"/>
  <c r="Y239" s="1"/>
  <c r="U240"/>
  <c r="Y240" s="1"/>
  <c r="U241"/>
  <c r="Y241" s="1"/>
  <c r="U242"/>
  <c r="Y242" s="1"/>
  <c r="U243"/>
  <c r="Y243" s="1"/>
  <c r="U244"/>
  <c r="Y244" s="1"/>
  <c r="U245"/>
  <c r="Y245" s="1"/>
  <c r="U246"/>
  <c r="Y246" s="1"/>
  <c r="U247"/>
  <c r="Y247" s="1"/>
  <c r="U248"/>
  <c r="Y248" s="1"/>
  <c r="U249"/>
  <c r="Y249" s="1"/>
  <c r="U250"/>
  <c r="Y250" s="1"/>
  <c r="U251"/>
  <c r="Y251" s="1"/>
  <c r="U252"/>
  <c r="Y252" s="1"/>
  <c r="U253"/>
  <c r="Y253" s="1"/>
  <c r="U254"/>
  <c r="Y254" s="1"/>
  <c r="U255"/>
  <c r="Y255" s="1"/>
  <c r="U256"/>
  <c r="Y256" s="1"/>
  <c r="U257"/>
  <c r="Y257" s="1"/>
  <c r="U258"/>
  <c r="Y258" s="1"/>
  <c r="U259"/>
  <c r="Y259" s="1"/>
  <c r="U260"/>
  <c r="Y260" s="1"/>
  <c r="U261"/>
  <c r="Y261" s="1"/>
  <c r="U262"/>
  <c r="Y262" s="1"/>
  <c r="U263"/>
  <c r="Y263" s="1"/>
  <c r="U264"/>
  <c r="Y264" s="1"/>
  <c r="U265"/>
  <c r="Y265" s="1"/>
  <c r="U266"/>
  <c r="Y266" s="1"/>
  <c r="U267"/>
  <c r="Y267" s="1"/>
  <c r="U268"/>
  <c r="Y268" s="1"/>
  <c r="U229"/>
  <c r="Y229" s="1"/>
  <c r="D6" i="12"/>
  <c r="W7"/>
  <c r="X7"/>
  <c r="W8"/>
  <c r="X8"/>
  <c r="W9"/>
  <c r="X9"/>
  <c r="W10"/>
  <c r="X10"/>
  <c r="W11"/>
  <c r="X11"/>
  <c r="W12"/>
  <c r="X12"/>
  <c r="W13"/>
  <c r="X13"/>
  <c r="W23"/>
  <c r="X23"/>
  <c r="W24"/>
  <c r="X24"/>
  <c r="V7"/>
  <c r="V8"/>
  <c r="V9"/>
  <c r="V10"/>
  <c r="V11"/>
  <c r="V12"/>
  <c r="V13"/>
  <c r="V23"/>
  <c r="V24"/>
  <c r="V25"/>
  <c r="V26"/>
  <c r="V27"/>
  <c r="V28"/>
  <c r="V29"/>
  <c r="V30"/>
  <c r="V31"/>
  <c r="H7"/>
  <c r="I7"/>
  <c r="J7"/>
  <c r="K7"/>
  <c r="L7"/>
  <c r="M7"/>
  <c r="N7"/>
  <c r="O7"/>
  <c r="P7"/>
  <c r="Q7"/>
  <c r="R7"/>
  <c r="S7"/>
  <c r="T7"/>
  <c r="H8"/>
  <c r="I8"/>
  <c r="J8"/>
  <c r="K8"/>
  <c r="L8"/>
  <c r="M8"/>
  <c r="N8"/>
  <c r="O8"/>
  <c r="P8"/>
  <c r="Q8"/>
  <c r="R8"/>
  <c r="S8"/>
  <c r="T8"/>
  <c r="H9"/>
  <c r="I9"/>
  <c r="J9"/>
  <c r="K9"/>
  <c r="L9"/>
  <c r="M9"/>
  <c r="N9"/>
  <c r="O9"/>
  <c r="P9"/>
  <c r="Q9"/>
  <c r="R9"/>
  <c r="S9"/>
  <c r="T9"/>
  <c r="H10"/>
  <c r="I10"/>
  <c r="J10"/>
  <c r="K10"/>
  <c r="L10"/>
  <c r="M10"/>
  <c r="N10"/>
  <c r="O10"/>
  <c r="P10"/>
  <c r="Q10"/>
  <c r="R10"/>
  <c r="S10"/>
  <c r="T10"/>
  <c r="H11"/>
  <c r="I11"/>
  <c r="J11"/>
  <c r="K11"/>
  <c r="L11"/>
  <c r="M11"/>
  <c r="N11"/>
  <c r="O11"/>
  <c r="P11"/>
  <c r="Q11"/>
  <c r="R11"/>
  <c r="S11"/>
  <c r="T11"/>
  <c r="H12"/>
  <c r="I12"/>
  <c r="J12"/>
  <c r="K12"/>
  <c r="L12"/>
  <c r="M12"/>
  <c r="N12"/>
  <c r="O12"/>
  <c r="P12"/>
  <c r="Q12"/>
  <c r="R12"/>
  <c r="S12"/>
  <c r="T12"/>
  <c r="H13"/>
  <c r="I13"/>
  <c r="J13"/>
  <c r="K13"/>
  <c r="L13"/>
  <c r="M13"/>
  <c r="N13"/>
  <c r="O13"/>
  <c r="P13"/>
  <c r="Q13"/>
  <c r="R13"/>
  <c r="S13"/>
  <c r="T13"/>
  <c r="G7"/>
  <c r="G8"/>
  <c r="G9"/>
  <c r="G10"/>
  <c r="G11"/>
  <c r="G12"/>
  <c r="G13"/>
  <c r="F7"/>
  <c r="F8"/>
  <c r="F9"/>
  <c r="F10"/>
  <c r="F11"/>
  <c r="F12"/>
  <c r="F13"/>
  <c r="F14"/>
  <c r="E7"/>
  <c r="E8"/>
  <c r="E9"/>
  <c r="E10"/>
  <c r="E11"/>
  <c r="E12"/>
  <c r="E13"/>
  <c r="D7"/>
  <c r="D8"/>
  <c r="D9"/>
  <c r="D10"/>
  <c r="D11"/>
  <c r="D12"/>
  <c r="D13"/>
  <c r="D22"/>
  <c r="D23"/>
  <c r="D24"/>
  <c r="D25"/>
  <c r="C7"/>
  <c r="C8"/>
  <c r="C9"/>
  <c r="C10"/>
  <c r="C11"/>
  <c r="C12"/>
  <c r="C13"/>
  <c r="C14"/>
  <c r="B7"/>
  <c r="B8"/>
  <c r="B9"/>
  <c r="B10"/>
  <c r="B11"/>
  <c r="B12"/>
  <c r="B13"/>
  <c r="Z6"/>
  <c r="W6"/>
  <c r="X6"/>
  <c r="G6"/>
  <c r="H6"/>
  <c r="I6"/>
  <c r="J6"/>
  <c r="K6"/>
  <c r="L6"/>
  <c r="M6"/>
  <c r="M56" s="1"/>
  <c r="N6"/>
  <c r="O6"/>
  <c r="O56" s="1"/>
  <c r="P6"/>
  <c r="Q6"/>
  <c r="Q56" s="1"/>
  <c r="R6"/>
  <c r="S6"/>
  <c r="S56" s="1"/>
  <c r="T6"/>
  <c r="F6"/>
  <c r="E6"/>
  <c r="B6"/>
  <c r="C6"/>
  <c r="A7"/>
  <c r="A8"/>
  <c r="A9"/>
  <c r="A10"/>
  <c r="A11"/>
  <c r="A12"/>
  <c r="A13"/>
  <c r="A31"/>
  <c r="A32"/>
  <c r="A33"/>
  <c r="A34"/>
  <c r="A6"/>
  <c r="V6"/>
  <c r="V56" s="1"/>
  <c r="X56"/>
  <c r="T56"/>
  <c r="R56"/>
  <c r="P56"/>
  <c r="N56"/>
  <c r="L56"/>
  <c r="I56"/>
  <c r="U55"/>
  <c r="Y55" s="1"/>
  <c r="U54"/>
  <c r="Y54" s="1"/>
  <c r="U53"/>
  <c r="Y53" s="1"/>
  <c r="U52"/>
  <c r="Y52" s="1"/>
  <c r="U51"/>
  <c r="Y51" s="1"/>
  <c r="U50"/>
  <c r="Y50" s="1"/>
  <c r="U49"/>
  <c r="Y49" s="1"/>
  <c r="U48"/>
  <c r="Y48" s="1"/>
  <c r="U47"/>
  <c r="Y47" s="1"/>
  <c r="U46"/>
  <c r="Y46" s="1"/>
  <c r="U45"/>
  <c r="Y45" s="1"/>
  <c r="U44"/>
  <c r="Y44" s="1"/>
  <c r="U43"/>
  <c r="Y43" s="1"/>
  <c r="U42"/>
  <c r="Y42" s="1"/>
  <c r="U41"/>
  <c r="Y41" s="1"/>
  <c r="U40"/>
  <c r="Y40" s="1"/>
  <c r="U39"/>
  <c r="U38"/>
  <c r="Y38" s="1"/>
  <c r="U37"/>
  <c r="Y37" s="1"/>
  <c r="U36"/>
  <c r="Y36" s="1"/>
  <c r="U35"/>
  <c r="Y35" s="1"/>
  <c r="U34"/>
  <c r="Y34" s="1"/>
  <c r="U33"/>
  <c r="Y33" s="1"/>
  <c r="U32"/>
  <c r="Y32" s="1"/>
  <c r="U31"/>
  <c r="Y31" s="1"/>
  <c r="U30"/>
  <c r="Y30" s="1"/>
  <c r="U29"/>
  <c r="Y29" s="1"/>
  <c r="U28"/>
  <c r="Y28" s="1"/>
  <c r="U27"/>
  <c r="Y27" s="1"/>
  <c r="U26"/>
  <c r="Y26" s="1"/>
  <c r="U25"/>
  <c r="Y25" s="1"/>
  <c r="U24"/>
  <c r="Y24" s="1"/>
  <c r="U23"/>
  <c r="Y23" s="1"/>
  <c r="U13"/>
  <c r="Y13" s="1"/>
  <c r="U11"/>
  <c r="Y11" s="1"/>
  <c r="U9"/>
  <c r="Y9" s="1"/>
  <c r="U8"/>
  <c r="Y8" s="1"/>
  <c r="U7"/>
  <c r="Y7" s="1"/>
  <c r="Y5"/>
  <c r="U5"/>
  <c r="X228" i="11"/>
  <c r="T228"/>
  <c r="S228"/>
  <c r="R228"/>
  <c r="Q228"/>
  <c r="P228"/>
  <c r="O228"/>
  <c r="N228"/>
  <c r="M228"/>
  <c r="L228"/>
  <c r="K228"/>
  <c r="J228"/>
  <c r="I228"/>
  <c r="H228"/>
  <c r="U226"/>
  <c r="Y226" s="1"/>
  <c r="U225"/>
  <c r="Y225" s="1"/>
  <c r="U224"/>
  <c r="Y224" s="1"/>
  <c r="U223"/>
  <c r="Y223" s="1"/>
  <c r="U222"/>
  <c r="Y222" s="1"/>
  <c r="U221"/>
  <c r="Y221" s="1"/>
  <c r="U220"/>
  <c r="Y220" s="1"/>
  <c r="U219"/>
  <c r="Y219" s="1"/>
  <c r="U218"/>
  <c r="Y218" s="1"/>
  <c r="U217"/>
  <c r="Y217" s="1"/>
  <c r="J216"/>
  <c r="U216" s="1"/>
  <c r="Y216" s="1"/>
  <c r="U215"/>
  <c r="Y215" s="1"/>
  <c r="U214"/>
  <c r="Y214" s="1"/>
  <c r="V213"/>
  <c r="U213"/>
  <c r="U212"/>
  <c r="Y212" s="1"/>
  <c r="U211"/>
  <c r="Y211" s="1"/>
  <c r="V210"/>
  <c r="U210"/>
  <c r="U209"/>
  <c r="Y209" s="1"/>
  <c r="H208"/>
  <c r="U208" s="1"/>
  <c r="Y208" s="1"/>
  <c r="U207"/>
  <c r="Y207" s="1"/>
  <c r="V206"/>
  <c r="U206"/>
  <c r="U205"/>
  <c r="Y205" s="1"/>
  <c r="U204"/>
  <c r="Y204" s="1"/>
  <c r="U203"/>
  <c r="Y203" s="1"/>
  <c r="U202"/>
  <c r="Y202" s="1"/>
  <c r="U201"/>
  <c r="Y201" s="1"/>
  <c r="U200"/>
  <c r="Y200" s="1"/>
  <c r="U199"/>
  <c r="Y199" s="1"/>
  <c r="U198"/>
  <c r="Y198" s="1"/>
  <c r="U197"/>
  <c r="Y197" s="1"/>
  <c r="U196"/>
  <c r="Y196" s="1"/>
  <c r="V195"/>
  <c r="V228" s="1"/>
  <c r="U195"/>
  <c r="U194"/>
  <c r="Y194" s="1"/>
  <c r="U193"/>
  <c r="Y193" s="1"/>
  <c r="U192"/>
  <c r="Y192" s="1"/>
  <c r="U191"/>
  <c r="Y191" s="1"/>
  <c r="U190"/>
  <c r="Y190" s="1"/>
  <c r="U189"/>
  <c r="Y189" s="1"/>
  <c r="U188"/>
  <c r="Y188" s="1"/>
  <c r="U187"/>
  <c r="Y187" s="1"/>
  <c r="U186"/>
  <c r="Y186" s="1"/>
  <c r="U185"/>
  <c r="Y185" s="1"/>
  <c r="U184"/>
  <c r="Y184" s="1"/>
  <c r="U183"/>
  <c r="Y183" s="1"/>
  <c r="U182"/>
  <c r="Y182" s="1"/>
  <c r="U181"/>
  <c r="Y181" s="1"/>
  <c r="U180"/>
  <c r="Y180" s="1"/>
  <c r="U179"/>
  <c r="Y179" s="1"/>
  <c r="U178"/>
  <c r="Y178" s="1"/>
  <c r="U177"/>
  <c r="Y177" s="1"/>
  <c r="U176"/>
  <c r="Y176" s="1"/>
  <c r="U175"/>
  <c r="Y175" s="1"/>
  <c r="X174"/>
  <c r="T174"/>
  <c r="S174"/>
  <c r="R174"/>
  <c r="Q174"/>
  <c r="P174"/>
  <c r="O174"/>
  <c r="N174"/>
  <c r="M174"/>
  <c r="L174"/>
  <c r="K174"/>
  <c r="J174"/>
  <c r="I174"/>
  <c r="U173"/>
  <c r="Y173" s="1"/>
  <c r="U172"/>
  <c r="Y172" s="1"/>
  <c r="U171"/>
  <c r="Y171" s="1"/>
  <c r="U170"/>
  <c r="Y170" s="1"/>
  <c r="V169"/>
  <c r="U169"/>
  <c r="U168"/>
  <c r="Y168" s="1"/>
  <c r="U167"/>
  <c r="Y167" s="1"/>
  <c r="U166"/>
  <c r="Y166" s="1"/>
  <c r="U165"/>
  <c r="Y165" s="1"/>
  <c r="U164"/>
  <c r="Y164" s="1"/>
  <c r="U163"/>
  <c r="Y163" s="1"/>
  <c r="U162"/>
  <c r="Y162" s="1"/>
  <c r="U161"/>
  <c r="Y161" s="1"/>
  <c r="U160"/>
  <c r="Y160" s="1"/>
  <c r="U159"/>
  <c r="Y159" s="1"/>
  <c r="V158"/>
  <c r="U158"/>
  <c r="Y158" s="1"/>
  <c r="V157"/>
  <c r="U157"/>
  <c r="Y157" s="1"/>
  <c r="U156"/>
  <c r="Y156" s="1"/>
  <c r="U155"/>
  <c r="Y155" s="1"/>
  <c r="U154"/>
  <c r="Y154" s="1"/>
  <c r="U153"/>
  <c r="Y153" s="1"/>
  <c r="U152"/>
  <c r="Y152" s="1"/>
  <c r="U151"/>
  <c r="Y151" s="1"/>
  <c r="U150"/>
  <c r="Y150" s="1"/>
  <c r="H149"/>
  <c r="V148"/>
  <c r="H148"/>
  <c r="U148" s="1"/>
  <c r="Y148" s="1"/>
  <c r="U147"/>
  <c r="Y147" s="1"/>
  <c r="U146"/>
  <c r="Y146" s="1"/>
  <c r="U145"/>
  <c r="Y145" s="1"/>
  <c r="U144"/>
  <c r="Y144" s="1"/>
  <c r="U143"/>
  <c r="Y143" s="1"/>
  <c r="U142"/>
  <c r="Y142" s="1"/>
  <c r="U141"/>
  <c r="Y141" s="1"/>
  <c r="U140"/>
  <c r="Y140" s="1"/>
  <c r="U139"/>
  <c r="Y139" s="1"/>
  <c r="X138"/>
  <c r="T138"/>
  <c r="S138"/>
  <c r="R138"/>
  <c r="Q138"/>
  <c r="P138"/>
  <c r="O138"/>
  <c r="N138"/>
  <c r="M138"/>
  <c r="L138"/>
  <c r="J138"/>
  <c r="I138"/>
  <c r="U137"/>
  <c r="Y137" s="1"/>
  <c r="U136"/>
  <c r="Y136" s="1"/>
  <c r="U135"/>
  <c r="Y135" s="1"/>
  <c r="V134"/>
  <c r="U134"/>
  <c r="Y134" s="1"/>
  <c r="V133"/>
  <c r="U133"/>
  <c r="Y133" s="1"/>
  <c r="U132"/>
  <c r="Y132" s="1"/>
  <c r="V131"/>
  <c r="U131"/>
  <c r="U130"/>
  <c r="Y130" s="1"/>
  <c r="U129"/>
  <c r="Y129" s="1"/>
  <c r="U128"/>
  <c r="Y128" s="1"/>
  <c r="U127"/>
  <c r="Y127" s="1"/>
  <c r="U126"/>
  <c r="Y126" s="1"/>
  <c r="U125"/>
  <c r="Y125" s="1"/>
  <c r="U124"/>
  <c r="Y124" s="1"/>
  <c r="U123"/>
  <c r="Y123" s="1"/>
  <c r="U122"/>
  <c r="Y122" s="1"/>
  <c r="U121"/>
  <c r="Y121" s="1"/>
  <c r="V120"/>
  <c r="U120"/>
  <c r="U119"/>
  <c r="Y119" s="1"/>
  <c r="U118"/>
  <c r="Y118" s="1"/>
  <c r="U117"/>
  <c r="Y117" s="1"/>
  <c r="U116"/>
  <c r="Y116" s="1"/>
  <c r="U115"/>
  <c r="Y115" s="1"/>
  <c r="U114"/>
  <c r="Y114" s="1"/>
  <c r="V113"/>
  <c r="U113"/>
  <c r="V112"/>
  <c r="H112"/>
  <c r="U112" s="1"/>
  <c r="U111"/>
  <c r="Y111" s="1"/>
  <c r="U110"/>
  <c r="Y110" s="1"/>
  <c r="V109"/>
  <c r="V138" s="1"/>
  <c r="H109"/>
  <c r="K109" s="1"/>
  <c r="K138" s="1"/>
  <c r="U108"/>
  <c r="Y108" s="1"/>
  <c r="X107"/>
  <c r="T107"/>
  <c r="S107"/>
  <c r="R107"/>
  <c r="Q107"/>
  <c r="P107"/>
  <c r="O107"/>
  <c r="N107"/>
  <c r="M107"/>
  <c r="L107"/>
  <c r="K107"/>
  <c r="J107"/>
  <c r="I107"/>
  <c r="H107"/>
  <c r="V106"/>
  <c r="U106"/>
  <c r="Y106" s="1"/>
  <c r="V105"/>
  <c r="U105"/>
  <c r="Y105" s="1"/>
  <c r="V104"/>
  <c r="U104"/>
  <c r="Y104" s="1"/>
  <c r="U103"/>
  <c r="Y103" s="1"/>
  <c r="V102"/>
  <c r="U102"/>
  <c r="U101"/>
  <c r="Y101" s="1"/>
  <c r="V99"/>
  <c r="U99"/>
  <c r="Y99" s="1"/>
  <c r="U98"/>
  <c r="Y98" s="1"/>
  <c r="U97"/>
  <c r="Y97" s="1"/>
  <c r="V96"/>
  <c r="U96"/>
  <c r="Y96" s="1"/>
  <c r="U95"/>
  <c r="Y95" s="1"/>
  <c r="V94"/>
  <c r="U94"/>
  <c r="V93"/>
  <c r="U93"/>
  <c r="U92"/>
  <c r="Y92" s="1"/>
  <c r="U91"/>
  <c r="Y91" s="1"/>
  <c r="U90"/>
  <c r="Y90" s="1"/>
  <c r="U89"/>
  <c r="Y89" s="1"/>
  <c r="V88"/>
  <c r="U88"/>
  <c r="U87"/>
  <c r="Y87" s="1"/>
  <c r="U86"/>
  <c r="Y86" s="1"/>
  <c r="U85"/>
  <c r="Y85" s="1"/>
  <c r="U84"/>
  <c r="Y84" s="1"/>
  <c r="U83"/>
  <c r="Y83" s="1"/>
  <c r="U82"/>
  <c r="Y82" s="1"/>
  <c r="U81"/>
  <c r="Y81" s="1"/>
  <c r="U80"/>
  <c r="Y80" s="1"/>
  <c r="V78"/>
  <c r="Y78" s="1"/>
  <c r="U77"/>
  <c r="Y77" s="1"/>
  <c r="U76"/>
  <c r="Y76" s="1"/>
  <c r="U75"/>
  <c r="Y75" s="1"/>
  <c r="U74"/>
  <c r="Y74" s="1"/>
  <c r="V73"/>
  <c r="U73"/>
  <c r="Y73" s="1"/>
  <c r="U72"/>
  <c r="Y72" s="1"/>
  <c r="U71"/>
  <c r="Y71" s="1"/>
  <c r="U70"/>
  <c r="Y70" s="1"/>
  <c r="U69"/>
  <c r="Y69" s="1"/>
  <c r="X68"/>
  <c r="T68"/>
  <c r="S68"/>
  <c r="R68"/>
  <c r="Q68"/>
  <c r="P68"/>
  <c r="O68"/>
  <c r="N68"/>
  <c r="M68"/>
  <c r="L68"/>
  <c r="K68"/>
  <c r="J68"/>
  <c r="I68"/>
  <c r="H68"/>
  <c r="U67"/>
  <c r="Y67" s="1"/>
  <c r="V66"/>
  <c r="U66"/>
  <c r="U65"/>
  <c r="Y65" s="1"/>
  <c r="U64"/>
  <c r="Y64" s="1"/>
  <c r="U63"/>
  <c r="Y63" s="1"/>
  <c r="U62"/>
  <c r="Y62" s="1"/>
  <c r="U61"/>
  <c r="Y61" s="1"/>
  <c r="U60"/>
  <c r="Y60" s="1"/>
  <c r="V59"/>
  <c r="U59"/>
  <c r="U58"/>
  <c r="Y58" s="1"/>
  <c r="U57"/>
  <c r="Y57" s="1"/>
  <c r="V56"/>
  <c r="U56"/>
  <c r="U55"/>
  <c r="Y55" s="1"/>
  <c r="U54"/>
  <c r="Y54" s="1"/>
  <c r="V53"/>
  <c r="V68" s="1"/>
  <c r="U53"/>
  <c r="U52"/>
  <c r="Y52" s="1"/>
  <c r="U51"/>
  <c r="Y51" s="1"/>
  <c r="X50"/>
  <c r="T50"/>
  <c r="S50"/>
  <c r="R50"/>
  <c r="Q50"/>
  <c r="P50"/>
  <c r="O50"/>
  <c r="N50"/>
  <c r="M50"/>
  <c r="L50"/>
  <c r="I50"/>
  <c r="H50"/>
  <c r="U49"/>
  <c r="Y49" s="1"/>
  <c r="U48"/>
  <c r="Y48" s="1"/>
  <c r="U47"/>
  <c r="Y47" s="1"/>
  <c r="U46"/>
  <c r="Y46" s="1"/>
  <c r="U45"/>
  <c r="Y45" s="1"/>
  <c r="U44"/>
  <c r="Y44" s="1"/>
  <c r="U43"/>
  <c r="Y43" s="1"/>
  <c r="U42"/>
  <c r="Y42" s="1"/>
  <c r="U41"/>
  <c r="Y41" s="1"/>
  <c r="V40"/>
  <c r="V40" i="1" s="1"/>
  <c r="U40" i="11"/>
  <c r="U39"/>
  <c r="Y39" s="1"/>
  <c r="U38"/>
  <c r="Y38" s="1"/>
  <c r="V37"/>
  <c r="V37" i="1" s="1"/>
  <c r="U37" i="11"/>
  <c r="V36"/>
  <c r="V36" i="1" s="1"/>
  <c r="U36" i="11"/>
  <c r="U35"/>
  <c r="Y35" s="1"/>
  <c r="V34"/>
  <c r="V34" i="1" s="1"/>
  <c r="U34" i="11"/>
  <c r="Y34" s="1"/>
  <c r="V33"/>
  <c r="V33" i="1" s="1"/>
  <c r="U33" i="11"/>
  <c r="Y33" s="1"/>
  <c r="U32"/>
  <c r="Y32" s="1"/>
  <c r="U31"/>
  <c r="Y31" s="1"/>
  <c r="U30"/>
  <c r="Y30" s="1"/>
  <c r="U29"/>
  <c r="Y29" s="1"/>
  <c r="U28"/>
  <c r="Y28" s="1"/>
  <c r="V27"/>
  <c r="V27" i="1" s="1"/>
  <c r="U27" i="11"/>
  <c r="U26"/>
  <c r="Y26" s="1"/>
  <c r="J25"/>
  <c r="J50" s="1"/>
  <c r="V24"/>
  <c r="V24" i="1" s="1"/>
  <c r="K24" i="11"/>
  <c r="K50" s="1"/>
  <c r="U23"/>
  <c r="Y23" s="1"/>
  <c r="U22"/>
  <c r="Y22" s="1"/>
  <c r="U21"/>
  <c r="Y21" s="1"/>
  <c r="V19"/>
  <c r="V19" i="1" s="1"/>
  <c r="U19" i="11"/>
  <c r="U18"/>
  <c r="Y18" s="1"/>
  <c r="U17"/>
  <c r="Y17" s="1"/>
  <c r="U16"/>
  <c r="Y16" s="1"/>
  <c r="U15"/>
  <c r="Y15" s="1"/>
  <c r="V14"/>
  <c r="V14" i="1" s="1"/>
  <c r="U14" i="11"/>
  <c r="U13"/>
  <c r="Y13" s="1"/>
  <c r="U12"/>
  <c r="Y12" s="1"/>
  <c r="U10"/>
  <c r="Y10" s="1"/>
  <c r="V9"/>
  <c r="V9" i="1" s="1"/>
  <c r="U9" i="11"/>
  <c r="Y9" s="1"/>
  <c r="V8"/>
  <c r="V8" i="1" s="1"/>
  <c r="U8" i="11"/>
  <c r="Y8" s="1"/>
  <c r="U7"/>
  <c r="Y7" s="1"/>
  <c r="V6"/>
  <c r="V6" i="1" s="1"/>
  <c r="U6" i="11"/>
  <c r="U5"/>
  <c r="Y5" s="1"/>
  <c r="U12" i="12" l="1"/>
  <c r="Y12" s="1"/>
  <c r="U6"/>
  <c r="U10"/>
  <c r="Y10" s="1"/>
  <c r="J56"/>
  <c r="Y53" i="11"/>
  <c r="Y56"/>
  <c r="Y59"/>
  <c r="Y66"/>
  <c r="V107"/>
  <c r="Y195"/>
  <c r="Y169"/>
  <c r="Y210"/>
  <c r="Y27"/>
  <c r="Y36"/>
  <c r="Y37"/>
  <c r="Y40"/>
  <c r="Y213"/>
  <c r="Y6"/>
  <c r="Y14"/>
  <c r="Y19"/>
  <c r="Y88"/>
  <c r="Y93"/>
  <c r="Y94"/>
  <c r="Y102"/>
  <c r="Y112"/>
  <c r="Y113"/>
  <c r="Y120"/>
  <c r="Y131"/>
  <c r="Y206"/>
  <c r="V50"/>
  <c r="U107"/>
  <c r="Y107" s="1"/>
  <c r="V174"/>
  <c r="H56" i="12"/>
  <c r="U68" i="11"/>
  <c r="Y68" s="1"/>
  <c r="K56" i="12"/>
  <c r="U56"/>
  <c r="Y6"/>
  <c r="Y56" s="1"/>
  <c r="U228" i="11"/>
  <c r="Y228" s="1"/>
  <c r="U24"/>
  <c r="Y24" s="1"/>
  <c r="U174"/>
  <c r="Y174" s="1"/>
  <c r="H174"/>
  <c r="U109"/>
  <c r="Y109" s="1"/>
  <c r="H138"/>
  <c r="U56" i="9"/>
  <c r="Y56" s="1"/>
  <c r="U55"/>
  <c r="Y55" s="1"/>
  <c r="U54"/>
  <c r="Y54" s="1"/>
  <c r="U53"/>
  <c r="Y53" s="1"/>
  <c r="U52"/>
  <c r="Y52" s="1"/>
  <c r="U51"/>
  <c r="Y51" s="1"/>
  <c r="U50"/>
  <c r="Y50" s="1"/>
  <c r="U50" i="11" l="1"/>
  <c r="Y50" s="1"/>
  <c r="U138"/>
  <c r="Y138" s="1"/>
  <c r="V30" i="6"/>
  <c r="V36" i="9"/>
  <c r="V35" i="8" l="1"/>
  <c r="V43"/>
  <c r="V42"/>
  <c r="V29" i="6" l="1"/>
  <c r="V6" i="7"/>
  <c r="V24" i="8" l="1"/>
  <c r="X56" i="1" l="1"/>
  <c r="V28" i="7"/>
  <c r="U44" i="10" l="1"/>
  <c r="Y44" s="1"/>
  <c r="U45"/>
  <c r="Y45" s="1"/>
  <c r="U46"/>
  <c r="Y46" s="1"/>
  <c r="U47"/>
  <c r="Y47" s="1"/>
  <c r="X48"/>
  <c r="T48"/>
  <c r="S48"/>
  <c r="R48"/>
  <c r="Q48"/>
  <c r="P48"/>
  <c r="O48"/>
  <c r="N48"/>
  <c r="M48"/>
  <c r="L48"/>
  <c r="K48"/>
  <c r="J48"/>
  <c r="I48"/>
  <c r="H48"/>
  <c r="V48"/>
  <c r="U5"/>
  <c r="Y5" s="1"/>
  <c r="J34" i="2"/>
  <c r="U34" s="1"/>
  <c r="Y34" s="1"/>
  <c r="Y33"/>
  <c r="U33"/>
  <c r="Y32"/>
  <c r="U32"/>
  <c r="U31"/>
  <c r="Y31" s="1"/>
  <c r="U30"/>
  <c r="Y30" s="1"/>
  <c r="Y48" i="10" l="1"/>
  <c r="U48"/>
  <c r="J46" i="9"/>
  <c r="V43" l="1"/>
  <c r="J58" l="1"/>
  <c r="V40" l="1"/>
  <c r="U39" l="1"/>
  <c r="Y39" s="1"/>
  <c r="U40"/>
  <c r="Y40" s="1"/>
  <c r="U41"/>
  <c r="Y41" s="1"/>
  <c r="U42"/>
  <c r="Y42" s="1"/>
  <c r="U43"/>
  <c r="Y43" s="1"/>
  <c r="U44"/>
  <c r="Y44" s="1"/>
  <c r="U45"/>
  <c r="Y45" s="1"/>
  <c r="U46"/>
  <c r="Y46" s="1"/>
  <c r="U36" l="1"/>
  <c r="Y36" s="1"/>
  <c r="H38"/>
  <c r="U29" i="2" l="1"/>
  <c r="Y29" s="1"/>
  <c r="U28"/>
  <c r="Y28" s="1"/>
  <c r="U27"/>
  <c r="Y27" s="1"/>
  <c r="U26"/>
  <c r="Y26" s="1"/>
  <c r="U25"/>
  <c r="Y25" s="1"/>
  <c r="U24"/>
  <c r="Y24" s="1"/>
  <c r="U23"/>
  <c r="Y23" s="1"/>
  <c r="U39" i="8" l="1"/>
  <c r="U6" i="9"/>
  <c r="Y6" s="1"/>
  <c r="U7"/>
  <c r="Y7" s="1"/>
  <c r="V14" i="8" l="1"/>
  <c r="V23" l="1"/>
  <c r="U32" i="9"/>
  <c r="Y32" s="1"/>
  <c r="U33"/>
  <c r="Y33" s="1"/>
  <c r="U34"/>
  <c r="Y34" s="1"/>
  <c r="U35"/>
  <c r="Y35" s="1"/>
  <c r="U37"/>
  <c r="Y37" s="1"/>
  <c r="U38"/>
  <c r="Y38" s="1"/>
  <c r="U47"/>
  <c r="Y47" s="1"/>
  <c r="H58"/>
  <c r="U29"/>
  <c r="Y29" s="1"/>
  <c r="V25"/>
  <c r="Y39" i="8" l="1"/>
  <c r="U21" i="9"/>
  <c r="Y21" s="1"/>
  <c r="V30" i="7" l="1"/>
  <c r="U22" i="2" l="1"/>
  <c r="Y22" s="1"/>
  <c r="U21"/>
  <c r="Y21" s="1"/>
  <c r="U10" i="9"/>
  <c r="Y10" s="1"/>
  <c r="U9"/>
  <c r="Y9" s="1"/>
  <c r="V17" i="7"/>
  <c r="X58" i="9" l="1"/>
  <c r="T58"/>
  <c r="S58"/>
  <c r="R58"/>
  <c r="Q58"/>
  <c r="P58"/>
  <c r="O58"/>
  <c r="N58"/>
  <c r="M58"/>
  <c r="L58"/>
  <c r="K58"/>
  <c r="I58"/>
  <c r="U49"/>
  <c r="Y49" s="1"/>
  <c r="U48"/>
  <c r="Y48" s="1"/>
  <c r="U31"/>
  <c r="Y31" s="1"/>
  <c r="U30"/>
  <c r="Y30" s="1"/>
  <c r="U28"/>
  <c r="Y28" s="1"/>
  <c r="U27"/>
  <c r="Y27" s="1"/>
  <c r="U26"/>
  <c r="Y26" s="1"/>
  <c r="U25"/>
  <c r="Y25" s="1"/>
  <c r="U24"/>
  <c r="Y24" s="1"/>
  <c r="U23"/>
  <c r="Y23" s="1"/>
  <c r="U22"/>
  <c r="Y22" s="1"/>
  <c r="U20"/>
  <c r="Y20" s="1"/>
  <c r="U19"/>
  <c r="Y19" s="1"/>
  <c r="U18"/>
  <c r="Y18" s="1"/>
  <c r="U17"/>
  <c r="Y17" s="1"/>
  <c r="U16"/>
  <c r="Y16" s="1"/>
  <c r="U15"/>
  <c r="Y15" s="1"/>
  <c r="V58"/>
  <c r="U14"/>
  <c r="Y14" s="1"/>
  <c r="U13"/>
  <c r="Y13" s="1"/>
  <c r="U12"/>
  <c r="Y12" s="1"/>
  <c r="U11"/>
  <c r="Y11" s="1"/>
  <c r="U8"/>
  <c r="Y8" s="1"/>
  <c r="U5"/>
  <c r="Y5" s="1"/>
  <c r="U36" i="8"/>
  <c r="Y36" s="1"/>
  <c r="U37"/>
  <c r="Y37" s="1"/>
  <c r="U38"/>
  <c r="Y38" s="1"/>
  <c r="U27"/>
  <c r="Y27" s="1"/>
  <c r="U28"/>
  <c r="Y28" s="1"/>
  <c r="U29"/>
  <c r="Y29" s="1"/>
  <c r="U30"/>
  <c r="Y30" s="1"/>
  <c r="U31"/>
  <c r="Y31" s="1"/>
  <c r="U32"/>
  <c r="U33"/>
  <c r="U20" i="2"/>
  <c r="Y20" s="1"/>
  <c r="U19"/>
  <c r="Y19" s="1"/>
  <c r="U18"/>
  <c r="Y18" s="1"/>
  <c r="U17"/>
  <c r="Y17" s="1"/>
  <c r="U16"/>
  <c r="Y16" s="1"/>
  <c r="V20" i="5"/>
  <c r="U19" i="8"/>
  <c r="Y19" s="1"/>
  <c r="U16"/>
  <c r="Y16" s="1"/>
  <c r="U16" i="7"/>
  <c r="U15"/>
  <c r="U58" i="9" l="1"/>
  <c r="Y58"/>
  <c r="H15" i="8"/>
  <c r="H14"/>
  <c r="U14" i="7"/>
  <c r="Y14" s="1"/>
  <c r="V42" i="6"/>
  <c r="U15" i="2"/>
  <c r="Y15" s="1"/>
  <c r="U6" i="8"/>
  <c r="Y6" s="1"/>
  <c r="U7"/>
  <c r="Y7" s="1"/>
  <c r="U8"/>
  <c r="Y8" s="1"/>
  <c r="U9"/>
  <c r="Y9" s="1"/>
  <c r="U10"/>
  <c r="Y10" s="1"/>
  <c r="U11"/>
  <c r="Y11" s="1"/>
  <c r="U12"/>
  <c r="Y12" s="1"/>
  <c r="U13"/>
  <c r="Y13" s="1"/>
  <c r="U14"/>
  <c r="Y14" s="1"/>
  <c r="Y15"/>
  <c r="U17"/>
  <c r="Y17" s="1"/>
  <c r="U18"/>
  <c r="Y18" s="1"/>
  <c r="U20"/>
  <c r="Y20" s="1"/>
  <c r="U21"/>
  <c r="Y21" s="1"/>
  <c r="U22"/>
  <c r="Y22" s="1"/>
  <c r="U23"/>
  <c r="Y23" s="1"/>
  <c r="U24"/>
  <c r="Y24" s="1"/>
  <c r="U25"/>
  <c r="Y25" s="1"/>
  <c r="U26"/>
  <c r="Y26" s="1"/>
  <c r="Y33"/>
  <c r="U34"/>
  <c r="Y34" s="1"/>
  <c r="U35"/>
  <c r="Y35" s="1"/>
  <c r="X40"/>
  <c r="T40"/>
  <c r="S40"/>
  <c r="R40"/>
  <c r="Q40"/>
  <c r="P40"/>
  <c r="O40"/>
  <c r="N40"/>
  <c r="M40"/>
  <c r="L40"/>
  <c r="J40"/>
  <c r="I40"/>
  <c r="V40"/>
  <c r="K40"/>
  <c r="U5"/>
  <c r="Y5" s="1"/>
  <c r="V31" i="7"/>
  <c r="V10"/>
  <c r="V35" i="6"/>
  <c r="U34" i="7"/>
  <c r="Y34" s="1"/>
  <c r="U33"/>
  <c r="Y33" s="1"/>
  <c r="U13" i="2"/>
  <c r="Y13" s="1"/>
  <c r="U12"/>
  <c r="Y12" s="1"/>
  <c r="H40" i="8" l="1"/>
  <c r="U11" i="7"/>
  <c r="Y11" s="1"/>
  <c r="V40" i="6"/>
  <c r="U40" i="8" l="1"/>
  <c r="Y40"/>
  <c r="U31" i="7"/>
  <c r="Y31" s="1"/>
  <c r="U32"/>
  <c r="Y32" s="1"/>
  <c r="U35"/>
  <c r="Y35" s="1"/>
  <c r="U10" i="2"/>
  <c r="Y10" s="1"/>
  <c r="U11"/>
  <c r="V13" i="5"/>
  <c r="U19" i="7"/>
  <c r="Y19" s="1"/>
  <c r="U20"/>
  <c r="Y20" s="1"/>
  <c r="U21"/>
  <c r="Y21" s="1"/>
  <c r="U22"/>
  <c r="Y22" s="1"/>
  <c r="U23"/>
  <c r="Y23" s="1"/>
  <c r="U24"/>
  <c r="Y24" s="1"/>
  <c r="U25"/>
  <c r="Y25" s="1"/>
  <c r="U26"/>
  <c r="Y26" s="1"/>
  <c r="U27"/>
  <c r="Y27" s="1"/>
  <c r="U28"/>
  <c r="Y28" s="1"/>
  <c r="U29"/>
  <c r="Y29" s="1"/>
  <c r="U30"/>
  <c r="Y30" s="1"/>
  <c r="U33" i="6"/>
  <c r="Y33" s="1"/>
  <c r="K24" i="1" l="1"/>
  <c r="H6" i="7"/>
  <c r="V9" l="1"/>
  <c r="H9"/>
  <c r="U13"/>
  <c r="Y13" s="1"/>
  <c r="U21" i="6" l="1"/>
  <c r="Y21" s="1"/>
  <c r="U7" i="7"/>
  <c r="Y7" s="1"/>
  <c r="U8"/>
  <c r="Y8" s="1"/>
  <c r="U9"/>
  <c r="Y9" s="1"/>
  <c r="U10"/>
  <c r="Y10" s="1"/>
  <c r="U12"/>
  <c r="Y12" s="1"/>
  <c r="Y15"/>
  <c r="Y16"/>
  <c r="U17"/>
  <c r="Y17" s="1"/>
  <c r="U18"/>
  <c r="Y18" s="1"/>
  <c r="K6"/>
  <c r="K37" s="1"/>
  <c r="X37"/>
  <c r="T37"/>
  <c r="S37"/>
  <c r="R37"/>
  <c r="Q37"/>
  <c r="P37"/>
  <c r="O37"/>
  <c r="N37"/>
  <c r="M37"/>
  <c r="L37"/>
  <c r="J37"/>
  <c r="I37"/>
  <c r="H37"/>
  <c r="U36"/>
  <c r="Y36" s="1"/>
  <c r="V37"/>
  <c r="U5"/>
  <c r="Y5" s="1"/>
  <c r="U6" l="1"/>
  <c r="U37" l="1"/>
  <c r="Y6"/>
  <c r="Y37" s="1"/>
  <c r="V7" i="5"/>
  <c r="V41" i="6"/>
  <c r="V38"/>
  <c r="V32"/>
  <c r="U30"/>
  <c r="Y30" s="1"/>
  <c r="U31"/>
  <c r="Y31" s="1"/>
  <c r="U32"/>
  <c r="Y32" s="1"/>
  <c r="U34"/>
  <c r="Y34" s="1"/>
  <c r="U35"/>
  <c r="Y35" s="1"/>
  <c r="Y36"/>
  <c r="U37"/>
  <c r="Y37" s="1"/>
  <c r="U38"/>
  <c r="Y38" s="1"/>
  <c r="U39"/>
  <c r="V9"/>
  <c r="U9" i="2" l="1"/>
  <c r="Y9" s="1"/>
  <c r="V24" i="6"/>
  <c r="U18" l="1"/>
  <c r="Y18" s="1"/>
  <c r="U19"/>
  <c r="Y19" s="1"/>
  <c r="U20"/>
  <c r="Y20" s="1"/>
  <c r="U22"/>
  <c r="Y22" s="1"/>
  <c r="U23"/>
  <c r="Y23" s="1"/>
  <c r="U24"/>
  <c r="Y24" s="1"/>
  <c r="U25"/>
  <c r="Y25" s="1"/>
  <c r="U26"/>
  <c r="Y26" s="1"/>
  <c r="U27"/>
  <c r="Y27" s="1"/>
  <c r="U28"/>
  <c r="Y28" s="1"/>
  <c r="U29"/>
  <c r="Y29" s="1"/>
  <c r="Y39"/>
  <c r="U40"/>
  <c r="Y40" s="1"/>
  <c r="U8" i="2"/>
  <c r="Y8" s="1"/>
  <c r="V14" i="6"/>
  <c r="Y15"/>
  <c r="U7" i="2"/>
  <c r="Y7" s="1"/>
  <c r="U6"/>
  <c r="Y6" s="1"/>
  <c r="U11" i="6" l="1"/>
  <c r="Y11" s="1"/>
  <c r="U7"/>
  <c r="U8"/>
  <c r="Y8" s="1"/>
  <c r="U9"/>
  <c r="Y9" s="1"/>
  <c r="U10"/>
  <c r="U12"/>
  <c r="Y12" s="1"/>
  <c r="U13"/>
  <c r="Y13" s="1"/>
  <c r="Y14"/>
  <c r="U16"/>
  <c r="Y16" s="1"/>
  <c r="U17"/>
  <c r="Y17" s="1"/>
  <c r="U41"/>
  <c r="Y7"/>
  <c r="Y10"/>
  <c r="X44"/>
  <c r="T44"/>
  <c r="S44"/>
  <c r="R44"/>
  <c r="Q44"/>
  <c r="P44"/>
  <c r="O44"/>
  <c r="N44"/>
  <c r="M44"/>
  <c r="L44"/>
  <c r="K44"/>
  <c r="J44"/>
  <c r="I44"/>
  <c r="H44"/>
  <c r="U42"/>
  <c r="Y42" s="1"/>
  <c r="V44"/>
  <c r="U6"/>
  <c r="U5"/>
  <c r="Y5" s="1"/>
  <c r="U17" i="5"/>
  <c r="Y17" s="1"/>
  <c r="U13"/>
  <c r="U11"/>
  <c r="U14"/>
  <c r="U15"/>
  <c r="U16"/>
  <c r="U18"/>
  <c r="U19"/>
  <c r="U20"/>
  <c r="U21"/>
  <c r="U44" i="6" l="1"/>
  <c r="Y6"/>
  <c r="Y44" s="1"/>
  <c r="U12" i="5"/>
  <c r="Y12" s="1"/>
  <c r="V10" l="1"/>
  <c r="U10"/>
  <c r="U22"/>
  <c r="Y22" s="1"/>
  <c r="U23"/>
  <c r="X24"/>
  <c r="T24"/>
  <c r="S24"/>
  <c r="R24"/>
  <c r="Q24"/>
  <c r="P24"/>
  <c r="O24"/>
  <c r="N24"/>
  <c r="M24"/>
  <c r="L24"/>
  <c r="K24"/>
  <c r="I24"/>
  <c r="H24"/>
  <c r="Y23"/>
  <c r="J24"/>
  <c r="Y21"/>
  <c r="Y20"/>
  <c r="Y19"/>
  <c r="Y18"/>
  <c r="Y16"/>
  <c r="V24"/>
  <c r="Y15"/>
  <c r="Y14"/>
  <c r="Y13"/>
  <c r="Y11"/>
  <c r="U9"/>
  <c r="Y9" s="1"/>
  <c r="U8"/>
  <c r="Y8" s="1"/>
  <c r="U7"/>
  <c r="Y7" s="1"/>
  <c r="U6"/>
  <c r="U5"/>
  <c r="Y5" s="1"/>
  <c r="U49" i="1"/>
  <c r="Y49" s="1"/>
  <c r="U42"/>
  <c r="Y42" s="1"/>
  <c r="U43"/>
  <c r="Y43" s="1"/>
  <c r="U44"/>
  <c r="Y44" s="1"/>
  <c r="U45"/>
  <c r="Y45" s="1"/>
  <c r="U46"/>
  <c r="Y46" s="1"/>
  <c r="U47"/>
  <c r="Y47" s="1"/>
  <c r="U48"/>
  <c r="Y48" s="1"/>
  <c r="Y10" i="5" l="1"/>
  <c r="U24"/>
  <c r="Y6"/>
  <c r="U41" i="1"/>
  <c r="Y41" s="1"/>
  <c r="U37"/>
  <c r="Y37" s="1"/>
  <c r="U38"/>
  <c r="Y38" s="1"/>
  <c r="U39"/>
  <c r="Y39" s="1"/>
  <c r="Y24" i="5" l="1"/>
  <c r="U31" i="1"/>
  <c r="Y31" s="1"/>
  <c r="U32"/>
  <c r="Y32" s="1"/>
  <c r="U33"/>
  <c r="Y33" s="1"/>
  <c r="U34"/>
  <c r="Y34" s="1"/>
  <c r="U35"/>
  <c r="Y35" s="1"/>
  <c r="U36"/>
  <c r="Y36" s="1"/>
  <c r="U5" i="2" l="1"/>
  <c r="Y5" s="1"/>
  <c r="U26" i="1" l="1"/>
  <c r="Y26" s="1"/>
  <c r="U27"/>
  <c r="Y27" s="1"/>
  <c r="U28"/>
  <c r="Y28" s="1"/>
  <c r="U29"/>
  <c r="Y29" s="1"/>
  <c r="U30"/>
  <c r="Y30" s="1"/>
  <c r="J25"/>
  <c r="U4" i="2" l="1"/>
  <c r="Y4" s="1"/>
  <c r="U3"/>
  <c r="Y3" s="1"/>
  <c r="U23" i="1" l="1"/>
  <c r="Y23" s="1"/>
  <c r="U24"/>
  <c r="Y24" s="1"/>
  <c r="Y25"/>
  <c r="Y20"/>
  <c r="I50"/>
  <c r="K50"/>
  <c r="L50"/>
  <c r="M50"/>
  <c r="N50"/>
  <c r="O50"/>
  <c r="P50"/>
  <c r="Q50"/>
  <c r="R50"/>
  <c r="S50"/>
  <c r="T50"/>
  <c r="V50"/>
  <c r="X50"/>
  <c r="H50"/>
  <c r="U40"/>
  <c r="Y40" s="1"/>
  <c r="U19"/>
  <c r="Y19" s="1"/>
  <c r="U10" l="1"/>
  <c r="Y10" s="1"/>
  <c r="U17" l="1"/>
  <c r="Y17" s="1"/>
  <c r="U18"/>
  <c r="Y18" s="1"/>
  <c r="U15"/>
  <c r="Y15" s="1"/>
  <c r="U21" l="1"/>
  <c r="Y21" s="1"/>
  <c r="U13"/>
  <c r="Y13" s="1"/>
  <c r="U12"/>
  <c r="Y12" s="1"/>
  <c r="U16"/>
  <c r="Y16" s="1"/>
  <c r="U22"/>
  <c r="Y22" s="1"/>
  <c r="U14" l="1"/>
  <c r="Y14" s="1"/>
  <c r="J50"/>
  <c r="Y11"/>
  <c r="U9"/>
  <c r="Y9" s="1"/>
  <c r="U8"/>
  <c r="Y8" s="1"/>
  <c r="U7"/>
  <c r="Y7" s="1"/>
  <c r="U6"/>
  <c r="U5"/>
  <c r="Y5" s="1"/>
  <c r="Y6" l="1"/>
  <c r="Y50" s="1"/>
  <c r="U50"/>
</calcChain>
</file>

<file path=xl/comments1.xml><?xml version="1.0" encoding="utf-8"?>
<comments xmlns="http://schemas.openxmlformats.org/spreadsheetml/2006/main">
  <authors>
    <author>Thanh An</author>
  </authors>
  <commentList>
    <comment ref="I13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Email Server: 2.160.000đ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Email Server: 1.200.000đ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3)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domain: 830.000đ</t>
        </r>
      </text>
    </comment>
    <comment ref="J26" authorId="0">
      <text>
        <r>
          <rPr>
            <b/>
            <sz val="9"/>
            <color indexed="81"/>
            <rFont val="Tahoma"/>
            <family val="2"/>
          </rPr>
          <t>Gói chuyên nghiệp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Email Server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44" authorId="0">
      <text>
        <r>
          <rPr>
            <sz val="9"/>
            <color indexed="81"/>
            <rFont val="Tahoma"/>
            <family val="2"/>
          </rPr>
          <t xml:space="preserve">Phương
</t>
        </r>
      </text>
    </comment>
    <comment ref="G47" authorId="0">
      <text>
        <r>
          <rPr>
            <b/>
            <sz val="9"/>
            <color indexed="81"/>
            <rFont val="Tahoma"/>
            <family val="2"/>
          </rPr>
          <t>Ngân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Yến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4)</t>
        </r>
      </text>
    </comment>
    <comment ref="G65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73" authorId="0">
      <text>
        <r>
          <rPr>
            <b/>
            <sz val="9"/>
            <color indexed="81"/>
            <rFont val="Tahoma"/>
            <family val="2"/>
          </rPr>
          <t>Quế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5)</t>
        </r>
      </text>
    </comment>
    <comment ref="G77" authorId="0">
      <text>
        <r>
          <rPr>
            <b/>
            <sz val="9"/>
            <color indexed="81"/>
            <rFont val="Tahoma"/>
            <family val="2"/>
          </rPr>
          <t>Niên 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>
      <text>
        <r>
          <rPr>
            <b/>
            <sz val="9"/>
            <color indexed="81"/>
            <rFont val="Tahoma"/>
            <family val="2"/>
          </rPr>
          <t>Email server: 1.200.000đ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2" authorId="0">
      <text>
        <r>
          <rPr>
            <b/>
            <sz val="9"/>
            <color indexed="81"/>
            <rFont val="Tahoma"/>
            <family val="2"/>
          </rPr>
          <t>Niên em</t>
        </r>
      </text>
    </comment>
    <comment ref="G88" authorId="0">
      <text>
        <r>
          <rPr>
            <b/>
            <sz val="9"/>
            <color indexed="81"/>
            <rFont val="Tahoma"/>
            <family val="2"/>
          </rPr>
          <t>Hạnh kd</t>
        </r>
      </text>
    </comment>
    <comment ref="J93" authorId="0">
      <text>
        <r>
          <rPr>
            <b/>
            <sz val="9"/>
            <color indexed="81"/>
            <rFont val="Tahoma"/>
            <family val="2"/>
          </rPr>
          <t>dung lượng 3GB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>
      <text>
        <r>
          <rPr>
            <b/>
            <sz val="9"/>
            <color indexed="81"/>
            <rFont val="Tahoma"/>
            <family val="2"/>
          </rPr>
          <t xml:space="preserve">Anh Khánh 20%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0" authorId="0">
      <text>
        <r>
          <rPr>
            <b/>
            <sz val="9"/>
            <color indexed="81"/>
            <rFont val="Tahoma"/>
            <family val="2"/>
          </rPr>
          <t>Tháng thứ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>
      <text>
        <r>
          <rPr>
            <b/>
            <sz val="9"/>
            <color indexed="81"/>
            <rFont val="Tahoma"/>
            <family val="2"/>
          </rPr>
          <t>Phương</t>
        </r>
      </text>
    </comment>
    <comment ref="G103" authorId="0">
      <text>
        <r>
          <rPr>
            <b/>
            <sz val="9"/>
            <color indexed="81"/>
            <rFont val="Tahoma"/>
            <family val="2"/>
          </rPr>
          <t>Niên 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6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6)</t>
        </r>
      </text>
    </comment>
    <comment ref="E117" authorId="0">
      <text>
        <r>
          <rPr>
            <b/>
            <sz val="9"/>
            <color indexed="81"/>
            <rFont val="Tahoma"/>
            <family val="2"/>
          </rPr>
          <t>Tháng thứ 2</t>
        </r>
      </text>
    </comment>
    <comment ref="G126" authorId="0">
      <text>
        <r>
          <rPr>
            <b/>
            <sz val="9"/>
            <color indexed="81"/>
            <rFont val="Tahoma"/>
            <family val="2"/>
          </rPr>
          <t>Kỳ kd</t>
        </r>
      </text>
    </comment>
    <comment ref="G133" authorId="0">
      <text>
        <r>
          <rPr>
            <b/>
            <sz val="9"/>
            <color indexed="81"/>
            <rFont val="Tahoma"/>
            <family val="2"/>
          </rPr>
          <t>Đạt đà nẵng</t>
        </r>
      </text>
    </comment>
    <comment ref="G135" authorId="0">
      <text>
        <r>
          <rPr>
            <b/>
            <sz val="9"/>
            <color indexed="81"/>
            <rFont val="Tahoma"/>
            <family val="2"/>
          </rPr>
          <t>Anh Khánh: 20%</t>
        </r>
      </text>
    </comment>
    <comment ref="G146" authorId="0">
      <text>
        <r>
          <rPr>
            <b/>
            <sz val="9"/>
            <color indexed="81"/>
            <rFont val="Tahoma"/>
            <family val="2"/>
          </rPr>
          <t>Niên Em</t>
        </r>
      </text>
    </comment>
    <comment ref="G151" authorId="0">
      <text>
        <r>
          <rPr>
            <b/>
            <sz val="9"/>
            <color indexed="81"/>
            <rFont val="Tahoma"/>
            <family val="2"/>
          </rPr>
          <t xml:space="preserve">Yến
</t>
        </r>
      </text>
    </comment>
    <comment ref="G152" authorId="0">
      <text>
        <r>
          <rPr>
            <b/>
            <sz val="9"/>
            <color indexed="81"/>
            <rFont val="Tahoma"/>
            <family val="2"/>
          </rPr>
          <t xml:space="preserve">Kỳ kd
</t>
        </r>
      </text>
    </comment>
    <comment ref="G158" authorId="0">
      <text>
        <r>
          <rPr>
            <b/>
            <sz val="9"/>
            <color indexed="81"/>
            <rFont val="Tahoma"/>
            <family val="2"/>
          </rPr>
          <t>A.Huy KL</t>
        </r>
      </text>
    </comment>
    <comment ref="G169" authorId="0">
      <text>
        <r>
          <rPr>
            <b/>
            <sz val="9"/>
            <color indexed="81"/>
            <rFont val="Tahoma"/>
            <family val="2"/>
          </rPr>
          <t>Khánh</t>
        </r>
      </text>
    </comment>
    <comment ref="J181" authorId="0">
      <text>
        <r>
          <rPr>
            <b/>
            <sz val="9"/>
            <color indexed="81"/>
            <rFont val="Tahoma"/>
            <family val="2"/>
          </rPr>
          <t>Email: CP 1.920.000đ</t>
        </r>
      </text>
    </comment>
    <comment ref="G190" authorId="0">
      <text>
        <r>
          <rPr>
            <b/>
            <sz val="9"/>
            <color indexed="81"/>
            <rFont val="Tahoma"/>
            <family val="2"/>
          </rPr>
          <t>a.Huy</t>
        </r>
      </text>
    </comment>
    <comment ref="F191" authorId="0">
      <text>
        <r>
          <rPr>
            <b/>
            <sz val="9"/>
            <color indexed="81"/>
            <rFont val="Tahoma"/>
            <family val="2"/>
          </rPr>
          <t xml:space="preserve">không tính doanh số, hoa hồng 30%/số tiền thực thanh toán
</t>
        </r>
      </text>
    </comment>
    <comment ref="K191" authorId="0">
      <text>
        <r>
          <rPr>
            <b/>
            <sz val="9"/>
            <color indexed="81"/>
            <rFont val="Tahoma"/>
            <family val="2"/>
          </rPr>
          <t>Thuê chỗ đặt bảng tên</t>
        </r>
      </text>
    </comment>
    <comment ref="E193" authorId="0">
      <text>
        <r>
          <rPr>
            <b/>
            <sz val="9"/>
            <color indexed="81"/>
            <rFont val="Tahoma"/>
            <family val="2"/>
          </rPr>
          <t xml:space="preserve">Chi hoa hồng 15%
</t>
        </r>
      </text>
    </comment>
    <comment ref="E194" authorId="0">
      <text>
        <r>
          <rPr>
            <b/>
            <sz val="9"/>
            <color indexed="81"/>
            <rFont val="Tahoma"/>
            <family val="2"/>
          </rPr>
          <t>Chi hoa hồng 15%</t>
        </r>
      </text>
    </comment>
    <comment ref="G195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J197" authorId="0">
      <text>
        <r>
          <rPr>
            <b/>
            <sz val="9"/>
            <color indexed="81"/>
            <rFont val="Tahoma"/>
            <family val="2"/>
          </rPr>
          <t>CP đăng ký: 3.090.000đ</t>
        </r>
      </text>
    </comment>
    <comment ref="J198" authorId="0">
      <text>
        <r>
          <rPr>
            <b/>
            <sz val="9"/>
            <color indexed="81"/>
            <rFont val="Tahoma"/>
            <family val="2"/>
          </rPr>
          <t>CP đăng ký: 1.750.000đ</t>
        </r>
      </text>
    </comment>
    <comment ref="G201" authorId="0">
      <text>
        <r>
          <rPr>
            <b/>
            <sz val="9"/>
            <color indexed="81"/>
            <rFont val="Tahoma"/>
            <family val="2"/>
          </rPr>
          <t>Diễm Kiều</t>
        </r>
      </text>
    </comment>
    <comment ref="I202" authorId="0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G204" authorId="0">
      <text>
        <r>
          <rPr>
            <b/>
            <sz val="9"/>
            <color indexed="81"/>
            <rFont val="Tahoma"/>
            <family val="2"/>
          </rPr>
          <t>Niên</t>
        </r>
      </text>
    </comment>
    <comment ref="G205" authorId="0">
      <text>
        <r>
          <rPr>
            <b/>
            <sz val="9"/>
            <color indexed="81"/>
            <rFont val="Tahoma"/>
            <family val="2"/>
          </rPr>
          <t>Niên</t>
        </r>
      </text>
    </comment>
    <comment ref="G208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G212" authorId="0">
      <text>
        <r>
          <rPr>
            <b/>
            <sz val="9"/>
            <color indexed="81"/>
            <rFont val="Tahoma"/>
            <family val="2"/>
          </rPr>
          <t>Phương</t>
        </r>
      </text>
    </comment>
    <comment ref="T231" authorId="0">
      <text>
        <r>
          <rPr>
            <b/>
            <sz val="9"/>
            <color indexed="81"/>
            <rFont val="Tahoma"/>
            <family val="2"/>
          </rPr>
          <t xml:space="preserve">Tiền chênh lệch hóa đơn (Thuế TNDN 20%)
</t>
        </r>
      </text>
    </comment>
    <comment ref="G239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254" authorId="0">
      <text>
        <r>
          <rPr>
            <b/>
            <sz val="9"/>
            <color indexed="81"/>
            <rFont val="Tahoma"/>
            <family val="2"/>
          </rPr>
          <t>Bằng</t>
        </r>
      </text>
    </comment>
    <comment ref="G273" authorId="0">
      <text>
        <r>
          <rPr>
            <b/>
            <sz val="9"/>
            <color indexed="81"/>
            <rFont val="Tahoma"/>
            <family val="2"/>
          </rPr>
          <t>Yến</t>
        </r>
      </text>
    </comment>
    <comment ref="F278" authorId="0">
      <text>
        <r>
          <rPr>
            <b/>
            <sz val="9"/>
            <color indexed="81"/>
            <rFont val="Tahoma"/>
            <family val="2"/>
          </rPr>
          <t>3 năm</t>
        </r>
      </text>
    </comment>
    <comment ref="K289" authorId="0">
      <text>
        <r>
          <rPr>
            <b/>
            <sz val="9"/>
            <color indexed="81"/>
            <rFont val="Tahoma"/>
            <charset val="163"/>
          </rPr>
          <t xml:space="preserve">Đã trừ hoa hồng cho NVKD 50%
</t>
        </r>
      </text>
    </comment>
  </commentList>
</comments>
</file>

<file path=xl/comments2.xml><?xml version="1.0" encoding="utf-8"?>
<comments xmlns="http://schemas.openxmlformats.org/spreadsheetml/2006/main">
  <authors>
    <author>Thanh An</author>
  </authors>
  <commentList>
    <comment ref="I13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Email Server: 2.160.000đ</t>
        </r>
      </text>
    </comment>
    <comment ref="I14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Email Server: 1.200.000đ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3)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domain: 830.000đ</t>
        </r>
      </text>
    </comment>
    <comment ref="J26" authorId="0">
      <text>
        <r>
          <rPr>
            <b/>
            <sz val="9"/>
            <color indexed="81"/>
            <rFont val="Tahoma"/>
            <family val="2"/>
          </rPr>
          <t>Gói chuyên nghiệp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Email Server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44" authorId="0">
      <text>
        <r>
          <rPr>
            <sz val="9"/>
            <color indexed="81"/>
            <rFont val="Tahoma"/>
            <family val="2"/>
          </rPr>
          <t xml:space="preserve">Phương
</t>
        </r>
      </text>
    </comment>
    <comment ref="G47" authorId="0">
      <text>
        <r>
          <rPr>
            <b/>
            <sz val="9"/>
            <color indexed="81"/>
            <rFont val="Tahoma"/>
            <family val="2"/>
          </rPr>
          <t>Ngân</t>
        </r>
      </text>
    </comment>
  </commentList>
</comments>
</file>

<file path=xl/comments3.xml><?xml version="1.0" encoding="utf-8"?>
<comments xmlns="http://schemas.openxmlformats.org/spreadsheetml/2006/main">
  <authors>
    <author>Thanh An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Yến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4)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</commentList>
</comments>
</file>

<file path=xl/comments4.xml><?xml version="1.0" encoding="utf-8"?>
<comments xmlns="http://schemas.openxmlformats.org/spreadsheetml/2006/main">
  <authors>
    <author>Thanh An</author>
  </authors>
  <commentList>
    <comment ref="G9" authorId="0">
      <text>
        <r>
          <rPr>
            <b/>
            <sz val="9"/>
            <color indexed="81"/>
            <rFont val="Tahoma"/>
            <family val="2"/>
          </rPr>
          <t>Quế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5)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Niên 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Email server: 1.200.000đ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Niên em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Hạnh kd</t>
        </r>
      </text>
    </comment>
    <comment ref="J29" authorId="0">
      <text>
        <r>
          <rPr>
            <b/>
            <sz val="9"/>
            <color indexed="81"/>
            <rFont val="Tahoma"/>
            <family val="2"/>
          </rPr>
          <t>dung lượng 3GB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 xml:space="preserve">Anh Khánh 20%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Tháng thứ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Phương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Niên 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Thanh An</author>
  </authors>
  <commentList>
    <comment ref="E13" authorId="0">
      <text>
        <r>
          <rPr>
            <b/>
            <sz val="9"/>
            <color indexed="81"/>
            <rFont val="Tahoma"/>
            <family val="2"/>
          </rPr>
          <t>Thanh An:</t>
        </r>
        <r>
          <rPr>
            <sz val="9"/>
            <color indexed="81"/>
            <rFont val="Tahoma"/>
            <family val="2"/>
          </rPr>
          <t xml:space="preserve">
Theo hợp đồng 4/11/2014
(tháng thứ 6)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Tháng thứ 2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Kỳ kd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Đạt đà nẵng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Anh Khánh: 20%</t>
        </r>
      </text>
    </comment>
  </commentList>
</comments>
</file>

<file path=xl/comments6.xml><?xml version="1.0" encoding="utf-8"?>
<comments xmlns="http://schemas.openxmlformats.org/spreadsheetml/2006/main">
  <authors>
    <author>Thanh An</author>
  </authors>
  <commentList>
    <comment ref="G12" authorId="0">
      <text>
        <r>
          <rPr>
            <b/>
            <sz val="9"/>
            <color indexed="81"/>
            <rFont val="Tahoma"/>
            <family val="2"/>
          </rPr>
          <t>Niên Em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 xml:space="preserve">Yến
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 xml:space="preserve">Kỳ kd
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A.Huy KL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Khánh</t>
        </r>
      </text>
    </comment>
  </commentList>
</comments>
</file>

<file path=xl/comments7.xml><?xml version="1.0" encoding="utf-8"?>
<comments xmlns="http://schemas.openxmlformats.org/spreadsheetml/2006/main">
  <authors>
    <author>Thanh An</author>
  </authors>
  <commentList>
    <comment ref="J11" authorId="0">
      <text>
        <r>
          <rPr>
            <b/>
            <sz val="9"/>
            <color indexed="81"/>
            <rFont val="Tahoma"/>
            <family val="2"/>
          </rPr>
          <t>Email: CP 1.920.000đ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a.Huy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 xml:space="preserve">không tính doanh số, hoa hồng 30%/số tiền thực thanh toán
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Thuê chỗ đặt bảng tên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 xml:space="preserve">Chi hoa hồng 15%
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Chi hoa hồng 15%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J27" authorId="0">
      <text>
        <r>
          <rPr>
            <b/>
            <sz val="9"/>
            <color indexed="81"/>
            <rFont val="Tahoma"/>
            <family val="2"/>
          </rPr>
          <t>CP đăng ký: 3.090.000đ</t>
        </r>
      </text>
    </comment>
    <comment ref="J28" authorId="0">
      <text>
        <r>
          <rPr>
            <b/>
            <sz val="9"/>
            <color indexed="81"/>
            <rFont val="Tahoma"/>
            <family val="2"/>
          </rPr>
          <t>CP đăng ký: 1.750.000đ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Diễm Kiều</t>
        </r>
      </text>
    </comment>
    <comment ref="I32" authorId="0">
      <text>
        <r>
          <rPr>
            <b/>
            <sz val="9"/>
            <color indexed="81"/>
            <rFont val="Tahoma"/>
            <family val="2"/>
          </rPr>
          <t>Mail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Niên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Niên</t>
        </r>
      </text>
    </comment>
    <comment ref="G38" authorId="0">
      <text>
        <r>
          <rPr>
            <b/>
            <sz val="9"/>
            <color indexed="81"/>
            <rFont val="Tahoma"/>
            <family val="2"/>
          </rPr>
          <t>Đỗ Tuấn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Phương</t>
        </r>
      </text>
    </comment>
  </commentList>
</comments>
</file>

<file path=xl/comments8.xml><?xml version="1.0" encoding="utf-8"?>
<comments xmlns="http://schemas.openxmlformats.org/spreadsheetml/2006/main">
  <authors>
    <author>Thanh An</author>
  </authors>
  <commentList>
    <comment ref="G15" authorId="0">
      <text>
        <r>
          <rPr>
            <b/>
            <sz val="9"/>
            <color indexed="81"/>
            <rFont val="Tahoma"/>
            <family val="2"/>
          </rPr>
          <t>Quế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Bằng</t>
        </r>
      </text>
    </comment>
  </commentList>
</comments>
</file>

<file path=xl/comments9.xml><?xml version="1.0" encoding="utf-8"?>
<comments xmlns="http://schemas.openxmlformats.org/spreadsheetml/2006/main">
  <authors>
    <author>Thanh An</author>
  </authors>
  <commentList>
    <comment ref="E27" authorId="0">
      <text>
        <r>
          <rPr>
            <b/>
            <sz val="9"/>
            <color indexed="81"/>
            <rFont val="Tahoma"/>
            <family val="2"/>
          </rPr>
          <t xml:space="preserve">Chi hoa hồng 15%
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Chi hoa hồng 15%</t>
        </r>
      </text>
    </comment>
  </commentList>
</comments>
</file>

<file path=xl/comments10.xml><?xml version="1.0" encoding="utf-8"?>
<comments xmlns="http://schemas.openxmlformats.org/spreadsheetml/2006/main">
  <authors>
    <author>Thanh An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Yến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3 năm</t>
        </r>
      </text>
    </comment>
    <comment ref="K21" authorId="0">
      <text>
        <r>
          <rPr>
            <b/>
            <sz val="9"/>
            <color indexed="81"/>
            <rFont val="Tahoma"/>
            <charset val="163"/>
          </rPr>
          <t xml:space="preserve">Đã trừ hoa hồng cho NVKD 50%
</t>
        </r>
      </text>
    </comment>
  </commentList>
</comments>
</file>

<file path=xl/sharedStrings.xml><?xml version="1.0" encoding="utf-8"?>
<sst xmlns="http://schemas.openxmlformats.org/spreadsheetml/2006/main" count="3926" uniqueCount="1131">
  <si>
    <t>BẢNG THEO DÕI HỢP ĐỒNG KINH TẾ</t>
  </si>
  <si>
    <t>SỐ HỢP ĐỒNG</t>
  </si>
  <si>
    <t>NGÀY KÝ 
HĐỒNG</t>
  </si>
  <si>
    <t>TÊN KHÁCH HÀNG</t>
  </si>
  <si>
    <t>NỘI DUNG</t>
  </si>
  <si>
    <t>TÊN DOMAIN</t>
  </si>
  <si>
    <t>NVKD</t>
  </si>
  <si>
    <t>DOANH SỐ</t>
  </si>
  <si>
    <t>HOA HỒNG KH</t>
  </si>
  <si>
    <t>VAT</t>
  </si>
  <si>
    <t xml:space="preserve">TỔNG CỘNG </t>
  </si>
  <si>
    <t>THANH TOÁN</t>
  </si>
  <si>
    <t>NGÀY THANH TOÁN</t>
  </si>
  <si>
    <t>NGÀY XUẤT HĐƠN</t>
  </si>
  <si>
    <t>CÔNG NỢ</t>
  </si>
  <si>
    <t>GHI CHÚ</t>
  </si>
  <si>
    <t>THÔNG TIN LH</t>
  </si>
  <si>
    <t>DOMAIN</t>
  </si>
  <si>
    <t>CHI PHÍ TRIỂN KHAI</t>
  </si>
  <si>
    <t>HOSTING</t>
  </si>
  <si>
    <t>WEB</t>
  </si>
  <si>
    <t>LOGO, BANER</t>
  </si>
  <si>
    <t>ESELL</t>
  </si>
  <si>
    <t>CHỤP HÌNH</t>
  </si>
  <si>
    <t>CATALOGUE</t>
  </si>
  <si>
    <t>SEO TỪ KHÓA</t>
  </si>
  <si>
    <t>GOOGLE ADWORD</t>
  </si>
  <si>
    <t>PHẦN MỀM</t>
  </si>
  <si>
    <t>Tuyền</t>
  </si>
  <si>
    <t>26.12.14/DCV-TP</t>
  </si>
  <si>
    <t>CÔNG TY XÂY LẮP ĐiỆN HƯNG THỊNH PHÁT</t>
  </si>
  <si>
    <t>THÁNG 01</t>
  </si>
  <si>
    <t>NGÀY THU</t>
  </si>
  <si>
    <t>SỐ HD</t>
  </si>
  <si>
    <t>SỐ TIỀN</t>
  </si>
  <si>
    <t>https://adwords.google.com</t>
  </si>
  <si>
    <t>khanhnb.vpro@gmail.com / D3m30TroiDayS@o</t>
  </si>
  <si>
    <t>https://daily.pavietnam.vn/index.php</t>
  </si>
  <si>
    <t>khanhminh / Kl09Hv80</t>
  </si>
  <si>
    <t>NGUYỄN THỊ THÚY HÀ</t>
  </si>
  <si>
    <t>0902306373 </t>
  </si>
  <si>
    <t>decaldantuongbinbin.com</t>
  </si>
  <si>
    <t>202/2014/HDDV-SGUNI</t>
  </si>
  <si>
    <t>CÔNG TY CP HOÀN VŨ SÀI GÒN</t>
  </si>
  <si>
    <t>Nguyễn Thị Kim Phượng (848)35126252</t>
  </si>
  <si>
    <t>Thiết kế web, cài domain, duy trì hosting</t>
  </si>
  <si>
    <t>missuniversevietnam.com</t>
  </si>
  <si>
    <t>Oanh</t>
  </si>
  <si>
    <t>25.11.14/DCV-HV</t>
  </si>
  <si>
    <t>CÔNG TY THƯƠNG MẠI VÀ SẢN XUẤT HƯNG VIỆT</t>
  </si>
  <si>
    <t>0835888199</t>
  </si>
  <si>
    <t>Thiết kế web</t>
  </si>
  <si>
    <t>nuocmamhungviet.com.vn</t>
  </si>
  <si>
    <t>25/11/2014 Số 327</t>
  </si>
  <si>
    <t>nhakhoahoangbao.com.vn</t>
  </si>
  <si>
    <t>15.12.14/DCV-MB1</t>
  </si>
  <si>
    <t>CÔNG TY TNHH XNK VẬN TẢI MỘC BÌNH</t>
  </si>
  <si>
    <t>Trần Lê Ngọc Sang (08)62719926</t>
  </si>
  <si>
    <t>Hòa</t>
  </si>
  <si>
    <t>CÔNG TY TNHH KIWAMI VIỆT NAM</t>
  </si>
  <si>
    <t>Shoji Kajiwara 0919 370 505</t>
  </si>
  <si>
    <t>www.kiwamirestaurantsushi.info.vn</t>
  </si>
  <si>
    <t>THV</t>
  </si>
  <si>
    <t>05.01.15/HĐ-DCV</t>
  </si>
  <si>
    <t>AN ViỆT THÔN</t>
  </si>
  <si>
    <t>Quảng cáo từ khóa (nha hang nha trang)</t>
  </si>
  <si>
    <t>anvietthon.com</t>
  </si>
  <si>
    <t>xong</t>
  </si>
  <si>
    <t>29/12/2014 Số 361</t>
  </si>
  <si>
    <t>06/01/2014 Số 370 &amp; Số 371</t>
  </si>
  <si>
    <t>07.01.15/DCV-HV</t>
  </si>
  <si>
    <t>CÔNG TY TM &amp; SX HƯNG ViỆT</t>
  </si>
  <si>
    <t>Nguyễn Thiện Hoàng Vinh 0835888199</t>
  </si>
  <si>
    <t>07.01.15/DCV-TN</t>
  </si>
  <si>
    <t>CÔNG TY TNHH THIẾT BỊ Y TẾ TRƯỜNG NGUYỄN</t>
  </si>
  <si>
    <t>Nguyễn Viết Thịnh 0903652795</t>
  </si>
  <si>
    <t>truongnguyen.us</t>
  </si>
  <si>
    <t>07/01/2015 Số 372</t>
  </si>
  <si>
    <t>dung lượng 20GB</t>
  </si>
  <si>
    <t>hungthinhphatdnv.com</t>
  </si>
  <si>
    <t>CK</t>
  </si>
  <si>
    <t>DOANH NGHIỆP TƯ NHÂN VINH</t>
  </si>
  <si>
    <t>Trần Đăng Vinh 0583. 822 008</t>
  </si>
  <si>
    <t>dienlanhvinhnhatrang.com.vn</t>
  </si>
  <si>
    <t>08.01.2015/HĐ-DCV</t>
  </si>
  <si>
    <t>trungtammun.com
bacsitrimun.com.vn</t>
  </si>
  <si>
    <t>Đăng ký tên miền, duy trì năm 2016</t>
  </si>
  <si>
    <t>08.01.15/DCV-AT</t>
  </si>
  <si>
    <t>NGUYỄN DOÃN ANH TUẤN</t>
  </si>
  <si>
    <t>cucsoc365.com</t>
  </si>
  <si>
    <t>balogiatot.com</t>
  </si>
  <si>
    <t>Khánh</t>
  </si>
  <si>
    <t>TRẦN ĐÌNH MỸ</t>
  </si>
  <si>
    <t>CỰC SỐC 365</t>
  </si>
  <si>
    <t>cty</t>
  </si>
  <si>
    <t xml:space="preserve"> </t>
  </si>
  <si>
    <t>Gia hạn tên miền, hosting</t>
  </si>
  <si>
    <t>08.01.15/DCV-ST</t>
  </si>
  <si>
    <t>CÔNG TY CP THIẾT BỊ VĂN PHÒNG SIÊU THANH</t>
  </si>
  <si>
    <t>sieuthanhricoh.com.vn</t>
  </si>
  <si>
    <t>090 826 9888, anh Dang</t>
  </si>
  <si>
    <t>Đăng ký tên miền</t>
  </si>
  <si>
    <t>Tú</t>
  </si>
  <si>
    <t>NHA KHOA THẨM MỸ ĐẠI ViỆT</t>
  </si>
  <si>
    <t>Đào Xuân Thủy 0937 598 655</t>
  </si>
  <si>
    <t>nhakhoathammydaiviet.vn</t>
  </si>
  <si>
    <t>09.01.2015/HĐ-DCV</t>
  </si>
  <si>
    <t>TỔNG CỘNG</t>
  </si>
  <si>
    <t>Hủy</t>
  </si>
  <si>
    <t>Đăng ký tên mièn</t>
  </si>
  <si>
    <t>Gia hạn Email Server</t>
  </si>
  <si>
    <t>đã gia hạn</t>
  </si>
  <si>
    <t>đã đăng ký</t>
  </si>
  <si>
    <t>NHA KHOA HOÀNG BẢO</t>
  </si>
  <si>
    <t>CÔNG TY TNHH SX – TM HƯNG THỊNH KH</t>
  </si>
  <si>
    <t>Nguyễn Khánh Trang 0903 593 229</t>
  </si>
  <si>
    <t>hungthinhplastic.com.vn</t>
  </si>
  <si>
    <t>Tịnh NT</t>
  </si>
  <si>
    <t>NHA KHOA THẨM MĨ ĐẠI VIỆT</t>
  </si>
  <si>
    <t>Đào Xuân Thủy 0907686657</t>
  </si>
  <si>
    <t>www.nhakhoathammydaiviet.vn</t>
  </si>
  <si>
    <t>13.01.15/DCV-ĐD</t>
  </si>
  <si>
    <t>CÔNG TY CP CHỐNG THẤM ĐÔNG DƯƠNG</t>
  </si>
  <si>
    <t>Đỗ Thị Thu 0938565692</t>
  </si>
  <si>
    <t>tecnochem.vn</t>
  </si>
  <si>
    <t>Mỹ</t>
  </si>
  <si>
    <t>Thu 50%</t>
  </si>
  <si>
    <t>tranhdieukhac.com</t>
  </si>
  <si>
    <t>14.01.15/HĐ-ĐV</t>
  </si>
  <si>
    <t>GAM - HỘI AN</t>
  </si>
  <si>
    <t>Thuê hosting</t>
  </si>
  <si>
    <t>16.01.15/DCV-TV</t>
  </si>
  <si>
    <t>NƯỚC MẮM THUẬN ViỆT</t>
  </si>
  <si>
    <t>CÔNG TY TNHH MTV CO MÁT</t>
  </si>
  <si>
    <t>Gia hạn domain, hosting</t>
  </si>
  <si>
    <t>comatvietnam.vn</t>
  </si>
  <si>
    <t>nuocmamthuanviet.com</t>
  </si>
  <si>
    <t>Đoàn Đức Thạnh 0938 500 239</t>
  </si>
  <si>
    <t>Thiết kế web, cài domain, duy trì hosting, Thuê Email Server</t>
  </si>
  <si>
    <t>16/01/2015 Số 374, 375</t>
  </si>
  <si>
    <t>Táo</t>
  </si>
  <si>
    <t>Đã chuyển khoản ACB</t>
  </si>
  <si>
    <t>aobaba.vn</t>
  </si>
  <si>
    <t>Phụ lục HĐ 05.01.15/HĐ-DCV</t>
  </si>
  <si>
    <t>Nâng cấp web</t>
  </si>
  <si>
    <t>Email Server: Tính doanh số và hoa hồng trên phần tiền lời</t>
  </si>
  <si>
    <t>07/01/2015, 19/01/2015</t>
  </si>
  <si>
    <t>20.01.15/DCV-BHH</t>
  </si>
  <si>
    <t>CÔNG TY TNHH SX TM DV BẢY HỒNG HẠNH</t>
  </si>
  <si>
    <t>honghanh.com.vn</t>
  </si>
  <si>
    <t>Lê Công Vy</t>
  </si>
  <si>
    <t>21.01.15/DCV-VQ</t>
  </si>
  <si>
    <t>CÔNG TY TNHH TƯ VẤN THƯƠNG MẠI VINH QUANG</t>
  </si>
  <si>
    <t>Nguyễn Văn Đọt 0934507978</t>
  </si>
  <si>
    <t>giayphepkinhdoanh.net.vn</t>
  </si>
  <si>
    <t>tragovietnam.com</t>
  </si>
  <si>
    <t>21.01.15/DCV-DD1</t>
  </si>
  <si>
    <t>21.01.15/DCV-DD2</t>
  </si>
  <si>
    <t>dongduongtsc.com</t>
  </si>
  <si>
    <t>cendavi.com</t>
  </si>
  <si>
    <t>05/2015/HDDV-SGUNI</t>
  </si>
  <si>
    <t>Chuyển khoản ACB ngày 21/01/2015</t>
  </si>
  <si>
    <t>Chuyển khoản VCB anh Chương ngày 15/01/2015</t>
  </si>
  <si>
    <t>NGUYỄN THỊ THU HẰNG</t>
  </si>
  <si>
    <t xml:space="preserve">0982161316
</t>
  </si>
  <si>
    <t>Algervina.com</t>
  </si>
  <si>
    <t>22.01.15/DCV-NTV</t>
  </si>
  <si>
    <t>Văn Thị Như Thanh 0128 4684 108</t>
  </si>
  <si>
    <t>CÔNG TY TNHH XNK NiỀM TIN VIỆT</t>
  </si>
  <si>
    <t>Trần Hữu Hiền (848)38206086
Mr Thành (01629911057)</t>
  </si>
  <si>
    <t>26.01.15/DCV-AT</t>
  </si>
  <si>
    <t>XE BA GÁC NAM ĐỊNH</t>
  </si>
  <si>
    <t>Vũ Thanh Tùng 093 333 66 73</t>
  </si>
  <si>
    <t>xebagacnamdinh.com</t>
  </si>
  <si>
    <t>Phát sinh 83/2014/HDDV-SGUNI (T12/2014)</t>
  </si>
  <si>
    <t>diamondbaycity.com</t>
  </si>
  <si>
    <t>Phát sinh thiết kế web (vẽ bản đồ)</t>
  </si>
  <si>
    <t>28.01.15/DCV-HN</t>
  </si>
  <si>
    <t>28.01.15/DCV-HN1</t>
  </si>
  <si>
    <t>CÔNG TY TNHH MTV TM HÀ NHƯ</t>
  </si>
  <si>
    <t>Quản trị web</t>
  </si>
  <si>
    <t>28/01/2015 Số 378</t>
  </si>
  <si>
    <t>28.01.15/DCV-SC</t>
  </si>
  <si>
    <t>CÔNG TY TNHH THƯƠNG MẠI DỊCH VỤ XUẤT NHẬP KHẨU STAR CHIMACO</t>
  </si>
  <si>
    <t>Kim Thanh 0937691399</t>
  </si>
  <si>
    <t>starchimaco.com</t>
  </si>
  <si>
    <t>28/01/2014 Số 379</t>
  </si>
  <si>
    <t>truongthienphat.vn</t>
  </si>
  <si>
    <t>Nguyễn Thái Can Trường 0915 218 008</t>
  </si>
  <si>
    <t>24.01.2015/HĐ-DCV</t>
  </si>
  <si>
    <t>CTY TNHH QUẢNG CÁO TRƯỜNG THIÊN PHÁT</t>
  </si>
  <si>
    <t>Võ Tá Toàn (08)39718011</t>
  </si>
  <si>
    <t>ketnoitructuyen.com</t>
  </si>
  <si>
    <t>Thu 100%</t>
  </si>
  <si>
    <t>26.08.14/DCV-TN</t>
  </si>
  <si>
    <t>Thiết kế web, thuê hosting</t>
  </si>
  <si>
    <t>Đã chuyển khoản ACB ngày 29/01/2015</t>
  </si>
  <si>
    <t>28.01.15/DCV-LD</t>
  </si>
  <si>
    <t>NGUYỄN BẢO LÊ DUY</t>
  </si>
  <si>
    <t>metwasecret.com</t>
  </si>
  <si>
    <t>Thu 30%</t>
  </si>
  <si>
    <t>Ngôi Sao SG 15/11/2014</t>
  </si>
  <si>
    <t>c.Oanh</t>
  </si>
  <si>
    <t>CÔNG TY TNHH TM DV HOA HỒNG ĐỎ</t>
  </si>
  <si>
    <t>30.01.14/DCV-HHĐ</t>
  </si>
  <si>
    <t>Nguyễn Đình Kim Quyên 0838452555</t>
  </si>
  <si>
    <t>29.01.15/DCV-VV</t>
  </si>
  <si>
    <t>CÔNG TY TNHH VIVADENT</t>
  </si>
  <si>
    <t>Bùi Văn Hoan 0822416966</t>
  </si>
  <si>
    <t>redrosecompany.com</t>
  </si>
  <si>
    <t>CÔNG TY TNHH THƯƠNG MẠI DỊCH VỤ DU LỊCH PHÚC THẮNG</t>
  </si>
  <si>
    <t>Đỗ Thúy Hằng 0918 435 709</t>
  </si>
  <si>
    <t>vemaybayphucthang.com</t>
  </si>
  <si>
    <t>QUỐC SCAN</t>
  </si>
  <si>
    <t>Quảng cáo từ khóa (chup anh cuoi nha hang nha trang)</t>
  </si>
  <si>
    <t>31.01.15/DCV-SGT</t>
  </si>
  <si>
    <t>CÔNG TY TNHH ViỆT SÀI GÒN TOUR</t>
  </si>
  <si>
    <t>Nguyễn Kim Mỹ 0938301566</t>
  </si>
  <si>
    <t>vietsaigontour.com</t>
  </si>
  <si>
    <t>CÔNG TY TNHH CNI ViỆT NAM</t>
  </si>
  <si>
    <t>Nâng cấp hosting</t>
  </si>
  <si>
    <t>31.01.15/HĐ-DCV</t>
  </si>
  <si>
    <t>hoangquannhatrang.com.vn</t>
  </si>
  <si>
    <t>BẤT ĐỘNG SẢN HOÀNG QUÂN</t>
  </si>
  <si>
    <t>Thiết kế web, hosting</t>
  </si>
  <si>
    <t>đang triển khai</t>
  </si>
  <si>
    <t>X</t>
  </si>
  <si>
    <t>đaã gia hạn</t>
  </si>
  <si>
    <t>đa dăng ký</t>
  </si>
  <si>
    <t>đã dăng ký</t>
  </si>
  <si>
    <t>đã dđăng ký</t>
  </si>
  <si>
    <t>TRANH ĐIÊU KHẮC</t>
  </si>
  <si>
    <t>THÁNG 02</t>
  </si>
  <si>
    <t>CS Tháng 1/2015</t>
  </si>
  <si>
    <t>Đạt &gt;= 15tr</t>
  </si>
  <si>
    <t>Đạt &gt;= 20tr</t>
  </si>
  <si>
    <t>Thưởng 3tr</t>
  </si>
  <si>
    <t>Thưởng 4tr</t>
  </si>
  <si>
    <t>Anh Khánh</t>
  </si>
  <si>
    <t>Hoa hồng 30%</t>
  </si>
  <si>
    <t>29/01/2015 Số 381, 382</t>
  </si>
  <si>
    <t>29/01/2015 Số 383, 384</t>
  </si>
  <si>
    <t>31/01/2015 Số 386, 390</t>
  </si>
  <si>
    <t>31/01/2015 Số 388</t>
  </si>
  <si>
    <t>30/01/2015 Số 385</t>
  </si>
  <si>
    <t>31/01/2015 Số 387</t>
  </si>
  <si>
    <t>15.12.14/DCV-PĐ</t>
  </si>
  <si>
    <t>a.Khánh</t>
  </si>
  <si>
    <t>01.12.14/DCV-CW</t>
  </si>
  <si>
    <t>04.02.14/DCV-HPL</t>
  </si>
  <si>
    <t>Lý Thế Lộc (848)62892009</t>
  </si>
  <si>
    <t>12.12.14/DCV-MK</t>
  </si>
  <si>
    <t>17.09.14/DCV-CTP</t>
  </si>
  <si>
    <t>CÔNG TY THÉP XUÂN THANH</t>
  </si>
  <si>
    <t>Đăng ký tên miền 3 năm</t>
  </si>
  <si>
    <t>thepxuanthanh.net</t>
  </si>
  <si>
    <t xml:space="preserve">04/02/2015 Số 392 </t>
  </si>
  <si>
    <t>Mới xuất hóa đơn 1 năm (275.000đ)</t>
  </si>
  <si>
    <t>05.02.15/DCV-TNP</t>
  </si>
  <si>
    <t>CÔNG TY TNHH SX TM TRUNG NAM PHÁT</t>
  </si>
  <si>
    <t>Văn Thanh Trình 0909678055</t>
  </si>
  <si>
    <t>Đăng ký tên miền, hosring</t>
  </si>
  <si>
    <t>trungnamphat.com</t>
  </si>
  <si>
    <t>12.11.14/DCV-TAP1</t>
  </si>
  <si>
    <t>12.11.14/DCV-TAP2</t>
  </si>
  <si>
    <t>ĐiỆN MÁY HOÀNG PHÚ</t>
  </si>
  <si>
    <t>Thuê hosting gói 2GB</t>
  </si>
  <si>
    <t>Phần mềm Quản lý</t>
  </si>
  <si>
    <t>R</t>
  </si>
  <si>
    <t>CHI NV</t>
  </si>
  <si>
    <t>CHI C.OANH</t>
  </si>
  <si>
    <t>TỔNG CÔNG TY BẢO HiỂM BIDV</t>
  </si>
  <si>
    <t>Nguyễn Văn Hùng 0983 151 757</t>
  </si>
  <si>
    <t>Đã chuyển khoản lần 1 vào TK ACB</t>
  </si>
  <si>
    <t>CÔNG TY TNHH DV TM XNK HPL-VN</t>
  </si>
  <si>
    <t>Thu</t>
  </si>
  <si>
    <t>Phát sinh hđ 26.01.15/DCV-AT</t>
  </si>
  <si>
    <t>Phát sinh</t>
  </si>
  <si>
    <t>THỊ THU</t>
  </si>
  <si>
    <t>ANH TUÁN</t>
  </si>
  <si>
    <t>muasieunhanh.com</t>
  </si>
  <si>
    <t>09/02/2015 Số 393</t>
  </si>
  <si>
    <t xml:space="preserve">  </t>
  </si>
  <si>
    <t>CÔNG TY TNHH ACE INDUSTRIES</t>
  </si>
  <si>
    <t>aceind.com.vn</t>
  </si>
  <si>
    <t>10/02/2015 Số 394, 395</t>
  </si>
  <si>
    <t>24.10.14/DCV-NQB</t>
  </si>
  <si>
    <t>Cilfashion.com (T12)</t>
  </si>
  <si>
    <t>10.02.15/DCV-ACE</t>
  </si>
  <si>
    <t>30.08.14/DCV-AQ (trumdascan.com)</t>
  </si>
  <si>
    <t>LƯƠNG GIỮ LẠI</t>
  </si>
  <si>
    <t>12.02.15/DCV-MT</t>
  </si>
  <si>
    <t>vantaiminhtu.com</t>
  </si>
  <si>
    <t>12/02/2015 Số 396</t>
  </si>
  <si>
    <t>CÔNG TY TNHH TM DV VẬN TẢI MINH TÚ</t>
  </si>
  <si>
    <t>Lê Huy Tú 
0866813614</t>
  </si>
  <si>
    <t>25.02.15/DCV-NNY</t>
  </si>
  <si>
    <t>CÔNG TY TNHH TM-KT SONG HiỆP LỢI</t>
  </si>
  <si>
    <t>Nguyễn Ngọc Yến 0902090516</t>
  </si>
  <si>
    <t>THÁNG 03</t>
  </si>
  <si>
    <t>TRÀN ĐÌNH MỸ</t>
  </si>
  <si>
    <t>Thuê hosting gói 1.2GB</t>
  </si>
  <si>
    <t>Trừ vào lương T1 Trần Đình Mỹ</t>
  </si>
  <si>
    <t>02.03.15/DCV-DLV</t>
  </si>
  <si>
    <t>CÔNG TY TNHH MTV TM ĐỒNG LÚA VÀNG</t>
  </si>
  <si>
    <t>Nguyễn Thanh Liêm 0917794579</t>
  </si>
  <si>
    <t>khách có sẵn</t>
  </si>
  <si>
    <t>123chamsocda.com</t>
  </si>
  <si>
    <t>myphamdrssecrect.com</t>
  </si>
  <si>
    <t>NGÔ BẢO KHÁNH</t>
  </si>
  <si>
    <t>Gia hạn tên miền</t>
  </si>
  <si>
    <t>05.03.15/DCV-HB</t>
  </si>
  <si>
    <t>CÔNG TY TNHH DV VẬN TẢI HOÀNG BẢO</t>
  </si>
  <si>
    <t>Phạm Hồng Vân 0976309489</t>
  </si>
  <si>
    <t>dvvantaihoangbao.com</t>
  </si>
  <si>
    <t>Thiết kế web, cài domain, hosting</t>
  </si>
  <si>
    <t>Thay đổi từ khóa quảng cáo</t>
  </si>
  <si>
    <t>Phụ lục hợp đồng ngày 30/01/2015</t>
  </si>
  <si>
    <t>CÔNG TY TNHH MEDFATOP</t>
  </si>
  <si>
    <t>Phát sinh Tiếng Anh</t>
  </si>
  <si>
    <t xml:space="preserve">www.medfatop.com </t>
  </si>
  <si>
    <t>Phát sinh 18.11.14/DCV-ME</t>
  </si>
  <si>
    <t>10/03/2015 Số 398</t>
  </si>
  <si>
    <t>CÔNG TY TNHH XÂY DỰNG ĐẠT TIẾN PHÁT</t>
  </si>
  <si>
    <t>ytuongvang.net</t>
  </si>
  <si>
    <t>CÔNG TY TNHH PHÁT TRIỂN THƯƠNG HIỆU &amp; TRUYỀN THÔNG Ý VÀNG</t>
  </si>
  <si>
    <t>Đăng ký tên miền, nâng cấp hosting</t>
  </si>
  <si>
    <t>Chị Oanh: (ctv) 50%</t>
  </si>
  <si>
    <t>17.11.14/DCV-NVC</t>
  </si>
  <si>
    <t>14.08.14/DCV-KL</t>
  </si>
  <si>
    <t>11.03.15/DCV-YVA (ký lại hợp đồng 19.06.14/DCV-YVA)</t>
  </si>
  <si>
    <t>Phát sinh 11.03.15/DCV-YVA</t>
  </si>
  <si>
    <t>Thiết kế website</t>
  </si>
  <si>
    <t>www.goldideas.com.vn  www.yvang.net</t>
  </si>
  <si>
    <t>13.03.15/DCV-TR</t>
  </si>
  <si>
    <t>CÔNG TY TNHH TROY</t>
  </si>
  <si>
    <t>Thuê Email Server</t>
  </si>
  <si>
    <t>phutungotokimcuong.com, phuongdongdesign.com</t>
  </si>
  <si>
    <t>sapu.vn</t>
  </si>
  <si>
    <t>CÔNG TY TNHH TM SX XD SÀI GÒN AN PHÚ</t>
  </si>
  <si>
    <t>Lê Anh Chương 093.816.2822</t>
  </si>
  <si>
    <t>16.03.15/DCV-ATT</t>
  </si>
  <si>
    <t>CÔNG TY TNHH MTV TM DV KT XD &amp; PCCC AN TOÀN THẮNG</t>
  </si>
  <si>
    <t>Thạch Hiền 0937221671</t>
  </si>
  <si>
    <t>16.03.15/DCV-TĐ</t>
  </si>
  <si>
    <t>CÔNG TY TNHH CAO THÀNH ĐẠT</t>
  </si>
  <si>
    <t>Tạ Tương Bằng 0437894230</t>
  </si>
  <si>
    <t>Thiết kế web, tên miền, hosting</t>
  </si>
  <si>
    <t>14.03.15/DCV-DH</t>
  </si>
  <si>
    <t>CÔNG TY TNHH SX NỘI THẤT DƯƠNG HIL</t>
  </si>
  <si>
    <t>Đăng ký tên miền, thuê hosting</t>
  </si>
  <si>
    <t>noithatduonghil.com</t>
  </si>
  <si>
    <t>17.03.15/HĐ-DCV</t>
  </si>
  <si>
    <t>CÔNG TY THUẬN NGUYÊN</t>
  </si>
  <si>
    <t>thuannguyen.vn</t>
  </si>
  <si>
    <t>17.03.15/DCV-PTT</t>
  </si>
  <si>
    <t>CÔNG TY TNHH DĐẦU TƯ XNK PHÚC THANH TÂM</t>
  </si>
  <si>
    <t>Bùi Nguyên Thanh 0937911678</t>
  </si>
  <si>
    <t>phucthanhtam.com</t>
  </si>
  <si>
    <t>17/01/2015, 17/03/2015</t>
  </si>
  <si>
    <t>xaydungtoanthang.com</t>
  </si>
  <si>
    <t>Thiết kế web, domain, hosting</t>
  </si>
  <si>
    <t>Đã chuyển khoản ACB ngày 18/03/2015</t>
  </si>
  <si>
    <t>Phát sinh 10.02.15/DCV-ACE</t>
  </si>
  <si>
    <t>CÔNG TY TNHH YẾN SÀO SONG HƯNG</t>
  </si>
  <si>
    <t>yensaosonghung.vn</t>
  </si>
  <si>
    <t>Anh Thành 908757776
Chị Phương 0905520911</t>
  </si>
  <si>
    <t>CÔNG TY TNHH VIỆT SAIGON TOUR</t>
  </si>
  <si>
    <t>19.03.15/DCV-VTT</t>
  </si>
  <si>
    <t>VÕ TÁ THÀNH</t>
  </si>
  <si>
    <t>0972004182</t>
  </si>
  <si>
    <t>toolscom.vn</t>
  </si>
  <si>
    <t>SHOP THỜI TRANG</t>
  </si>
  <si>
    <t>Trần Ngọc Tuấn 0909.66.08.93</t>
  </si>
  <si>
    <t>20.03.15/DCV-DT</t>
  </si>
  <si>
    <t>HOÀNG DUY TUYÊN</t>
  </si>
  <si>
    <t>thanhlydovanphong.vn</t>
  </si>
  <si>
    <t>19.03.15/DCV-TNT</t>
  </si>
  <si>
    <t>Phụ lục hợp đồng 202/2014/HDDV-SGUNI</t>
  </si>
  <si>
    <t>20.03.15/DCV-BTV</t>
  </si>
  <si>
    <t xml:space="preserve">Trịnh Hùng Việt </t>
  </si>
  <si>
    <t>DNTN TM DV CÔNG NGHỆ BẦU TRỜI VIỆT</t>
  </si>
  <si>
    <t>thachphuongstone.com</t>
  </si>
  <si>
    <t>CÔNG TY THẠCH PHƯƠNG</t>
  </si>
  <si>
    <t>24.03.15/DCV-YS</t>
  </si>
  <si>
    <t>CÔNG TY TNHH DV BẢO VỆ NHẬT ViỆT YUKI SEPRE 24H</t>
  </si>
  <si>
    <t>Bùi Đức Hân 0822611811</t>
  </si>
  <si>
    <t>Thiết kế web, domain</t>
  </si>
  <si>
    <t>02/HĐ-DCV</t>
  </si>
  <si>
    <t>ĐẸP SPA</t>
  </si>
  <si>
    <t>depspa.com.vn</t>
  </si>
  <si>
    <t>Quảng cáo từ khóa (Hợp đồng 3 tháng)</t>
  </si>
  <si>
    <t>26.03.15/HĐ-DCV</t>
  </si>
  <si>
    <t>hurimex.com.vn</t>
  </si>
  <si>
    <t>26.03.15/DCV-VNC</t>
  </si>
  <si>
    <t>CÔNG TY TNHH VINACARAFT</t>
  </si>
  <si>
    <t>thucongvietnam.com</t>
  </si>
  <si>
    <t>Chuyển khoản ACB ngày 26/03/2015</t>
  </si>
  <si>
    <t xml:space="preserve">CÔNG TY TNHH MTV NAM HẢI MỸ </t>
  </si>
  <si>
    <t>goodlink.vn</t>
  </si>
  <si>
    <t>pebecream.com</t>
  </si>
  <si>
    <t>Đã chuyển khoản ACB ngày 05/01/2015 45% (11.969.550), đã chi hoa hồng lần 1: 2.970.000đ,</t>
  </si>
  <si>
    <t>PEBECREAM.COM</t>
  </si>
  <si>
    <t>31.03.15/DCV-LP</t>
  </si>
  <si>
    <t>CÔNG TY TNHH SX MAY MẶC LONG PHỤNG</t>
  </si>
  <si>
    <t>31.03.15/DCV-HDT</t>
  </si>
  <si>
    <t>HUỲNH ĐỨC TOÀN</t>
  </si>
  <si>
    <t>Thaykinhiphone.vn</t>
  </si>
  <si>
    <t>04/02/2015, 01/04/2015</t>
  </si>
  <si>
    <t>baoveyuki.com</t>
  </si>
  <si>
    <t>THÁNG 04</t>
  </si>
  <si>
    <t>02.04.15/DCV-LTH</t>
  </si>
  <si>
    <t>LÊ TRUNG HiẾU</t>
  </si>
  <si>
    <t>0925333358</t>
  </si>
  <si>
    <t>02/04/2015 Số 403</t>
  </si>
  <si>
    <t>31.03.15/DCV-NP</t>
  </si>
  <si>
    <t>CÔNG TY TNHH TM KiẾN TRÚC NAM PHÁT</t>
  </si>
  <si>
    <t>0976370210</t>
  </si>
  <si>
    <t>Thuê tên miền, hosting</t>
  </si>
  <si>
    <t>kientrucnoithatnamphat.com</t>
  </si>
  <si>
    <t>dienlanhhieulinh.com</t>
  </si>
  <si>
    <t>gotroy.vn</t>
  </si>
  <si>
    <t>xaydungdattienphat.com</t>
  </si>
  <si>
    <t>CÔNG TY TNHH MỘT THÀNH VIÊN THƯƠNG MẠI DỊCH VỤ ĐIỆN LẠNH HIẾU LINH</t>
  </si>
  <si>
    <t>16.03.15 /HĐ-DCV-HL</t>
  </si>
  <si>
    <t>04.04.15/HĐ-DCV</t>
  </si>
  <si>
    <t>chualongho.com</t>
  </si>
  <si>
    <t>CHÙA LONG HỔ</t>
  </si>
  <si>
    <t>13/01/2015, 08/04/2015</t>
  </si>
  <si>
    <t>31/03/2015 Số 402</t>
  </si>
  <si>
    <t>Đã chuyển khoản 50% ACB ngày 13/01/2015, Đã chuyển khoản ACB 03/04/2015</t>
  </si>
  <si>
    <t>07.04.15/DCV-QD</t>
  </si>
  <si>
    <t>CÔNG TY TNHH MTV VỆ SINH CÔNG NGHIỆP QUỲNH DUNG</t>
  </si>
  <si>
    <t>Nguyễn Thị Tuyết Dung 0905600539</t>
  </si>
  <si>
    <t>08.04.15/HĐ-DCV</t>
  </si>
  <si>
    <t>muatot24h.vn
muatot24h.com
muatot24h.net</t>
  </si>
  <si>
    <t>saigonstyler.vn
saigonstyler.net
saigonstyler.com.vn</t>
  </si>
  <si>
    <t>shopdochoinguoilon.vn</t>
  </si>
  <si>
    <t>namhaimy.com</t>
  </si>
  <si>
    <t>20.03.15/HĐ-DCV-MT</t>
  </si>
  <si>
    <t>MĨ TOÀN</t>
  </si>
  <si>
    <t xml:space="preserve">05113 705 279  </t>
  </si>
  <si>
    <r>
      <t>www.inbatdanang.com</t>
    </r>
    <r>
      <rPr>
        <sz val="9"/>
        <color theme="1"/>
        <rFont val="Verdana"/>
        <family val="2"/>
      </rPr>
      <t xml:space="preserve"> </t>
    </r>
  </si>
  <si>
    <t>20/03/2015</t>
  </si>
  <si>
    <t>ketnoitieudung.vn</t>
  </si>
  <si>
    <t>10.04.15/DCV-TU</t>
  </si>
  <si>
    <t>CÔNG TY TNHH THIẾT BỊ THIÊN UY</t>
  </si>
  <si>
    <t>Phạm Công Hiển 0989317282</t>
  </si>
  <si>
    <t>hungtamduong.com</t>
  </si>
  <si>
    <t xml:space="preserve">Thuê Email Server </t>
  </si>
  <si>
    <t>thienuycomp.com</t>
  </si>
  <si>
    <t>11.04.15/DCV-TT</t>
  </si>
  <si>
    <t>CÔNG TY TNHH TRANG THIẾT BỊ VÀ DỤNG CỤ ĐÁNH CÁ TÂN THÀNH</t>
  </si>
  <si>
    <t>Lê Văn Thành 0903802682</t>
  </si>
  <si>
    <t>11/04/2015 Số 404</t>
  </si>
  <si>
    <t>chophuyen.vn</t>
  </si>
  <si>
    <t>CHỢ PHÚ YÊN</t>
  </si>
  <si>
    <t>183/2014/HDDV-SGUNI</t>
  </si>
  <si>
    <t>TK MOBILE.VN</t>
  </si>
  <si>
    <t>Thuê hosting bán chuyên nghiệp</t>
  </si>
  <si>
    <t>tkmobile.com</t>
  </si>
  <si>
    <t>VUONGIAC.COM</t>
  </si>
  <si>
    <t>Đăng ký tên miền, hosting</t>
  </si>
  <si>
    <t>vuongiac.com</t>
  </si>
  <si>
    <t>HỦY</t>
  </si>
  <si>
    <t>CÔNG TY TNHH TM DV DU LỊCH VIỆT NAM TRAVEL SINCE 2000</t>
  </si>
  <si>
    <r>
      <t>vietnamtravelsince2000.com</t>
    </r>
    <r>
      <rPr>
        <sz val="13"/>
        <color theme="1"/>
        <rFont val="Times New Roman"/>
        <family val="1"/>
      </rPr>
      <t xml:space="preserve"> </t>
    </r>
  </si>
  <si>
    <t>10.10.14/DCV-SPF</t>
  </si>
  <si>
    <t>c.Đào</t>
  </si>
  <si>
    <t>Chi Hòa 230.000đ, chị Đào 91.000đ</t>
  </si>
  <si>
    <t>20.03.15/ HĐ-DCV</t>
  </si>
  <si>
    <t>Huỳnh Thanh Phương 0903648517</t>
  </si>
  <si>
    <t>15.04.15/DCV-VTT</t>
  </si>
  <si>
    <t>VÕ THỊ TRÚC</t>
  </si>
  <si>
    <t>0906356939</t>
  </si>
  <si>
    <t>maymacsongtruc.com</t>
  </si>
  <si>
    <t>NGUYỄN THANH TUẤN</t>
  </si>
  <si>
    <t>CHULUN.VN</t>
  </si>
  <si>
    <t>giagianghipack.com</t>
  </si>
  <si>
    <t>chulun.vn</t>
  </si>
  <si>
    <t>MỸ PHẨM THANH NGA</t>
  </si>
  <si>
    <t>Phát sinh chức năng</t>
  </si>
  <si>
    <t>myphamthanhnga.com</t>
  </si>
  <si>
    <t>CÔNG TY TNHH MTV TM XNK ViỆT THÀNH</t>
  </si>
  <si>
    <t>0937 601 881 anh Bình</t>
  </si>
  <si>
    <t>http://vt-foods.com/</t>
  </si>
  <si>
    <t>16.4.15/HĐ-DCV-DDP</t>
  </si>
  <si>
    <t>0937 520 725 Nguyễn Quốc Vương</t>
  </si>
  <si>
    <t>thoitrangaothunvh.net.</t>
  </si>
  <si>
    <t>17/04/2015 Số 410</t>
  </si>
  <si>
    <t>31/03/2015, 18/04/2015</t>
  </si>
  <si>
    <t>ANH KHÁNH</t>
  </si>
  <si>
    <t>tranchauloan.com
nhahangchauloan.com</t>
  </si>
  <si>
    <t xml:space="preserve">        </t>
  </si>
  <si>
    <t>Đã CK ACB ngày 20/04/2015</t>
  </si>
  <si>
    <t>22.04.15/DCV-HMB</t>
  </si>
  <si>
    <t>Phạm Thị Tuyết 0905960930</t>
  </si>
  <si>
    <t>hoamuongbien.com</t>
  </si>
  <si>
    <t>CÔNG TY TNHH MTV DL HOA  MUỐNG BIỂN</t>
  </si>
  <si>
    <t>Kỳ</t>
  </si>
  <si>
    <t>22.04.15/DCV-PMT</t>
  </si>
  <si>
    <t>CÔNG TY CP TƯ VẤN VÀ ĐÀO TẠO PMT</t>
  </si>
  <si>
    <t>Trần Duy Đạt 0914136799</t>
  </si>
  <si>
    <t>pmt.edu.vn</t>
  </si>
  <si>
    <t>22.04.15/DCV-DDT</t>
  </si>
  <si>
    <t>CTY HÓA CHẤT TOÀN THẮNG</t>
  </si>
  <si>
    <t>Đỗ Đức Trung 0902499377</t>
  </si>
  <si>
    <t>cungcaphoachat.com</t>
  </si>
  <si>
    <t>13/04/2015 Số 405</t>
  </si>
  <si>
    <t>CK ACB</t>
  </si>
  <si>
    <t>14/04/2015 Số 406</t>
  </si>
  <si>
    <t>14/04/2015 Số 407</t>
  </si>
  <si>
    <t>14/04/2015 Số 409</t>
  </si>
  <si>
    <t>tanviendongsteel.com</t>
  </si>
  <si>
    <t>TANVIENDONGSTEEL.COM</t>
  </si>
  <si>
    <t>Cty Đạt Tiến Phát (10/03)</t>
  </si>
  <si>
    <t>chi lương giữ lại cho Tuyền, 20% anh Niên</t>
  </si>
  <si>
    <t>Chi anh Khánh 20%</t>
  </si>
  <si>
    <t>27/03/2015, 25/04/2015</t>
  </si>
  <si>
    <t>07/04/20015</t>
  </si>
  <si>
    <t>Chưa thu lại tiền Tú Đà nẵng</t>
  </si>
  <si>
    <t>THÁNG 05</t>
  </si>
  <si>
    <t>CÔNG TY CỔ PHẦN ĐẦU TƯ TÀI CHÍNH THIÊN VIỆT</t>
  </si>
  <si>
    <t>05.05.15/DCV-TV</t>
  </si>
  <si>
    <t>Nguyễn Văn Kỳ Thành (84-8) 39939666</t>
  </si>
  <si>
    <t>Thuê Email Server (50 GB)</t>
  </si>
  <si>
    <t>NGUYỄN OANH SHOP</t>
  </si>
  <si>
    <t>nguyenoanhshop.com</t>
  </si>
  <si>
    <t>Chuyển khoản ACB</t>
  </si>
  <si>
    <r>
      <t>0913825789</t>
    </r>
    <r>
      <rPr>
        <sz val="10"/>
        <color rgb="FF0066FF"/>
        <rFont val="Tahoma"/>
        <family val="2"/>
      </rPr>
      <t>  </t>
    </r>
  </si>
  <si>
    <t>CTY HƯNG PHÁT NINH THUẬN</t>
  </si>
  <si>
    <t>thienvietfinance.com</t>
  </si>
  <si>
    <t>ANH TuẤN</t>
  </si>
  <si>
    <t>happybuy.vn</t>
  </si>
  <si>
    <t>03/04/2015, 08/05/2015</t>
  </si>
  <si>
    <t>CÔNG TY TNHH XNK NGÔI SAO SÀI GÒN</t>
  </si>
  <si>
    <t>Nguyễn Ngọc An 0938 997 588</t>
  </si>
  <si>
    <t>daotaoketoannhanh.com</t>
  </si>
  <si>
    <t>Gia hạn hosting 2 năm</t>
  </si>
  <si>
    <t>08/05/2015 Số 411</t>
  </si>
  <si>
    <t>HUYỆN ĐOÀN BÌNH CHÁNH</t>
  </si>
  <si>
    <t>tuoitrebinhchanh.org</t>
  </si>
  <si>
    <t>quynhdung.com</t>
  </si>
  <si>
    <t>QUỐC CAN (hợp đồng 3 tháng)</t>
  </si>
  <si>
    <t>11.05.15/DCV-CA</t>
  </si>
  <si>
    <t>CÔNG TY TNHH NÔNG NGHIỆP CHÂU AN</t>
  </si>
  <si>
    <t>Nguyễn Thanh Tuấn 0939280099</t>
  </si>
  <si>
    <t>11/05/2015 Số 414</t>
  </si>
  <si>
    <t>08/05/2015 Số 412, 413</t>
  </si>
  <si>
    <t>11.05.15/DCV-HTL</t>
  </si>
  <si>
    <t>CÔNG TY CP HƯNG THIÊN LỘC</t>
  </si>
  <si>
    <t>hungthienloc.com</t>
  </si>
  <si>
    <t>Thepthinhanphat.net</t>
  </si>
  <si>
    <t>thepthinhanphat.com</t>
  </si>
  <si>
    <t>Tên miền và host 3 năm</t>
  </si>
  <si>
    <t>CÔNG TY TNHH XNK TM THỊNH AN PHÁT</t>
  </si>
  <si>
    <t>Mr Thịnh: 0932 01 3333</t>
  </si>
  <si>
    <t>Làm xong mới thu tiền</t>
  </si>
  <si>
    <t>Thiết kế web, domain, hosting + GH 2 năm</t>
  </si>
  <si>
    <t>Thuê Email Server + GH 2 năm</t>
  </si>
  <si>
    <t>29/01/2015, 13/05/2015</t>
  </si>
  <si>
    <t>12/05/2015 Số 415</t>
  </si>
  <si>
    <t>12/05/2015 Số 416</t>
  </si>
  <si>
    <t>13/05/2015 Số 423, 424</t>
  </si>
  <si>
    <t>13/05/2015 Số 422</t>
  </si>
  <si>
    <t>13/05/2015 Số 418</t>
  </si>
  <si>
    <t>13/05/2015 Số 419</t>
  </si>
  <si>
    <t>13/05/2015 Số 421</t>
  </si>
  <si>
    <t>13.05.15/DCV-BT</t>
  </si>
  <si>
    <t xml:space="preserve">CÔNG TY TNHH NHỰA BÌNH TÂN </t>
  </si>
  <si>
    <t>Châu Văn Tám 0938227078</t>
  </si>
  <si>
    <t>13/05/2015 Số 425</t>
  </si>
  <si>
    <t>14.05.15/DCV-MT</t>
  </si>
  <si>
    <t>CÔNG TY TNHH TM DV TV XD MINH TÂM</t>
  </si>
  <si>
    <t>minhtam100.com</t>
  </si>
  <si>
    <t>Nguyễn Bích Thanh 0911411319</t>
  </si>
  <si>
    <t> CÔNG TY TNHH THƯƠNG MẠI DỊCH VỤ VÀ TRUYỀN THÔNG BTO</t>
  </si>
  <si>
    <t>Hosting</t>
  </si>
  <si>
    <t>Phan Thiết</t>
  </si>
  <si>
    <t>Trần Ngọc Bửu 0937689954</t>
  </si>
  <si>
    <t>CÔNG TY TNHH NHẤT NHẤT PHƯƠNG</t>
  </si>
  <si>
    <t>Nguyễn Thị Thanh Phượng 08.62836076</t>
  </si>
  <si>
    <t>gangtaynet.vn</t>
  </si>
  <si>
    <t>Thiết kế web, domain, hosting, module</t>
  </si>
  <si>
    <t>14.05.15 /HD-DCV-NNP</t>
  </si>
  <si>
    <t>pebecream T3</t>
  </si>
  <si>
    <t>caothanhdat.com</t>
  </si>
  <si>
    <t>CÔNG TY TNHH SẢN XUẤT THƯƠNG MẠI VẠN TÍN GIA</t>
  </si>
  <si>
    <t>Khổng Trí Nhân 0909316858</t>
  </si>
  <si>
    <t>vantingia.vn</t>
  </si>
  <si>
    <t>15.05.15/DCV-VTG</t>
  </si>
  <si>
    <t>hoàn tất</t>
  </si>
  <si>
    <t>bto.com.vn</t>
  </si>
  <si>
    <t>CÔNG TY TNHH SX TM DV VÂN VÂN KHÁNH</t>
  </si>
  <si>
    <t>19/05/2015 Số 426</t>
  </si>
  <si>
    <t>19.05.15/DCV-VK</t>
  </si>
  <si>
    <t>Đoàn Thanh Sang 08 22299433</t>
  </si>
  <si>
    <t>vanphongphamvankhanh</t>
  </si>
  <si>
    <t>02/03/2015, 09/04/2015, 20/04/2015</t>
  </si>
  <si>
    <t> trungvietco.com.vn</t>
  </si>
  <si>
    <t>Gia hạn hosting</t>
  </si>
  <si>
    <t>CTY  CỔ PHẨN THIẾT KẾ &amp; XÂY DỰNG TM &amp; DV TRUNG VIỆT</t>
  </si>
  <si>
    <t>Cty</t>
  </si>
  <si>
    <t>21.05.15/DCV-KN</t>
  </si>
  <si>
    <t>VÕ KIM NGÂN</t>
  </si>
  <si>
    <t>Võ Kim Ngân 0906024681</t>
  </si>
  <si>
    <t>dienthoaigovap.com</t>
  </si>
  <si>
    <t>21.05.15/DCV-TĐT</t>
  </si>
  <si>
    <t>CÔNG TY TNHH TM DV TÂM ĐỨC THỊNH</t>
  </si>
  <si>
    <t>Trần Thu Sương 0908670702</t>
  </si>
  <si>
    <t>tamducthinh.vn</t>
  </si>
  <si>
    <t>CÔNG TY KẾ TOÁN ĐỨC THÀNH</t>
  </si>
  <si>
    <t>0903880128 c.Huyền</t>
  </si>
  <si>
    <t>ketoanducthanh.com</t>
  </si>
  <si>
    <t>27/01/2015, 21/05/2015</t>
  </si>
  <si>
    <t>22.05.15/DCV-TDT</t>
  </si>
  <si>
    <t>0918002017</t>
  </si>
  <si>
    <t>nhipcaunghetinh.com</t>
  </si>
  <si>
    <t>nhatrangflower.net</t>
  </si>
  <si>
    <t>nuochoatinhyeu.info</t>
  </si>
  <si>
    <t>phamgiastone.vn</t>
  </si>
  <si>
    <t>locnuocmrvuong.com.vn</t>
  </si>
  <si>
    <t>NHATRANGFLOWER.NET</t>
  </si>
  <si>
    <t>NUOCHOATINHYEU.INFO</t>
  </si>
  <si>
    <t>PHAMGIASTONE.VN</t>
  </si>
  <si>
    <t>LOCNUOCMRVUONG.COM.VN</t>
  </si>
  <si>
    <t>25.05.15/DCV-QK</t>
  </si>
  <si>
    <t>CÔNG TY TNHH TM &amp; SX QUỐC KIM</t>
  </si>
  <si>
    <t>Nguyễn Quốc Cường 0683874468</t>
  </si>
  <si>
    <t>quockim.com</t>
  </si>
  <si>
    <t>906668084, 0932683194 (kim cúc kế toán)</t>
  </si>
  <si>
    <t>25/05/2015 Số 427</t>
  </si>
  <si>
    <t>26.05.15/DCV-NP</t>
  </si>
  <si>
    <t>ĐẶNG THỊ NGỌC PHƯƠNG</t>
  </si>
  <si>
    <t>0942331318</t>
  </si>
  <si>
    <t>xomkhoe.com</t>
  </si>
  <si>
    <t>27/05/2015 Số 428</t>
  </si>
  <si>
    <t>27.05.15/DCV-GD</t>
  </si>
  <si>
    <t>CÔNG TY CP LIÊN HiỆP GIÁO DỤC</t>
  </si>
  <si>
    <t>unitededu.com.vn</t>
  </si>
  <si>
    <t>dalattomato</t>
  </si>
  <si>
    <t>27.05.15/HĐ-DCV-TU</t>
  </si>
  <si>
    <t>Phạm Công hiển 0989 317 282</t>
  </si>
  <si>
    <t>Email Server.</t>
  </si>
  <si>
    <t>NGUYỄN NGỌC YẾN</t>
  </si>
  <si>
    <t>26.05.15/HD-DCV-NNY</t>
  </si>
  <si>
    <t>0902 090 516</t>
  </si>
  <si>
    <t>Thiết kế web, hoosting</t>
  </si>
  <si>
    <t>29/05/2015 Số 429</t>
  </si>
  <si>
    <t>28.05.15/DCV-GAUSS</t>
  </si>
  <si>
    <t>CTY TNHH TM DV XNK VÀ PHÂN PHỐI GAUSS</t>
  </si>
  <si>
    <t>THÁNG 06</t>
  </si>
  <si>
    <t>07.05.15/DCV-BC</t>
  </si>
  <si>
    <t>TRẦN ĐÌNH TUẤT</t>
  </si>
  <si>
    <t>10/04/2015, 02/06/2015</t>
  </si>
  <si>
    <t>04.06.15/DCV-BC</t>
  </si>
  <si>
    <t>TRUNG TÂM CÔNG TÁC XÃ HỘI TRẺ EM TP. HCM</t>
  </si>
  <si>
    <t>congtacxahoitreem.org</t>
  </si>
  <si>
    <t>04/06/2015 Số 430</t>
  </si>
  <si>
    <t>TỔNG HỘI TÊ RÊ XA MiỀN TRUNG</t>
  </si>
  <si>
    <t>terexamientrung.net</t>
  </si>
  <si>
    <t>Gia hạn hosting, tên miền</t>
  </si>
  <si>
    <t>05.06.15/DVC-HB</t>
  </si>
  <si>
    <t>05.06.15/DVC-HBG</t>
  </si>
  <si>
    <t>CÔNG TY TNHH MTV HAI BỐN GiỜ</t>
  </si>
  <si>
    <t>24hour.com.vn</t>
  </si>
  <si>
    <t>CÔNG TY CP KT CẦU ĐƯƠNG AN PHONG</t>
  </si>
  <si>
    <t>Gia hạn hoosting</t>
  </si>
  <si>
    <t>05/06/2015 Số 431</t>
  </si>
  <si>
    <t>05.06.15/DVC-HBB</t>
  </si>
  <si>
    <t>CÔNG TY TNHH HAI BỐN BẢY</t>
  </si>
  <si>
    <t>Đã tính vào lương Tháng 5</t>
  </si>
  <si>
    <t>Giá trị hợp đồng 1760.000, đã hủy</t>
  </si>
  <si>
    <t>Giá trị hđ 5.500.000, đã hủy</t>
  </si>
  <si>
    <t>Hđ 1.199.000đ-&gt; đã hủy</t>
  </si>
  <si>
    <t>Cuối tháng 6 thu chung với dvkt (Kỳ)</t>
  </si>
  <si>
    <t>CÔNG TY HƯNG PHÁT NINH THUẬN</t>
  </si>
  <si>
    <t>24/04/2015, 29/05/2015</t>
  </si>
  <si>
    <t>HĐ web ban đầu là 2tr, sau đó chỉ thiết kế layout nên chỉ thu 1tr</t>
  </si>
  <si>
    <t>Trả lương giữ lại</t>
  </si>
  <si>
    <t>duyhai.vn</t>
  </si>
  <si>
    <t>CTY TNHH DUY HẢI</t>
  </si>
  <si>
    <t>DNTN SX TM NGUYỄN QuỐC VƯƠNG</t>
  </si>
  <si>
    <t>25.12.14/DCV-DDC</t>
  </si>
  <si>
    <t>hogiasteel.com</t>
  </si>
  <si>
    <t>07/01/2015, 09/06/2015</t>
  </si>
  <si>
    <t>CTY HỒ GIA</t>
  </si>
  <si>
    <t>09/06/2015 Số 434</t>
  </si>
  <si>
    <t>CTY TNHH TƯ VẤN TM KHÁNH LINH</t>
  </si>
  <si>
    <t>Mail Server</t>
  </si>
  <si>
    <t>ketoanvn.com.vn</t>
  </si>
  <si>
    <t>CTY THANH NGA</t>
  </si>
  <si>
    <t>CTY MÃ VẠCH HOA SEN</t>
  </si>
  <si>
    <t>09.06.15/DCV-PM</t>
  </si>
  <si>
    <t>CTY TNHH SX TM BÌNH PHƯƠNG MINH</t>
  </si>
  <si>
    <t>10.06.15/DCV-KM</t>
  </si>
  <si>
    <t>CTY TNHH KUMO ViỆT NAM</t>
  </si>
  <si>
    <t>Quảng cáo GG Adwords 3 tháng</t>
  </si>
  <si>
    <t>10/06/2015 Số 435</t>
  </si>
  <si>
    <t>Chuyển khoản VCB anh Chương</t>
  </si>
  <si>
    <t>10.06.15/DCV-MTD</t>
  </si>
  <si>
    <t>CÔNG TY TNHH MATILDA</t>
  </si>
  <si>
    <t>matilda.com</t>
  </si>
  <si>
    <t>Hợp đồng thuê địa điểm</t>
  </si>
  <si>
    <t>NGUYỄN XUÂN TiẾN (Cty TNHH MTV Lapaz) hđ 3 năm</t>
  </si>
  <si>
    <t>0937 377 780</t>
  </si>
  <si>
    <t>Từ T6-T11/2015</t>
  </si>
  <si>
    <t>langchaiphuochai.com
xomkhoe.com
viettradewind.com</t>
  </si>
  <si>
    <t>15.06.15/DCV-TP</t>
  </si>
  <si>
    <t>CÔNG TY TNHH BÁN DẪN TIÊN PHONG</t>
  </si>
  <si>
    <t>Nguyễn Văn Thành 0904198638</t>
  </si>
  <si>
    <t>tienphongsomi.com</t>
  </si>
  <si>
    <t>11.06.15/DCV-KG</t>
  </si>
  <si>
    <t>CÔNG TY TNHH XÂY DỰNG PHÚ KiẾN GIA</t>
  </si>
  <si>
    <t>Trần Hải Đảo 0909793947</t>
  </si>
  <si>
    <t>phukiengia.com</t>
  </si>
  <si>
    <t>15/06/2015 Số 436</t>
  </si>
  <si>
    <t>15/06/2015 Số 437</t>
  </si>
  <si>
    <t>cantiendanh.com
canphuocbinh.com</t>
  </si>
  <si>
    <t>TRƯƠNG PHÚC</t>
  </si>
  <si>
    <t>15.06.15/DCV-TNP</t>
  </si>
  <si>
    <t>CÔNG TY TNHH XD TRẦN NAM PHÁT</t>
  </si>
  <si>
    <t>Trần Đức Hiển</t>
  </si>
  <si>
    <t>trannamphat.com</t>
  </si>
  <si>
    <t>Hosting chuyên nghiệp 2 năm
Hosting cá nhân ++ 1 năm</t>
  </si>
  <si>
    <t>ketnoitructuyen.com
thegioithang.vn</t>
  </si>
  <si>
    <t>15/06/2015 Số 438</t>
  </si>
  <si>
    <t>CÔNG TY TNHH BAO BÌ GiẤY GIA GIA NGHI</t>
  </si>
  <si>
    <t>Email server 1 năm</t>
  </si>
  <si>
    <t>giagianghipack</t>
  </si>
  <si>
    <t>15/06/2015 Số 439</t>
  </si>
  <si>
    <t>TRẦN THỊ HiỀN</t>
  </si>
  <si>
    <t>tuvannetviet.com</t>
  </si>
  <si>
    <t>0938253899</t>
  </si>
  <si>
    <t>Đã chuyển khoản ACB ngày 16/06/2015</t>
  </si>
  <si>
    <t>17.06.15/DCV-QK</t>
  </si>
  <si>
    <t>CÔNG TY TNHH ĐÀU TƯ PHÁT TRIỂN QUANG KHÔI</t>
  </si>
  <si>
    <t>Lê Thanh Cao 0933920101</t>
  </si>
  <si>
    <t>quangkhoisteel.com</t>
  </si>
  <si>
    <t>Quyên</t>
  </si>
  <si>
    <t> imusicvietnam.vn</t>
  </si>
  <si>
    <t>17.06.15/DCV-QV</t>
  </si>
  <si>
    <t>CÔNG TY TNHH MTV THƯƠNG MẠI QUYÊN VÕ</t>
  </si>
  <si>
    <t xml:space="preserve">Võ Kim Quyên </t>
  </si>
  <si>
    <t>18/06/2015 Số 440, 441</t>
  </si>
  <si>
    <t>18.06.15/DCV-DL</t>
  </si>
  <si>
    <t>CÔNG TY CP DL NĂM SAO-CN ĐẠI LÃNH</t>
  </si>
  <si>
    <t>dailanh.com.vn</t>
  </si>
  <si>
    <t>18/06/2015 Số 442</t>
  </si>
  <si>
    <t>CÔNG TY TNHH MTV VẠN HOA XUÂN</t>
  </si>
  <si>
    <t>18.06.15/DCV-AI</t>
  </si>
  <si>
    <t>vanhoaxuan.com</t>
  </si>
  <si>
    <t>Quang Khánh</t>
  </si>
  <si>
    <t>21/05/2015, 19/05/2015</t>
  </si>
  <si>
    <t>11/05/2015, 19/06/2015</t>
  </si>
  <si>
    <t>20.06.15/DCV-SR</t>
  </si>
  <si>
    <t>CÔNG TY TNHH MỸ PHẨM SURIN</t>
  </si>
  <si>
    <t>Hosting, mail server</t>
  </si>
  <si>
    <t>surinbeauty.com</t>
  </si>
  <si>
    <t>Bùi Thế An</t>
  </si>
  <si>
    <t>23.10.14/DCV-LQS</t>
  </si>
  <si>
    <t>Chưa thu lại Đà Nẵng</t>
  </si>
  <si>
    <t>CÔNG TY TNHH TV TM KHÁNH LINH</t>
  </si>
  <si>
    <t>18/06/2015 Số 445</t>
  </si>
  <si>
    <t>CÔNG TY TNHH THƯƠNG MẠI DỊCH VỤ VIỆT WIN</t>
  </si>
  <si>
    <t>Nguyễn Ngọc Phong 0937877077</t>
  </si>
  <si>
    <t>vemaybaymy.vn</t>
  </si>
  <si>
    <t>19.06.15/DCV-VW</t>
  </si>
  <si>
    <t>CÔNG TY TNHH XNK THỜI ĐẠI MỚI</t>
  </si>
  <si>
    <t>www.thutuchaiquannhanh.com
www.maynganhcongnghiep.com</t>
  </si>
  <si>
    <t>0909.663.551</t>
  </si>
  <si>
    <t>25.06.15/DCV-VQ</t>
  </si>
  <si>
    <t>CÔNG TY TNHH TV ĐT TM VINH QUANG</t>
  </si>
  <si>
    <t>giasuvinhquang.com
giasuvinhquang.vn</t>
  </si>
  <si>
    <t>24.06.15/DCV-PTV</t>
  </si>
  <si>
    <t>PHAN THẾ VĨNH</t>
  </si>
  <si>
    <t>0902539282</t>
  </si>
  <si>
    <t>inaothunnhanh.vn</t>
  </si>
  <si>
    <t>25.06.15/DCV-VD</t>
  </si>
  <si>
    <t>CÔNG TY TNHH THỂ THAO VÀ QUÀ TẶNG ViỄN ĐÔNG</t>
  </si>
  <si>
    <t>Đặng Xuân Cuối 090299557?</t>
  </si>
  <si>
    <t>banbongban100.com</t>
  </si>
  <si>
    <t>CÔNG TY CP NGHỆ THUẬT ĐƯƠNG ĐẠI ĐÔNG DƯƠNG</t>
  </si>
  <si>
    <t>247transport.com.vn</t>
  </si>
  <si>
    <t>CÔNG TY TNHH MHY VIỆT NAM</t>
  </si>
  <si>
    <t>0909 527 852</t>
  </si>
  <si>
    <t>25.06.15/DCV-MHY</t>
  </si>
  <si>
    <t>mhyvienam.com</t>
  </si>
  <si>
    <t>25/06/2015 Số 451, 453</t>
  </si>
  <si>
    <t>25/06/2015 Số 454</t>
  </si>
  <si>
    <t>CÔNG TY TNHH PT TM DV VẬN CHUYỂN NiỀM TIN</t>
  </si>
  <si>
    <t>niemtinexpress.com</t>
  </si>
  <si>
    <t>19.11.14/DCV-TR</t>
  </si>
  <si>
    <t>Nguyễn Lâm 0909948596</t>
  </si>
  <si>
    <t>26.06.15/DCV-NT</t>
  </si>
  <si>
    <t>BÙI THỊ KIM TUYỀN</t>
  </si>
  <si>
    <t>0908477171</t>
  </si>
  <si>
    <t>chưa duyệt layout</t>
  </si>
  <si>
    <t>CÔNG TY TNHH TRUYỀN THÔNG VÀ QC IDEA</t>
  </si>
  <si>
    <t>ideamedia.vn</t>
  </si>
  <si>
    <t>27/06/2015 Số 459, 460</t>
  </si>
  <si>
    <t>linhkienkhungtranh.com
phukienkhungtranh.com</t>
  </si>
  <si>
    <t>26/06/2015, 29/06/2015</t>
  </si>
  <si>
    <t>29/06/2015 Số 461 thay cho HĐ 25/06/2015 Số 450</t>
  </si>
  <si>
    <t>Nguyễn Thị Huyền Trân 0862577759</t>
  </si>
  <si>
    <t>Nguyễn Thị Muỗi 0903363010</t>
  </si>
  <si>
    <t>CÔNG TY TNHH TM DV ViỄN THÔNG NAM HẢI</t>
  </si>
  <si>
    <t>0915300938</t>
  </si>
  <si>
    <t>alosaigon.vn</t>
  </si>
  <si>
    <t>30/06/2015 Số 462, 463</t>
  </si>
  <si>
    <t>CÔNG TY CP KỸ THUẬT CÔNG NGHIỆP</t>
  </si>
  <si>
    <t>29.06.15/DCV-CN</t>
  </si>
  <si>
    <t>30.06.15/DCV-NH</t>
  </si>
  <si>
    <t>0913771002</t>
  </si>
  <si>
    <t>quatcaoap.com
vankhinen.com</t>
  </si>
  <si>
    <t>CÔNG TY TNHH MTV DỊCH VỤ DU LỊCH LẠC ViỆT</t>
  </si>
  <si>
    <t>29.06.15/DCV-LV</t>
  </si>
  <si>
    <t>01215753929</t>
  </si>
  <si>
    <t>phongvelacviet.com.vn</t>
  </si>
  <si>
    <t>ĐÀO VĂN SÁU</t>
  </si>
  <si>
    <t>THÁNG 07</t>
  </si>
  <si>
    <t>31/12/2014, 30/06/2015</t>
  </si>
  <si>
    <t>Đã chuyển khoản 50% ACB, Thu thanh lý ngày 30/06/2015</t>
  </si>
  <si>
    <t>caa.com.vn</t>
  </si>
  <si>
    <t>harrytsaiart.com 
 nikita.com.vn</t>
  </si>
  <si>
    <t>Ketoananhminh.com</t>
  </si>
  <si>
    <t>30/06/2015 Số 464</t>
  </si>
  <si>
    <t>CÔNG TY TNHH TMDV TRỪ MỐI THÀNH CÔNG</t>
  </si>
  <si>
    <t>dietmoithaomy.com</t>
  </si>
  <si>
    <t>23/01/2015, 03/07/2015</t>
  </si>
  <si>
    <t>CK Sacombank anh Chương</t>
  </si>
  <si>
    <t>17/04/2015, 10/06/2015, 03/07/2015</t>
  </si>
  <si>
    <t>21/05/2015, 06/07/2015</t>
  </si>
  <si>
    <t>Nhân-Đà Nẵng</t>
  </si>
  <si>
    <t>aothunkimlong.vn</t>
  </si>
  <si>
    <t>07.07.15/DCV-AD</t>
  </si>
  <si>
    <t>CÔNG TY TNHH TM DV Ô TÔ ANH DŨNG</t>
  </si>
  <si>
    <t>0986011656 Phạm Hồng Minh</t>
  </si>
  <si>
    <t>TRẦN TRUNG HỌC</t>
  </si>
  <si>
    <t>0966046065</t>
  </si>
  <si>
    <t>07.07.15/DCV-TTH</t>
  </si>
  <si>
    <t>k giữ lương</t>
  </si>
  <si>
    <t>08.07.15/DCV-STH</t>
  </si>
  <si>
    <t>CÔNG TY TNHH TM SƠN THANH HÀ</t>
  </si>
  <si>
    <t>Trần Trọng Thiện 0913811832</t>
  </si>
  <si>
    <t>CÔNG TY NGUYÊN TÍN PHÁT</t>
  </si>
  <si>
    <t>Xem lại bảng lương T1</t>
  </si>
  <si>
    <t>Phát sinh thiết kế web</t>
  </si>
  <si>
    <t>CÔNG TY CP ĐÀO TẠO &amp; CUNG CẤP NHÂN LỰC WINBIG</t>
  </si>
  <si>
    <t>0909 527 852 (Ông Mãnh)</t>
  </si>
  <si>
    <t>Winbig.org.vn</t>
  </si>
  <si>
    <t xml:space="preserve">Táo </t>
  </si>
  <si>
    <t>08/04/2015, 08/07/2015</t>
  </si>
  <si>
    <t>19/03/2015, 08/07/2015</t>
  </si>
  <si>
    <t>suachuamuabanoto.vn</t>
  </si>
  <si>
    <t>MST: 0401084773</t>
  </si>
  <si>
    <t>09.07.15/DCV- BV</t>
  </si>
  <si>
    <t>CÔNG TY TNHH MTV SẢN XuẤT THƯƠNG MẠI DỊCH VỤ BẾP VÀNG</t>
  </si>
  <si>
    <t>Trần Vy Khánh 0966066045</t>
  </si>
  <si>
    <t>bepvangdn.vn</t>
  </si>
  <si>
    <t>CTY MINH CHÂU</t>
  </si>
  <si>
    <t>muabannhadatphanthiet.vn</t>
  </si>
  <si>
    <t>10.07.15/DCV-TENOVA</t>
  </si>
  <si>
    <t>CÔNG TY TNHH SN VÒI TENOVA</t>
  </si>
  <si>
    <t>Vũ Đình Thức 0912548186</t>
  </si>
  <si>
    <t>ledpusan.com</t>
  </si>
  <si>
    <t>Tính lương T7</t>
  </si>
  <si>
    <t>dongduongtsc.net</t>
  </si>
  <si>
    <t>CTY CP CHỐNG THẤM ĐÔNG DƯƠNG</t>
  </si>
  <si>
    <t>22/01/2015, 13/07/2015</t>
  </si>
  <si>
    <t>13/01/2015, 13/07/2015</t>
  </si>
  <si>
    <t>hoa hồng 270.000đ trừ nợ</t>
  </si>
  <si>
    <t>CÔNG TY TNHH SẢN XUẤT THƯƠNG MẠI XE NÂNG ĐIỆN THÁI HÀ</t>
  </si>
  <si>
    <t>www.xenangchothue.com</t>
  </si>
  <si>
    <t>15/07/2015 Số 472</t>
  </si>
  <si>
    <t>15/07/2015 Số 475</t>
  </si>
  <si>
    <t>Mai-Đà Nẵng</t>
  </si>
  <si>
    <t>CTY TNHH XNK T &amp; L</t>
  </si>
  <si>
    <t>0903959293</t>
  </si>
  <si>
    <t>haisanuoisachph.com</t>
  </si>
  <si>
    <t>15.07.15/DCV-TL</t>
  </si>
  <si>
    <t>inphongvan.com</t>
  </si>
  <si>
    <t>a.Nam -Hà Nội</t>
  </si>
  <si>
    <t>www.glimex.com.vn</t>
  </si>
  <si>
    <t>01/06/2015, 16/07/2015</t>
  </si>
  <si>
    <t>14.07.15/DCV-GP</t>
  </si>
  <si>
    <t>CTY TNHH DV TM QC GIA PHÁT</t>
  </si>
  <si>
    <t>0946783668</t>
  </si>
  <si>
    <t>Email server</t>
  </si>
  <si>
    <t>103/2015/HDDV/SGUNI</t>
  </si>
  <si>
    <t>84835126252</t>
  </si>
  <si>
    <t>hoahauhoanvuvietnam.com</t>
  </si>
  <si>
    <t>satthepnhapkhau.net</t>
  </si>
  <si>
    <t>CÔNG TY TNHH XUẤT NHẬP KHẨU THƯƠNG MẠI THỊNH AN PHÁT</t>
  </si>
  <si>
    <t>dongphucbpm.com</t>
  </si>
  <si>
    <t>CTY MAY MẶC PHÁT ĐẠT</t>
  </si>
  <si>
    <t>18.07.15/DCV-NĐ</t>
  </si>
  <si>
    <t>tropicaislands.com</t>
  </si>
  <si>
    <t>CTY TNHH MTV TM ĐẢO NHIỆT ĐỚI</t>
  </si>
  <si>
    <t>CTY TNHH NỘI THẤT IFC</t>
  </si>
  <si>
    <t>25/06/2015, 18/07/2015</t>
  </si>
  <si>
    <t>18.07.15/DCV-IFC</t>
  </si>
  <si>
    <t>vinifc.com</t>
  </si>
  <si>
    <t>Đà Nẵng</t>
  </si>
  <si>
    <t>01299444422</t>
  </si>
  <si>
    <t>0903500678</t>
  </si>
  <si>
    <t>15/07/2015 Số 474</t>
  </si>
  <si>
    <t>15/07/2015 Số 473</t>
  </si>
  <si>
    <t>17.07.15/DCV-TP</t>
  </si>
  <si>
    <t>CTY TNHH MTV SX CƠ KHÍ TM THIÊN PHÚ</t>
  </si>
  <si>
    <t>0938228894</t>
  </si>
  <si>
    <t>xusolego.com</t>
  </si>
  <si>
    <t>20.07.15/HĐ-ĐCV-TN</t>
  </si>
  <si>
    <t>CÔNG TY TNHH THƯƠNG MẠI DỊCH VỤ MÁY VĂN PHÒNG THIÊN NAM</t>
  </si>
  <si>
    <t>20/03/2015, 20/07/2015</t>
  </si>
  <si>
    <t>Đã chiết khấu 50% ngày 20/07/2015</t>
  </si>
  <si>
    <t>09.12.14/HĐ-DCV-DA</t>
  </si>
  <si>
    <t>24.11.14/DCV-HTK</t>
  </si>
  <si>
    <t>táo</t>
  </si>
  <si>
    <t>Đã CK ACB ngày 22/07/2015</t>
  </si>
  <si>
    <t>CTY TNHH MTV TM XD DV CẨN KIM SƠN</t>
  </si>
  <si>
    <t>22.07.15/DCV-CKS</t>
  </si>
  <si>
    <t>0905856171</t>
  </si>
  <si>
    <t>sondanang.com</t>
  </si>
  <si>
    <t>maymacphatdat.com</t>
  </si>
  <si>
    <t>19.05.2015/DCV-TT</t>
  </si>
  <si>
    <t>CÔNG TY TNHH TM SX THANH THANH</t>
  </si>
  <si>
    <r>
      <t>0913419790</t>
    </r>
    <r>
      <rPr>
        <sz val="10"/>
        <color rgb="FF0066FF"/>
        <rFont val="Tahoma"/>
        <family val="2"/>
      </rPr>
      <t> </t>
    </r>
  </si>
  <si>
    <t>26/06/2015 Số 456</t>
  </si>
  <si>
    <t>03.06.2015/DCV-BB</t>
  </si>
  <si>
    <t>QUÁN ĂN HẢI SẢN BÌNH MINH</t>
  </si>
  <si>
    <t>0903153393</t>
  </si>
  <si>
    <t>QC GG Adwords từ 17/06-17/09</t>
  </si>
  <si>
    <t>02.06.2015/DCV-BB</t>
  </si>
  <si>
    <t>haisanbinhminh.com</t>
  </si>
  <si>
    <t>07.05.2015/DCV-HDL</t>
  </si>
  <si>
    <t>DNTN TM DV HƯNG ĐẠI LONG</t>
  </si>
  <si>
    <t>0906585828</t>
  </si>
  <si>
    <t>thuethietbixaydung.com.vn</t>
  </si>
  <si>
    <t>26/06/2015 Số 455</t>
  </si>
  <si>
    <t>10.06.2015/DCV-XK</t>
  </si>
  <si>
    <t>DNTN XUÂN KHANG</t>
  </si>
  <si>
    <t>0583819179</t>
  </si>
  <si>
    <t>yensaokhangviet.vn</t>
  </si>
  <si>
    <t>24/06/2015 Số 449</t>
  </si>
  <si>
    <t>30.06.15/DCV-TMV</t>
  </si>
  <si>
    <t>TRUNG TÂM PHẪU THUẬT THẨM MỸ NHA TRANG</t>
  </si>
  <si>
    <t>0913476284-0583822444</t>
  </si>
  <si>
    <t>thammynhatrang.com</t>
  </si>
  <si>
    <t>CÔNG TY TNHH MTV ANH NGỮ BẦU TRỜI XANH</t>
  </si>
  <si>
    <t>Gia hạn domain, hoosting</t>
  </si>
  <si>
    <t>anhngublusky.edu.vn</t>
  </si>
  <si>
    <t>18/07/2015 Số 480, 481</t>
  </si>
  <si>
    <t>THV-Đạo</t>
  </si>
  <si>
    <t>THV-Quyên</t>
  </si>
  <si>
    <t>THV-Chung</t>
  </si>
  <si>
    <t>KETOAN ANHMINH</t>
  </si>
  <si>
    <t>08.07.15/DCV-CSV</t>
  </si>
  <si>
    <t>CÔNG TY TNHH CSV OFFSHORE ENGINEERING</t>
  </si>
  <si>
    <t>0586 534 038</t>
  </si>
  <si>
    <t>www.csvoffshore.com</t>
  </si>
  <si>
    <t>20.07.15/DCV-GP</t>
  </si>
  <si>
    <t>GALLERY PONAGAR</t>
  </si>
  <si>
    <t>0933628641</t>
  </si>
  <si>
    <t>mythuatnhatrang.com</t>
  </si>
  <si>
    <t>17.07.15/DCV-DDT</t>
  </si>
  <si>
    <t>0902499377</t>
  </si>
  <si>
    <t>18/07/2015 Số 482 (Thay cho HĐ17/07/2015 Số 476)</t>
  </si>
  <si>
    <t>14.07.15/DCV-CSV</t>
  </si>
  <si>
    <t>23/07/2015 số 483, 484</t>
  </si>
  <si>
    <t>21.07.15/DCV-TD</t>
  </si>
  <si>
    <t>CTY TNHH BẾP GAS THANH DƯƠNG</t>
  </si>
  <si>
    <t>01657290078</t>
  </si>
  <si>
    <t>bepgasthanhduong.com</t>
  </si>
  <si>
    <t>nguyentinphat.com</t>
  </si>
  <si>
    <t>08/07/2015, 24/07/2015</t>
  </si>
  <si>
    <t>conggiaovietnam.org
satthepnhapkhau.net
centralfool.com.vn</t>
  </si>
  <si>
    <t>24.07.15/DCV-THT</t>
  </si>
  <si>
    <t>CTY TNHH MTV THANH HẢI TRẦN</t>
  </si>
  <si>
    <t>096810199</t>
  </si>
  <si>
    <t>congtythanhhaitran.com</t>
  </si>
  <si>
    <t>CÔNG TY TNHH THƯƠNG MẠI DỊCH VỤ TRANG TRI NỘI THẤT TUẤN BẰNG</t>
  </si>
  <si>
    <t>25.07.2015/HĐ/DCV-TB</t>
  </si>
  <si>
    <t>058.3881 647 – 01277 767 856</t>
  </si>
  <si>
    <t>noithattuanbang.com</t>
  </si>
  <si>
    <t>28.07.15/DCV-TĐMN</t>
  </si>
  <si>
    <t>CÔNG TY CP THỦY ĐiỆN MiỀN NAM</t>
  </si>
  <si>
    <t>0838207795</t>
  </si>
  <si>
    <t>28/07/2015 Số 485</t>
  </si>
  <si>
    <t>29.07.15/DCV-HV</t>
  </si>
  <si>
    <t>CÔNG TY TNHH TM SX HƯNG ViỆT</t>
  </si>
  <si>
    <t>0918657877 c.trâm</t>
  </si>
  <si>
    <t>mail.nuocmamhungviet.com.vn</t>
  </si>
  <si>
    <t>CÔNG TY TNHH SBS ATLAS LOGICTICS VN</t>
  </si>
  <si>
    <t>salv.vn</t>
  </si>
  <si>
    <t>29/07/2015 Số 487</t>
  </si>
  <si>
    <t>.com</t>
  </si>
  <si>
    <t>30/07/2015 Số 488</t>
  </si>
  <si>
    <t>CÔNG TY TNHH QUỐC TẾ KỸ THUẬT KIM PHONG</t>
  </si>
  <si>
    <t>08. 3815.3710</t>
  </si>
  <si>
    <t>www.ebracofilters.com</t>
  </si>
  <si>
    <t>Đã CK ACB ngày 29/07/2015</t>
  </si>
  <si>
    <t>Đã CK ACB ngày 30/07/2015</t>
  </si>
  <si>
    <t>CK vào TK Khánh Linh</t>
  </si>
  <si>
    <t>THÁNG 08</t>
  </si>
  <si>
    <t>01.08.15/DCV-XV</t>
  </si>
  <si>
    <t>CÔNG TY CP CÔNG NGHỆ SINH HỌC XANH ViỆT</t>
  </si>
  <si>
    <t xml:space="preserve"> Hoàng Văn Đức 0986612619</t>
  </si>
  <si>
    <t>xanhvietbiotech.vn</t>
  </si>
  <si>
    <t>biglight.vn</t>
  </si>
  <si>
    <t>09/07/2015, 01/08/2015</t>
  </si>
  <si>
    <t>01/08/2015 Số 489</t>
  </si>
  <si>
    <t>03.08.15/DCV-VN</t>
  </si>
  <si>
    <t>CÔNG TY TNHH MTV SX TM DV TƯ VẤN XD ViỆT NHỚ</t>
  </si>
  <si>
    <t>Nguyễn Thị Tuyến 0986495622</t>
  </si>
  <si>
    <t>06.08.15/DCV-JE</t>
  </si>
  <si>
    <t>CÔNG TY TNHH HOÀNG THIÊN LONG JEANS</t>
  </si>
  <si>
    <t>Nguyễn Văn Vinh 0939242002</t>
  </si>
  <si>
    <t>hoangthienlongjeans.com
vinhthujeans.com</t>
  </si>
  <si>
    <t>CTY TNHH TƯ VẤN ĐẦU TƯ XÂY DỰNG HOÀNG PHÚ</t>
  </si>
  <si>
    <t>03.08.15/DCV-HP</t>
  </si>
  <si>
    <t>Trần Ánh Hồng 0623839199</t>
  </si>
  <si>
    <t>hoangphugroup.com</t>
  </si>
  <si>
    <t>05.08.15/DCV-CT</t>
  </si>
  <si>
    <t>0968218853</t>
  </si>
  <si>
    <t>TRẦN CÔNG TOẠI</t>
  </si>
  <si>
    <t>duquangcaokhainam.com</t>
  </si>
  <si>
    <t>Việt</t>
  </si>
  <si>
    <t>Cấn trừ công nợ KL (30/07/2015)</t>
  </si>
  <si>
    <t>30/01/2015, 07/08/2015</t>
  </si>
  <si>
    <t>Nguyễn Bảo lê Duy</t>
  </si>
  <si>
    <t>Mỹ: (ctv) 50%</t>
  </si>
  <si>
    <t>CTV chi hoa hồng ngay</t>
  </si>
  <si>
    <t>NGUYỄN THỊ HẢI VÂN</t>
  </si>
  <si>
    <t>0973524081</t>
  </si>
  <si>
    <t>bepgasthanhphat.com</t>
  </si>
  <si>
    <t>07.08.15/DCV-CT</t>
  </si>
  <si>
    <t>CÔNG TY TNHH THƯƠNG MẠI DỊCH VỤ CHÍ TUẤN ĐẠT</t>
  </si>
  <si>
    <t>inantemnhan.net</t>
  </si>
  <si>
    <t>CÔNG TY TNHH TMDV CƠ ĐIỆN LẠNH THÀNH CÔNG</t>
  </si>
  <si>
    <t>0905 521 251</t>
  </si>
  <si>
    <t>dienlanhthanhcong.com.vn</t>
  </si>
  <si>
    <t>10.08.15/DCV-CDNLA</t>
  </si>
  <si>
    <t>TRƯỜNG CAO ĐẲNG NGHỀ LONG AN</t>
  </si>
  <si>
    <t>caodangnghelongan.edu.vn</t>
  </si>
  <si>
    <t>Tên miền, hosting 3 năm</t>
  </si>
  <si>
    <t>Chị Châu 0918700977</t>
  </si>
  <si>
    <t>10/08/2015 Số 491</t>
  </si>
  <si>
    <t>10/08/2015 Số 492, 493</t>
  </si>
  <si>
    <t>28/07/2015 Số 486</t>
  </si>
  <si>
    <t>Tên miền</t>
  </si>
  <si>
    <t>thegioibaccaocap.com, thanhlapcongtynhanhvn.com</t>
  </si>
  <si>
    <t>thegioibaccaocap</t>
  </si>
  <si>
    <t>CÔNG TY TNHH MTV TM DV VÀ TTNT THÁI BÌNH DƯƠNG</t>
  </si>
  <si>
    <t>noithatthaibinhduong.com</t>
  </si>
  <si>
    <t>11.08.15/DCV-TBD</t>
  </si>
  <si>
    <t>12/08/2015 Số 494</t>
  </si>
  <si>
    <t>12.08.15/DCV-KUMO</t>
  </si>
  <si>
    <t>CÔNG TY TNHH KUMO ViỆT NAM</t>
  </si>
  <si>
    <t>kumovina.com</t>
  </si>
  <si>
    <t>Nhàn-THV</t>
  </si>
  <si>
    <t>Đạo-THV</t>
  </si>
  <si>
    <t>Chung-THV</t>
  </si>
  <si>
    <t>13.08.15/DCV-THP</t>
  </si>
  <si>
    <t>CÔNG TY CP TM XNK THIÊN HÙNG PHÚC</t>
  </si>
  <si>
    <t>Mai Huyền Trang 0988696868</t>
  </si>
  <si>
    <t>13.08.15/DCV-HN</t>
  </si>
  <si>
    <t>CÔNG TY TNHH MÔI TRƯỜNG HỒNG NHẬT</t>
  </si>
  <si>
    <t>Nguyễn Thị Ngọc Phượng 0838687948</t>
  </si>
  <si>
    <t>hongnhat-environment.com.vn</t>
  </si>
  <si>
    <t>14.08.15/DCV-PLT</t>
  </si>
  <si>
    <t>CÔNG TY TNHH MTV PHÚC LÂM TRẦN</t>
  </si>
  <si>
    <t>Võ Phạm Hoàng Quyên 0935822411</t>
  </si>
  <si>
    <t>15.08.15/DCV-TT</t>
  </si>
  <si>
    <t>DNTN THƯƠNG MẠI THIÊN THANH</t>
  </si>
  <si>
    <t>Nguyễn Thị Thu Hà 058836036</t>
  </si>
  <si>
    <t>thienthanhnt.com.vn</t>
  </si>
  <si>
    <t>14/08/2015 Số 498, 499</t>
  </si>
  <si>
    <t>18.08.15/DCV-TV</t>
  </si>
  <si>
    <t>HÀ TRUNG VĨ</t>
  </si>
  <si>
    <t>0946232363</t>
  </si>
  <si>
    <t>sangoquyenvo.com</t>
  </si>
  <si>
    <t>thienhungphuc.com</t>
  </si>
  <si>
    <t>14/08/2015 Số 497, 500</t>
  </si>
  <si>
    <t>CTY TNHH TIN HỌC NGUYỄN ĐĂNG</t>
  </si>
  <si>
    <t xml:space="preserve">0944 528 949
0773 81 62 81 </t>
  </si>
  <si>
    <t>sieuthinguyendang.com</t>
  </si>
  <si>
    <t>18.08.15/DCV-VDS</t>
  </si>
  <si>
    <t>VŨ DUY SƠN</t>
  </si>
  <si>
    <t>0902598999</t>
  </si>
  <si>
    <t>ĐÃ trừ hoa hồng 20% (năm 2)</t>
  </si>
  <si>
    <t>CÔNG TY TNHH THƯƠNG MẠI LINCON LIGHT</t>
  </si>
  <si>
    <t>10.08.15/DCV-LC</t>
  </si>
  <si>
    <t>0982 249 500</t>
  </si>
  <si>
    <t>ledtrangtri.vn</t>
  </si>
  <si>
    <t>Hà Nội</t>
  </si>
  <si>
    <t>18.08.15/DCV-MP</t>
  </si>
  <si>
    <t>CÔNG TY TNHH MINH PHÁT NT</t>
  </si>
  <si>
    <t>19/08/2015 Số 003 &amp; 004 (DC/15P)</t>
  </si>
  <si>
    <t>20.08.15/DCV-DV</t>
  </si>
  <si>
    <t>CÔNG TY TNHH TM DV THUẬN THẮNG VINH</t>
  </si>
  <si>
    <t>05113752637</t>
  </si>
  <si>
    <t>khoangiengdanang.net</t>
  </si>
  <si>
    <t>Nha Trang</t>
  </si>
  <si>
    <t>06/07/2015, 15/08/2015</t>
  </si>
  <si>
    <t>120.000 tiền chênh lệch hóa đơn</t>
  </si>
  <si>
    <t>18.08.15/DCV-TT</t>
  </si>
  <si>
    <t>NÔNG TRẠI TÍN NGHĨA</t>
  </si>
  <si>
    <t>0914015701</t>
  </si>
  <si>
    <t>tinnghiafarm.com.vn</t>
  </si>
  <si>
    <t>CÔNG TY CỔ PHẦN XÂY DỰNG DPC</t>
  </si>
  <si>
    <t xml:space="preserve">20.08.15 / HD-DCV-PC    </t>
  </si>
  <si>
    <t>08.6287.2139</t>
  </si>
  <si>
    <t>www.dpc.company</t>
  </si>
  <si>
    <t>Thiết kế website, hosting</t>
  </si>
  <si>
    <t>21.08.15/DCV-CQ</t>
  </si>
  <si>
    <t>CÔNG TY TNHH MTV DỊCH VỤ BẢO VỀ CHUYỂN NGHIỆP CÔNG QUÝ</t>
  </si>
  <si>
    <t>0901122579</t>
  </si>
  <si>
    <t>securitycongquy.com</t>
  </si>
  <si>
    <t>21/08/2015 Số 006, 007 (DC/15P)</t>
  </si>
  <si>
    <t>21/08/2015 Số 008 (DC/15P)</t>
  </si>
  <si>
    <t>CÔNG TY TNHH IN ẤN QUẢNG CÁO VIỆT NHẬT</t>
  </si>
  <si>
    <t>21.08.15/DCV-VN</t>
  </si>
  <si>
    <t>0939 474 279</t>
  </si>
  <si>
    <t>Đã có tên miền (thongtinthoidai.vn)</t>
  </si>
  <si>
    <t>sieumuanhanh.com
sieumuanhanh.net
sieumuanhanh.vn</t>
  </si>
  <si>
    <t xml:space="preserve">www.inquangcaovietnhat.com </t>
  </si>
  <si>
    <t>CTY TNHH MTV TM DV DÂN AN</t>
  </si>
  <si>
    <r>
      <t>Lê Quang Thu</t>
    </r>
    <r>
      <rPr>
        <b/>
        <sz val="12"/>
        <rFont val="Times New Roman"/>
        <family val="1"/>
      </rPr>
      <t>ấn 0909.599.038</t>
    </r>
  </si>
  <si>
    <t>danan.vn</t>
  </si>
  <si>
    <t>NVKD
&amp;XL</t>
  </si>
</sst>
</file>

<file path=xl/styles.xml><?xml version="1.0" encoding="utf-8"?>
<styleSheet xmlns="http://schemas.openxmlformats.org/spreadsheetml/2006/main">
  <numFmts count="3">
    <numFmt numFmtId="164" formatCode="_-* #,##0.00\ _₫_-;\-* #,##0.00\ _₫_-;_-* &quot;-&quot;??\ _₫_-;_-@_-"/>
    <numFmt numFmtId="165" formatCode="_(* #,##0_);_(* \(#,##0\);_(* &quot;-&quot;??_);_(@_)"/>
    <numFmt numFmtId="166" formatCode="_-* #,##0\ _₫_-;\-* #,##0\ _₫_-;_-* &quot;-&quot;??\ _₫_-;_-@_-"/>
  </numFmts>
  <fonts count="4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20"/>
      <color indexed="8"/>
      <name val="Times New Roman"/>
      <family val="1"/>
    </font>
    <font>
      <sz val="12"/>
      <color rgb="FF7030A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40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40"/>
      <name val="Times New Roman"/>
      <family val="1"/>
    </font>
    <font>
      <b/>
      <sz val="12"/>
      <color rgb="FF7030A0"/>
      <name val="Times New Roman"/>
      <family val="1"/>
    </font>
    <font>
      <b/>
      <sz val="11"/>
      <color indexed="8"/>
      <name val="Calibri"/>
      <family val="2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</font>
    <font>
      <b/>
      <sz val="12"/>
      <color indexed="30"/>
      <name val="Times New Roman"/>
      <family val="1"/>
    </font>
    <font>
      <sz val="12"/>
      <color indexed="1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rgb="FF00B0F0"/>
      <name val="Calibri"/>
      <family val="2"/>
      <scheme val="minor"/>
    </font>
    <font>
      <sz val="12"/>
      <color rgb="FF00B050"/>
      <name val="Times New Roman"/>
      <family val="1"/>
    </font>
    <font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indexed="4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indexed="56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charset val="163"/>
      <scheme val="minor"/>
    </font>
    <font>
      <b/>
      <sz val="11"/>
      <color rgb="FF00B0F0"/>
      <name val="Times New Roman"/>
      <family val="1"/>
    </font>
    <font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9"/>
      <color theme="1"/>
      <name val="Verdana"/>
      <family val="2"/>
    </font>
    <font>
      <sz val="10"/>
      <color rgb="FF0066FF"/>
      <name val="Tahoma"/>
      <family val="2"/>
    </font>
    <font>
      <sz val="11"/>
      <name val="Times New RomanH"/>
      <charset val="163"/>
    </font>
    <font>
      <sz val="12"/>
      <color theme="3" tint="0.39997558519241921"/>
      <name val="Times New Roman"/>
      <family val="1"/>
    </font>
    <font>
      <sz val="11"/>
      <color rgb="FFFF0000"/>
      <name val="Calibri"/>
      <family val="2"/>
      <scheme val="minor"/>
    </font>
    <font>
      <u/>
      <sz val="11"/>
      <color indexed="40"/>
      <name val="Calibri"/>
      <family val="2"/>
    </font>
    <font>
      <sz val="10"/>
      <color indexed="8"/>
      <name val="Verdana"/>
      <family val="2"/>
    </font>
    <font>
      <b/>
      <sz val="9"/>
      <color indexed="81"/>
      <name val="Tahoma"/>
      <charset val="163"/>
    </font>
    <font>
      <b/>
      <sz val="12"/>
      <color rgb="FF6AA84F"/>
      <name val="Arial Black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3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4" fillId="0" borderId="0" xfId="1" applyNumberFormat="1" applyFont="1" applyAlignment="1">
      <alignment horizontal="left"/>
    </xf>
    <xf numFmtId="165" fontId="4" fillId="0" borderId="0" xfId="1" applyNumberFormat="1" applyFont="1"/>
    <xf numFmtId="165" fontId="7" fillId="2" borderId="0" xfId="1" applyNumberFormat="1" applyFont="1" applyFill="1"/>
    <xf numFmtId="14" fontId="4" fillId="0" borderId="0" xfId="1" applyNumberFormat="1" applyFont="1" applyAlignment="1">
      <alignment horizontal="center"/>
    </xf>
    <xf numFmtId="0" fontId="4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165" fontId="7" fillId="2" borderId="6" xfId="1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5" fontId="11" fillId="3" borderId="6" xfId="1" applyNumberFormat="1" applyFont="1" applyFill="1" applyBorder="1" applyAlignment="1">
      <alignment horizontal="center" vertical="center" wrapText="1"/>
    </xf>
    <xf numFmtId="14" fontId="4" fillId="4" borderId="6" xfId="1" applyNumberFormat="1" applyFont="1" applyFill="1" applyBorder="1" applyAlignment="1">
      <alignment horizontal="center" vertical="center" wrapText="1"/>
    </xf>
    <xf numFmtId="165" fontId="12" fillId="4" borderId="6" xfId="1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165" fontId="8" fillId="4" borderId="6" xfId="1" applyNumberFormat="1" applyFont="1" applyFill="1" applyBorder="1" applyAlignment="1">
      <alignment horizontal="center" vertical="center" wrapText="1"/>
    </xf>
    <xf numFmtId="165" fontId="4" fillId="4" borderId="6" xfId="1" applyNumberFormat="1" applyFont="1" applyFill="1" applyBorder="1" applyAlignment="1">
      <alignment horizontal="center" vertical="center" wrapText="1"/>
    </xf>
    <xf numFmtId="165" fontId="13" fillId="4" borderId="6" xfId="1" applyNumberFormat="1" applyFont="1" applyFill="1" applyBorder="1" applyAlignment="1">
      <alignment horizontal="center" vertical="center" wrapText="1"/>
    </xf>
    <xf numFmtId="165" fontId="14" fillId="4" borderId="6" xfId="1" applyNumberFormat="1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165" fontId="9" fillId="0" borderId="7" xfId="1" applyNumberFormat="1" applyFont="1" applyBorder="1" applyAlignment="1">
      <alignment vertical="center" wrapText="1"/>
    </xf>
    <xf numFmtId="165" fontId="16" fillId="4" borderId="6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5" fontId="9" fillId="4" borderId="7" xfId="1" applyNumberFormat="1" applyFont="1" applyFill="1" applyBorder="1" applyAlignment="1">
      <alignment vertical="center" wrapText="1"/>
    </xf>
    <xf numFmtId="165" fontId="17" fillId="4" borderId="6" xfId="1" applyNumberFormat="1" applyFont="1" applyFill="1" applyBorder="1" applyAlignment="1">
      <alignment horizontal="center" vertical="center" wrapText="1"/>
    </xf>
    <xf numFmtId="165" fontId="12" fillId="0" borderId="6" xfId="1" applyNumberFormat="1" applyFont="1" applyBorder="1" applyAlignment="1">
      <alignment horizontal="center" vertical="center" wrapText="1"/>
    </xf>
    <xf numFmtId="14" fontId="20" fillId="4" borderId="6" xfId="1" applyNumberFormat="1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165" fontId="7" fillId="0" borderId="6" xfId="1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165" fontId="7" fillId="0" borderId="0" xfId="1" applyNumberFormat="1" applyFont="1" applyAlignment="1">
      <alignment horizontal="center" vertical="top" wrapText="1"/>
    </xf>
    <xf numFmtId="165" fontId="13" fillId="0" borderId="6" xfId="1" applyNumberFormat="1" applyFont="1" applyBorder="1" applyAlignment="1">
      <alignment horizontal="center" vertical="center" wrapText="1"/>
    </xf>
    <xf numFmtId="165" fontId="15" fillId="0" borderId="6" xfId="1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65" fontId="16" fillId="0" borderId="6" xfId="1" applyNumberFormat="1" applyFont="1" applyBorder="1" applyAlignment="1">
      <alignment horizontal="center" vertical="center" wrapText="1"/>
    </xf>
    <xf numFmtId="14" fontId="4" fillId="4" borderId="1" xfId="1" applyNumberFormat="1" applyFont="1" applyFill="1" applyBorder="1" applyAlignment="1">
      <alignment horizontal="center" vertical="center" wrapText="1"/>
    </xf>
    <xf numFmtId="165" fontId="13" fillId="4" borderId="1" xfId="1" applyNumberFormat="1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4" fillId="0" borderId="6" xfId="2" applyFont="1" applyBorder="1" applyAlignment="1" applyProtection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165" fontId="7" fillId="0" borderId="0" xfId="1" applyNumberFormat="1" applyFont="1" applyAlignment="1">
      <alignment horizontal="center" wrapText="1"/>
    </xf>
    <xf numFmtId="0" fontId="0" fillId="0" borderId="0" xfId="0" applyAlignment="1">
      <alignment wrapText="1"/>
    </xf>
    <xf numFmtId="14" fontId="18" fillId="4" borderId="6" xfId="0" applyNumberFormat="1" applyFont="1" applyFill="1" applyBorder="1" applyAlignment="1">
      <alignment horizontal="center" vertical="center" wrapText="1"/>
    </xf>
    <xf numFmtId="0" fontId="4" fillId="4" borderId="6" xfId="0" quotePrefix="1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/>
    </xf>
    <xf numFmtId="0" fontId="27" fillId="3" borderId="6" xfId="0" applyFont="1" applyFill="1" applyBorder="1"/>
    <xf numFmtId="0" fontId="27" fillId="3" borderId="6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vertical="center"/>
    </xf>
    <xf numFmtId="0" fontId="0" fillId="0" borderId="6" xfId="0" applyBorder="1"/>
    <xf numFmtId="0" fontId="23" fillId="0" borderId="0" xfId="2" applyAlignment="1" applyProtection="1"/>
    <xf numFmtId="0" fontId="29" fillId="0" borderId="0" xfId="0" applyFont="1"/>
    <xf numFmtId="165" fontId="18" fillId="4" borderId="6" xfId="1" applyNumberFormat="1" applyFont="1" applyFill="1" applyBorder="1" applyAlignment="1">
      <alignment horizontal="center" vertical="center" wrapText="1"/>
    </xf>
    <xf numFmtId="0" fontId="4" fillId="4" borderId="6" xfId="0" quotePrefix="1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/>
    </xf>
    <xf numFmtId="0" fontId="0" fillId="4" borderId="0" xfId="0" applyFill="1"/>
    <xf numFmtId="165" fontId="16" fillId="5" borderId="6" xfId="1" applyNumberFormat="1" applyFont="1" applyFill="1" applyBorder="1" applyAlignment="1">
      <alignment horizontal="center" vertical="center" wrapText="1"/>
    </xf>
    <xf numFmtId="14" fontId="4" fillId="5" borderId="6" xfId="1" applyNumberFormat="1" applyFont="1" applyFill="1" applyBorder="1" applyAlignment="1">
      <alignment horizontal="center" vertical="center" wrapText="1"/>
    </xf>
    <xf numFmtId="165" fontId="12" fillId="5" borderId="6" xfId="1" applyNumberFormat="1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165" fontId="8" fillId="5" borderId="6" xfId="1" applyNumberFormat="1" applyFont="1" applyFill="1" applyBorder="1" applyAlignment="1">
      <alignment horizontal="center" vertical="center" wrapText="1"/>
    </xf>
    <xf numFmtId="165" fontId="4" fillId="5" borderId="6" xfId="1" applyNumberFormat="1" applyFont="1" applyFill="1" applyBorder="1" applyAlignment="1">
      <alignment horizontal="center" vertical="center" wrapText="1"/>
    </xf>
    <xf numFmtId="165" fontId="13" fillId="5" borderId="6" xfId="1" applyNumberFormat="1" applyFont="1" applyFill="1" applyBorder="1" applyAlignment="1">
      <alignment horizontal="center" vertical="center" wrapText="1"/>
    </xf>
    <xf numFmtId="0" fontId="0" fillId="5" borderId="6" xfId="0" applyFill="1" applyBorder="1"/>
    <xf numFmtId="165" fontId="11" fillId="5" borderId="6" xfId="1" applyNumberFormat="1" applyFont="1" applyFill="1" applyBorder="1" applyAlignment="1">
      <alignment horizontal="center" vertical="center" wrapText="1"/>
    </xf>
    <xf numFmtId="165" fontId="14" fillId="6" borderId="6" xfId="1" applyNumberFormat="1" applyFont="1" applyFill="1" applyBorder="1" applyAlignment="1">
      <alignment horizontal="center" vertical="center" wrapText="1"/>
    </xf>
    <xf numFmtId="14" fontId="20" fillId="5" borderId="6" xfId="1" applyNumberFormat="1" applyFont="1" applyFill="1" applyBorder="1" applyAlignment="1">
      <alignment horizontal="center" vertical="center" wrapText="1"/>
    </xf>
    <xf numFmtId="0" fontId="21" fillId="4" borderId="6" xfId="0" applyFont="1" applyFill="1" applyBorder="1"/>
    <xf numFmtId="164" fontId="0" fillId="0" borderId="6" xfId="1" applyFont="1" applyBorder="1"/>
    <xf numFmtId="0" fontId="13" fillId="5" borderId="6" xfId="0" applyFont="1" applyFill="1" applyBorder="1" applyAlignment="1">
      <alignment horizontal="center" vertical="center" wrapText="1"/>
    </xf>
    <xf numFmtId="165" fontId="0" fillId="0" borderId="0" xfId="0" applyNumberFormat="1"/>
    <xf numFmtId="0" fontId="33" fillId="0" borderId="6" xfId="0" applyFont="1" applyBorder="1" applyAlignment="1">
      <alignment horizontal="center" vertical="center"/>
    </xf>
    <xf numFmtId="165" fontId="33" fillId="0" borderId="6" xfId="0" applyNumberFormat="1" applyFont="1" applyBorder="1"/>
    <xf numFmtId="14" fontId="16" fillId="4" borderId="6" xfId="1" applyNumberFormat="1" applyFont="1" applyFill="1" applyBorder="1" applyAlignment="1">
      <alignment horizontal="center" vertical="center" wrapText="1"/>
    </xf>
    <xf numFmtId="165" fontId="34" fillId="4" borderId="6" xfId="1" applyNumberFormat="1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65" fontId="17" fillId="3" borderId="6" xfId="1" applyNumberFormat="1" applyFont="1" applyFill="1" applyBorder="1" applyAlignment="1">
      <alignment horizontal="center" vertical="center" wrapText="1"/>
    </xf>
    <xf numFmtId="165" fontId="17" fillId="4" borderId="7" xfId="1" applyNumberFormat="1" applyFont="1" applyFill="1" applyBorder="1" applyAlignment="1">
      <alignment vertical="center" wrapText="1"/>
    </xf>
    <xf numFmtId="0" fontId="32" fillId="0" borderId="0" xfId="0" applyFont="1"/>
    <xf numFmtId="0" fontId="16" fillId="5" borderId="6" xfId="0" applyFont="1" applyFill="1" applyBorder="1" applyAlignment="1">
      <alignment horizontal="center" vertical="center" wrapText="1"/>
    </xf>
    <xf numFmtId="165" fontId="13" fillId="5" borderId="1" xfId="1" applyNumberFormat="1" applyFont="1" applyFill="1" applyBorder="1" applyAlignment="1">
      <alignment horizontal="center" vertical="center" wrapText="1"/>
    </xf>
    <xf numFmtId="165" fontId="14" fillId="5" borderId="6" xfId="1" applyNumberFormat="1" applyFont="1" applyFill="1" applyBorder="1" applyAlignment="1">
      <alignment horizontal="center" vertical="center" wrapText="1"/>
    </xf>
    <xf numFmtId="14" fontId="16" fillId="5" borderId="1" xfId="1" applyNumberFormat="1" applyFont="1" applyFill="1" applyBorder="1" applyAlignment="1">
      <alignment horizontal="center" vertical="center" wrapText="1"/>
    </xf>
    <xf numFmtId="165" fontId="34" fillId="5" borderId="6" xfId="1" applyNumberFormat="1" applyFont="1" applyFill="1" applyBorder="1" applyAlignment="1">
      <alignment horizontal="center" vertical="center" wrapText="1"/>
    </xf>
    <xf numFmtId="165" fontId="17" fillId="5" borderId="6" xfId="1" applyNumberFormat="1" applyFont="1" applyFill="1" applyBorder="1" applyAlignment="1">
      <alignment horizontal="center" vertical="center" wrapText="1"/>
    </xf>
    <xf numFmtId="165" fontId="16" fillId="5" borderId="1" xfId="1" applyNumberFormat="1" applyFont="1" applyFill="1" applyBorder="1" applyAlignment="1">
      <alignment horizontal="center" vertical="center" wrapText="1"/>
    </xf>
    <xf numFmtId="0" fontId="32" fillId="5" borderId="6" xfId="0" applyFont="1" applyFill="1" applyBorder="1"/>
    <xf numFmtId="14" fontId="16" fillId="5" borderId="6" xfId="1" applyNumberFormat="1" applyFont="1" applyFill="1" applyBorder="1" applyAlignment="1">
      <alignment horizontal="center" vertical="center" wrapText="1"/>
    </xf>
    <xf numFmtId="14" fontId="4" fillId="5" borderId="1" xfId="1" applyNumberFormat="1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14" fontId="18" fillId="5" borderId="6" xfId="0" applyNumberFormat="1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165" fontId="16" fillId="7" borderId="6" xfId="1" applyNumberFormat="1" applyFont="1" applyFill="1" applyBorder="1" applyAlignment="1">
      <alignment horizontal="center" vertical="center" wrapText="1"/>
    </xf>
    <xf numFmtId="14" fontId="4" fillId="7" borderId="6" xfId="1" applyNumberFormat="1" applyFont="1" applyFill="1" applyBorder="1" applyAlignment="1">
      <alignment horizontal="center" vertical="center" wrapText="1"/>
    </xf>
    <xf numFmtId="165" fontId="12" fillId="7" borderId="6" xfId="1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165" fontId="8" fillId="7" borderId="6" xfId="1" applyNumberFormat="1" applyFont="1" applyFill="1" applyBorder="1" applyAlignment="1">
      <alignment horizontal="center" vertical="center" wrapText="1"/>
    </xf>
    <xf numFmtId="165" fontId="4" fillId="7" borderId="6" xfId="1" applyNumberFormat="1" applyFont="1" applyFill="1" applyBorder="1" applyAlignment="1">
      <alignment horizontal="center" vertical="center" wrapText="1"/>
    </xf>
    <xf numFmtId="165" fontId="13" fillId="7" borderId="6" xfId="1" applyNumberFormat="1" applyFont="1" applyFill="1" applyBorder="1" applyAlignment="1">
      <alignment horizontal="center" vertical="center" wrapText="1"/>
    </xf>
    <xf numFmtId="0" fontId="0" fillId="7" borderId="6" xfId="0" applyFill="1" applyBorder="1"/>
    <xf numFmtId="165" fontId="14" fillId="7" borderId="6" xfId="1" applyNumberFormat="1" applyFont="1" applyFill="1" applyBorder="1" applyAlignment="1">
      <alignment horizontal="center" vertical="center" wrapText="1"/>
    </xf>
    <xf numFmtId="164" fontId="0" fillId="7" borderId="6" xfId="1" applyFont="1" applyFill="1" applyBorder="1"/>
    <xf numFmtId="165" fontId="11" fillId="7" borderId="6" xfId="1" applyNumberFormat="1" applyFont="1" applyFill="1" applyBorder="1" applyAlignment="1">
      <alignment horizontal="center" vertical="center" wrapText="1"/>
    </xf>
    <xf numFmtId="166" fontId="18" fillId="0" borderId="6" xfId="1" applyNumberFormat="1" applyFont="1" applyBorder="1" applyAlignment="1">
      <alignment horizontal="center" vertical="center"/>
    </xf>
    <xf numFmtId="14" fontId="26" fillId="0" borderId="6" xfId="0" applyNumberFormat="1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164" fontId="0" fillId="5" borderId="6" xfId="1" applyFont="1" applyFill="1" applyBorder="1"/>
    <xf numFmtId="0" fontId="7" fillId="2" borderId="1" xfId="0" applyFont="1" applyFill="1" applyBorder="1" applyAlignment="1">
      <alignment horizontal="center" vertical="center" wrapText="1"/>
    </xf>
    <xf numFmtId="165" fontId="9" fillId="4" borderId="8" xfId="1" applyNumberFormat="1" applyFont="1" applyFill="1" applyBorder="1" applyAlignment="1">
      <alignment vertical="center" wrapText="1"/>
    </xf>
    <xf numFmtId="0" fontId="0" fillId="4" borderId="6" xfId="0" applyFill="1" applyBorder="1"/>
    <xf numFmtId="14" fontId="18" fillId="4" borderId="6" xfId="0" applyNumberFormat="1" applyFont="1" applyFill="1" applyBorder="1" applyAlignment="1">
      <alignment horizontal="center" vertical="center"/>
    </xf>
    <xf numFmtId="0" fontId="32" fillId="4" borderId="6" xfId="0" applyFont="1" applyFill="1" applyBorder="1"/>
    <xf numFmtId="0" fontId="32" fillId="4" borderId="0" xfId="0" applyFont="1" applyFill="1"/>
    <xf numFmtId="0" fontId="12" fillId="4" borderId="6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/>
    </xf>
    <xf numFmtId="0" fontId="32" fillId="0" borderId="6" xfId="0" applyFont="1" applyBorder="1"/>
    <xf numFmtId="14" fontId="13" fillId="4" borderId="1" xfId="1" applyNumberFormat="1" applyFont="1" applyFill="1" applyBorder="1" applyAlignment="1">
      <alignment horizontal="center" vertical="center" wrapText="1"/>
    </xf>
    <xf numFmtId="165" fontId="25" fillId="4" borderId="6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34" fillId="0" borderId="0" xfId="0" applyFont="1"/>
    <xf numFmtId="14" fontId="13" fillId="5" borderId="1" xfId="1" applyNumberFormat="1" applyFont="1" applyFill="1" applyBorder="1" applyAlignment="1">
      <alignment horizontal="center" vertical="center" wrapText="1"/>
    </xf>
    <xf numFmtId="165" fontId="25" fillId="5" borderId="6" xfId="1" applyNumberFormat="1" applyFont="1" applyFill="1" applyBorder="1" applyAlignment="1">
      <alignment horizontal="center" vertical="center" wrapText="1"/>
    </xf>
    <xf numFmtId="0" fontId="13" fillId="4" borderId="6" xfId="0" quotePrefix="1" applyFont="1" applyFill="1" applyBorder="1" applyAlignment="1">
      <alignment horizontal="center" vertical="center" wrapText="1"/>
    </xf>
    <xf numFmtId="0" fontId="13" fillId="5" borderId="6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5" fillId="0" borderId="0" xfId="0" applyFont="1"/>
    <xf numFmtId="0" fontId="24" fillId="5" borderId="6" xfId="2" applyFont="1" applyFill="1" applyBorder="1" applyAlignment="1" applyProtection="1">
      <alignment horizontal="center" vertical="center" wrapText="1"/>
    </xf>
    <xf numFmtId="165" fontId="8" fillId="0" borderId="6" xfId="1" applyNumberFormat="1" applyFont="1" applyFill="1" applyBorder="1" applyAlignment="1">
      <alignment horizontal="center" vertical="center" wrapText="1"/>
    </xf>
    <xf numFmtId="164" fontId="32" fillId="0" borderId="6" xfId="1" applyFont="1" applyBorder="1"/>
    <xf numFmtId="165" fontId="12" fillId="0" borderId="6" xfId="1" applyNumberFormat="1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/>
    </xf>
    <xf numFmtId="165" fontId="16" fillId="8" borderId="6" xfId="1" applyNumberFormat="1" applyFont="1" applyFill="1" applyBorder="1" applyAlignment="1">
      <alignment horizontal="center" vertical="center" wrapText="1"/>
    </xf>
    <xf numFmtId="14" fontId="4" fillId="8" borderId="6" xfId="1" applyNumberFormat="1" applyFont="1" applyFill="1" applyBorder="1" applyAlignment="1">
      <alignment horizontal="center" vertical="center" wrapText="1"/>
    </xf>
    <xf numFmtId="165" fontId="12" fillId="8" borderId="6" xfId="1" applyNumberFormat="1" applyFont="1" applyFill="1" applyBorder="1" applyAlignment="1">
      <alignment horizontal="center" vertical="center" wrapText="1"/>
    </xf>
    <xf numFmtId="0" fontId="13" fillId="8" borderId="6" xfId="0" quotePrefix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165" fontId="8" fillId="8" borderId="6" xfId="1" applyNumberFormat="1" applyFont="1" applyFill="1" applyBorder="1" applyAlignment="1">
      <alignment horizontal="center" vertical="center" wrapText="1"/>
    </xf>
    <xf numFmtId="165" fontId="4" fillId="8" borderId="6" xfId="1" applyNumberFormat="1" applyFont="1" applyFill="1" applyBorder="1" applyAlignment="1">
      <alignment horizontal="center" vertical="center" wrapText="1"/>
    </xf>
    <xf numFmtId="165" fontId="13" fillId="8" borderId="6" xfId="1" applyNumberFormat="1" applyFont="1" applyFill="1" applyBorder="1" applyAlignment="1">
      <alignment horizontal="center" vertical="center" wrapText="1"/>
    </xf>
    <xf numFmtId="165" fontId="14" fillId="8" borderId="6" xfId="1" applyNumberFormat="1" applyFont="1" applyFill="1" applyBorder="1" applyAlignment="1">
      <alignment horizontal="center" vertical="center" wrapText="1"/>
    </xf>
    <xf numFmtId="165" fontId="11" fillId="8" borderId="6" xfId="1" applyNumberFormat="1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165" fontId="9" fillId="8" borderId="7" xfId="1" applyNumberFormat="1" applyFont="1" applyFill="1" applyBorder="1" applyAlignment="1">
      <alignment vertical="center" wrapText="1"/>
    </xf>
    <xf numFmtId="0" fontId="0" fillId="8" borderId="0" xfId="0" applyFill="1"/>
    <xf numFmtId="0" fontId="21" fillId="4" borderId="0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165" fontId="38" fillId="4" borderId="6" xfId="1" applyNumberFormat="1" applyFont="1" applyFill="1" applyBorder="1" applyAlignment="1">
      <alignment horizontal="center" vertical="center" wrapText="1"/>
    </xf>
    <xf numFmtId="0" fontId="39" fillId="4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34" fillId="8" borderId="6" xfId="1" applyNumberFormat="1" applyFont="1" applyFill="1" applyBorder="1" applyAlignment="1">
      <alignment horizontal="center" vertical="center" wrapText="1"/>
    </xf>
    <xf numFmtId="165" fontId="13" fillId="9" borderId="6" xfId="1" applyNumberFormat="1" applyFont="1" applyFill="1" applyBorder="1" applyAlignment="1">
      <alignment horizontal="center" vertical="center" wrapText="1"/>
    </xf>
    <xf numFmtId="14" fontId="4" fillId="9" borderId="6" xfId="1" applyNumberFormat="1" applyFont="1" applyFill="1" applyBorder="1" applyAlignment="1">
      <alignment horizontal="center" vertical="center" wrapText="1"/>
    </xf>
    <xf numFmtId="165" fontId="12" fillId="9" borderId="6" xfId="1" applyNumberFormat="1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165" fontId="8" fillId="9" borderId="6" xfId="1" applyNumberFormat="1" applyFont="1" applyFill="1" applyBorder="1" applyAlignment="1">
      <alignment horizontal="center" vertical="center" wrapText="1"/>
    </xf>
    <xf numFmtId="165" fontId="4" fillId="9" borderId="6" xfId="1" applyNumberFormat="1" applyFont="1" applyFill="1" applyBorder="1" applyAlignment="1">
      <alignment horizontal="center" vertical="center" wrapText="1"/>
    </xf>
    <xf numFmtId="165" fontId="14" fillId="9" borderId="6" xfId="1" applyNumberFormat="1" applyFont="1" applyFill="1" applyBorder="1" applyAlignment="1">
      <alignment horizontal="center" vertical="center" wrapText="1"/>
    </xf>
    <xf numFmtId="165" fontId="11" fillId="9" borderId="6" xfId="1" applyNumberFormat="1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 wrapText="1"/>
    </xf>
    <xf numFmtId="165" fontId="4" fillId="4" borderId="6" xfId="1" quotePrefix="1" applyNumberFormat="1" applyFont="1" applyFill="1" applyBorder="1" applyAlignment="1">
      <alignment horizontal="center" vertical="center" wrapText="1"/>
    </xf>
    <xf numFmtId="14" fontId="16" fillId="4" borderId="1" xfId="1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4" fillId="4" borderId="6" xfId="0" applyFont="1" applyFill="1" applyBorder="1" applyAlignment="1">
      <alignment horizontal="center" vertical="center" wrapText="1"/>
    </xf>
    <xf numFmtId="0" fontId="16" fillId="4" borderId="6" xfId="0" quotePrefix="1" applyFont="1" applyFill="1" applyBorder="1" applyAlignment="1">
      <alignment horizontal="center" vertical="center" wrapText="1"/>
    </xf>
    <xf numFmtId="14" fontId="16" fillId="4" borderId="6" xfId="0" applyNumberFormat="1" applyFont="1" applyFill="1" applyBorder="1" applyAlignment="1">
      <alignment horizontal="center" vertical="center"/>
    </xf>
    <xf numFmtId="0" fontId="40" fillId="4" borderId="0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left" vertical="center" wrapText="1"/>
    </xf>
    <xf numFmtId="165" fontId="24" fillId="0" borderId="6" xfId="2" applyNumberFormat="1" applyFont="1" applyBorder="1" applyAlignment="1" applyProtection="1">
      <alignment horizontal="center" vertical="center" wrapText="1"/>
    </xf>
    <xf numFmtId="166" fontId="18" fillId="10" borderId="6" xfId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1" applyNumberFormat="1" applyFont="1" applyBorder="1" applyAlignment="1">
      <alignment horizontal="center" vertical="center" wrapText="1"/>
    </xf>
    <xf numFmtId="165" fontId="41" fillId="0" borderId="6" xfId="2" applyNumberFormat="1" applyFont="1" applyBorder="1" applyAlignment="1" applyProtection="1">
      <alignment horizontal="center" vertical="center" wrapText="1"/>
    </xf>
    <xf numFmtId="14" fontId="26" fillId="11" borderId="6" xfId="0" applyNumberFormat="1" applyFont="1" applyFill="1" applyBorder="1" applyAlignment="1">
      <alignment horizontal="center" vertical="center"/>
    </xf>
    <xf numFmtId="165" fontId="16" fillId="11" borderId="6" xfId="1" applyNumberFormat="1" applyFont="1" applyFill="1" applyBorder="1" applyAlignment="1">
      <alignment horizontal="center" vertical="center" wrapText="1"/>
    </xf>
    <xf numFmtId="166" fontId="18" fillId="11" borderId="6" xfId="1" applyNumberFormat="1" applyFont="1" applyFill="1" applyBorder="1" applyAlignment="1">
      <alignment horizontal="center" vertical="center"/>
    </xf>
    <xf numFmtId="0" fontId="26" fillId="11" borderId="6" xfId="0" applyFont="1" applyFill="1" applyBorder="1" applyAlignment="1">
      <alignment horizontal="center" vertical="center"/>
    </xf>
    <xf numFmtId="0" fontId="0" fillId="11" borderId="6" xfId="0" applyFill="1" applyBorder="1"/>
    <xf numFmtId="0" fontId="4" fillId="0" borderId="0" xfId="0" quotePrefix="1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65" fontId="23" fillId="0" borderId="6" xfId="2" applyNumberFormat="1" applyBorder="1" applyAlignment="1" applyProtection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vertical="center"/>
    </xf>
    <xf numFmtId="0" fontId="12" fillId="4" borderId="10" xfId="0" quotePrefix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65" fontId="8" fillId="0" borderId="6" xfId="1" applyNumberFormat="1" applyFont="1" applyBorder="1" applyAlignment="1">
      <alignment horizontal="center" vertical="center" wrapText="1"/>
    </xf>
    <xf numFmtId="165" fontId="0" fillId="0" borderId="6" xfId="0" applyNumberFormat="1" applyBorder="1"/>
    <xf numFmtId="0" fontId="4" fillId="0" borderId="6" xfId="0" quotePrefix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44" fillId="0" borderId="6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vertical="center" wrapText="1"/>
    </xf>
    <xf numFmtId="165" fontId="7" fillId="2" borderId="5" xfId="1" applyNumberFormat="1" applyFont="1" applyFill="1" applyBorder="1" applyAlignment="1">
      <alignment horizontal="center" vertical="center" wrapText="1"/>
    </xf>
    <xf numFmtId="165" fontId="7" fillId="3" borderId="1" xfId="1" applyNumberFormat="1" applyFont="1" applyFill="1" applyBorder="1" applyAlignment="1">
      <alignment horizontal="center" vertical="center" wrapText="1"/>
    </xf>
    <xf numFmtId="165" fontId="7" fillId="3" borderId="5" xfId="1" applyNumberFormat="1" applyFont="1" applyFill="1" applyBorder="1" applyAlignment="1">
      <alignment horizontal="center" vertical="center" wrapText="1"/>
    </xf>
    <xf numFmtId="14" fontId="7" fillId="2" borderId="1" xfId="1" applyNumberFormat="1" applyFont="1" applyFill="1" applyBorder="1" applyAlignment="1">
      <alignment horizontal="center" vertical="center" wrapText="1"/>
    </xf>
    <xf numFmtId="14" fontId="10" fillId="2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7" fillId="0" borderId="1" xfId="1" applyNumberFormat="1" applyFont="1" applyBorder="1" applyAlignment="1">
      <alignment horizontal="center" vertical="center" wrapText="1"/>
    </xf>
    <xf numFmtId="14" fontId="22" fillId="0" borderId="5" xfId="1" applyNumberFormat="1" applyFont="1" applyBorder="1" applyAlignment="1">
      <alignment horizontal="center" vertical="center" wrapText="1"/>
    </xf>
    <xf numFmtId="165" fontId="7" fillId="0" borderId="1" xfId="1" applyNumberFormat="1" applyFont="1" applyBorder="1" applyAlignment="1">
      <alignment horizontal="center" vertical="center" wrapText="1"/>
    </xf>
    <xf numFmtId="165" fontId="7" fillId="0" borderId="5" xfId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29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usicvietnam.vn/" TargetMode="External"/><Relationship Id="rId13" Type="http://schemas.openxmlformats.org/officeDocument/2006/relationships/hyperlink" Target="http://www.dpc.company/" TargetMode="External"/><Relationship Id="rId3" Type="http://schemas.openxmlformats.org/officeDocument/2006/relationships/hyperlink" Target="http://www.kiwamirestaurantsushi.info.vn/" TargetMode="External"/><Relationship Id="rId7" Type="http://schemas.openxmlformats.org/officeDocument/2006/relationships/hyperlink" Target="http://www.thutuchaiquannhanh.com/" TargetMode="External"/><Relationship Id="rId12" Type="http://schemas.openxmlformats.org/officeDocument/2006/relationships/hyperlink" Target="http://www.ebracofilters.com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nhakhoathammydaiviet.vn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kiwamirestaurantsushi.info.vn/" TargetMode="External"/><Relationship Id="rId6" Type="http://schemas.openxmlformats.org/officeDocument/2006/relationships/hyperlink" Target="http://trungvietco.com.vn/" TargetMode="External"/><Relationship Id="rId11" Type="http://schemas.openxmlformats.org/officeDocument/2006/relationships/hyperlink" Target="http://www.glimex.com.vn/" TargetMode="External"/><Relationship Id="rId5" Type="http://schemas.openxmlformats.org/officeDocument/2006/relationships/hyperlink" Target="http://www.goldideas.com.v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xenangchothue.com/" TargetMode="External"/><Relationship Id="rId4" Type="http://schemas.openxmlformats.org/officeDocument/2006/relationships/hyperlink" Target="http://www.medfatop.com/" TargetMode="External"/><Relationship Id="rId9" Type="http://schemas.openxmlformats.org/officeDocument/2006/relationships/hyperlink" Target="http://harrytsaiart.com/" TargetMode="External"/><Relationship Id="rId14" Type="http://schemas.openxmlformats.org/officeDocument/2006/relationships/hyperlink" Target="http://www.inquangcaovietnhat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iwamirestaurantsushi.info.vn/" TargetMode="External"/><Relationship Id="rId2" Type="http://schemas.openxmlformats.org/officeDocument/2006/relationships/hyperlink" Target="http://www.nhakhoathammydaiviet.vn/" TargetMode="External"/><Relationship Id="rId1" Type="http://schemas.openxmlformats.org/officeDocument/2006/relationships/hyperlink" Target="http://www.kiwamirestaurantsushi.info.vn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goldideas.com.vn/" TargetMode="External"/><Relationship Id="rId1" Type="http://schemas.openxmlformats.org/officeDocument/2006/relationships/hyperlink" Target="http://www.medfatop.com/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trungvietco.com.vn/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harrytsaiart.com/" TargetMode="External"/><Relationship Id="rId2" Type="http://schemas.openxmlformats.org/officeDocument/2006/relationships/hyperlink" Target="http://imusicvietnam.vn/" TargetMode="External"/><Relationship Id="rId1" Type="http://schemas.openxmlformats.org/officeDocument/2006/relationships/hyperlink" Target="http://www.thutuchaiquannhanh.com/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racofilters.com/" TargetMode="External"/><Relationship Id="rId2" Type="http://schemas.openxmlformats.org/officeDocument/2006/relationships/hyperlink" Target="http://www.glimex.com.vn/" TargetMode="External"/><Relationship Id="rId1" Type="http://schemas.openxmlformats.org/officeDocument/2006/relationships/hyperlink" Target="http://www.xenangchothue.com/" TargetMode="External"/><Relationship Id="rId6" Type="http://schemas.openxmlformats.org/officeDocument/2006/relationships/comments" Target="../comments8.xml"/><Relationship Id="rId5" Type="http://schemas.openxmlformats.org/officeDocument/2006/relationships/vmlDrawing" Target="../drawings/vmlDrawing8.v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imex.com.vn/" TargetMode="External"/><Relationship Id="rId2" Type="http://schemas.openxmlformats.org/officeDocument/2006/relationships/hyperlink" Target="http://www.thutuchaiquannhanh.com/" TargetMode="External"/><Relationship Id="rId1" Type="http://schemas.openxmlformats.org/officeDocument/2006/relationships/hyperlink" Target="http://trungvietco.com.vn/" TargetMode="External"/><Relationship Id="rId6" Type="http://schemas.openxmlformats.org/officeDocument/2006/relationships/comments" Target="../comments9.xml"/><Relationship Id="rId5" Type="http://schemas.openxmlformats.org/officeDocument/2006/relationships/vmlDrawing" Target="../drawings/vmlDrawing9.vml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aily.pavietnam.vn/index.php" TargetMode="External"/><Relationship Id="rId2" Type="http://schemas.openxmlformats.org/officeDocument/2006/relationships/hyperlink" Target="mailto:khanhnb.vpro@gmail.com" TargetMode="External"/><Relationship Id="rId1" Type="http://schemas.openxmlformats.org/officeDocument/2006/relationships/hyperlink" Target="https://adwords.google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hyperlink" Target="http://www.inquangcaovietnhat.com/" TargetMode="External"/><Relationship Id="rId1" Type="http://schemas.openxmlformats.org/officeDocument/2006/relationships/hyperlink" Target="http://www.dpc.company/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zoomScale="90" zoomScaleNormal="90" workbookViewId="0">
      <pane xSplit="3" ySplit="5" topLeftCell="U294" activePane="bottomRight" state="frozen"/>
      <selection pane="topRight" activeCell="D1" sqref="D1"/>
      <selection pane="bottomLeft" activeCell="A6" sqref="A6"/>
      <selection pane="bottomRight" activeCell="A271" sqref="A271:Z298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95"/>
      <c r="E3" s="211" t="s">
        <v>4</v>
      </c>
      <c r="F3" s="217" t="s">
        <v>5</v>
      </c>
      <c r="G3" s="211" t="s">
        <v>1130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31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46.8">
      <c r="A6" s="23" t="s">
        <v>29</v>
      </c>
      <c r="B6" s="17">
        <v>42005</v>
      </c>
      <c r="C6" s="18" t="s">
        <v>30</v>
      </c>
      <c r="D6" s="20"/>
      <c r="E6" s="28" t="s">
        <v>45</v>
      </c>
      <c r="F6" s="21" t="s">
        <v>79</v>
      </c>
      <c r="G6" s="22" t="s">
        <v>28</v>
      </c>
      <c r="H6" s="23">
        <v>0</v>
      </c>
      <c r="I6" s="24"/>
      <c r="J6" s="23"/>
      <c r="K6" s="24">
        <v>6528000</v>
      </c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" si="0">+SUM(H6:T6)</f>
        <v>6528000</v>
      </c>
      <c r="V6" s="23">
        <f>3264000+3264000</f>
        <v>6528000</v>
      </c>
      <c r="W6" s="17" t="s">
        <v>685</v>
      </c>
      <c r="X6" s="17"/>
      <c r="Y6" s="22">
        <f t="shared" ref="Y6:Y69" si="1">U6-V6</f>
        <v>0</v>
      </c>
      <c r="Z6" s="25"/>
      <c r="AA6" s="29" t="s">
        <v>225</v>
      </c>
    </row>
    <row r="7" spans="1:27" ht="15.6">
      <c r="A7" s="27"/>
      <c r="B7" s="17">
        <v>42005</v>
      </c>
      <c r="C7" s="18" t="s">
        <v>39</v>
      </c>
      <c r="D7" s="20" t="s">
        <v>40</v>
      </c>
      <c r="E7" s="28"/>
      <c r="F7" s="21" t="s">
        <v>41</v>
      </c>
      <c r="G7" s="22" t="s">
        <v>28</v>
      </c>
      <c r="H7" s="23">
        <v>250000</v>
      </c>
      <c r="I7" s="24"/>
      <c r="J7" s="23"/>
      <c r="K7" s="24"/>
      <c r="L7" s="24"/>
      <c r="M7" s="23"/>
      <c r="N7" s="24"/>
      <c r="O7" s="24"/>
      <c r="P7" s="24"/>
      <c r="Q7" s="24"/>
      <c r="R7" s="24"/>
      <c r="S7" s="24"/>
      <c r="T7" s="24"/>
      <c r="U7" s="16">
        <f t="shared" ref="U7" si="2">+SUM(H7:T7)</f>
        <v>250000</v>
      </c>
      <c r="V7" s="23">
        <v>250000</v>
      </c>
      <c r="W7" s="17">
        <v>42024</v>
      </c>
      <c r="X7" s="17"/>
      <c r="Y7" s="22">
        <f t="shared" si="1"/>
        <v>0</v>
      </c>
      <c r="Z7" s="25"/>
      <c r="AA7" s="29"/>
    </row>
    <row r="8" spans="1:27" ht="62.4">
      <c r="A8" s="60" t="s">
        <v>42</v>
      </c>
      <c r="B8" s="17">
        <v>42005</v>
      </c>
      <c r="C8" s="18" t="s">
        <v>43</v>
      </c>
      <c r="D8" s="20" t="s">
        <v>44</v>
      </c>
      <c r="E8" s="20" t="s">
        <v>51</v>
      </c>
      <c r="F8" s="21" t="s">
        <v>46</v>
      </c>
      <c r="G8" s="22" t="s">
        <v>47</v>
      </c>
      <c r="H8" s="23"/>
      <c r="I8" s="24"/>
      <c r="J8" s="23"/>
      <c r="K8" s="24">
        <v>26599000</v>
      </c>
      <c r="L8" s="24"/>
      <c r="M8" s="23"/>
      <c r="N8" s="24"/>
      <c r="O8" s="24"/>
      <c r="P8" s="24"/>
      <c r="Q8" s="24"/>
      <c r="R8" s="24"/>
      <c r="S8" s="24">
        <v>6599000</v>
      </c>
      <c r="T8" s="24"/>
      <c r="U8" s="16">
        <f>+SUM(H8:T8)-S8</f>
        <v>26599000</v>
      </c>
      <c r="V8" s="23">
        <f>11969550</f>
        <v>11969550</v>
      </c>
      <c r="W8" s="17">
        <v>42009</v>
      </c>
      <c r="X8" s="17" t="s">
        <v>1120</v>
      </c>
      <c r="Y8" s="22">
        <f t="shared" si="1"/>
        <v>14629450</v>
      </c>
      <c r="Z8" s="25" t="s">
        <v>401</v>
      </c>
      <c r="AA8" s="29" t="s">
        <v>225</v>
      </c>
    </row>
    <row r="9" spans="1:27" s="63" customFormat="1" ht="31.2">
      <c r="A9" s="27" t="s">
        <v>48</v>
      </c>
      <c r="B9" s="17">
        <v>42005</v>
      </c>
      <c r="C9" s="18" t="s">
        <v>49</v>
      </c>
      <c r="D9" s="61" t="s">
        <v>50</v>
      </c>
      <c r="E9" s="20" t="s">
        <v>51</v>
      </c>
      <c r="F9" s="21" t="s">
        <v>52</v>
      </c>
      <c r="G9" s="22" t="s">
        <v>28</v>
      </c>
      <c r="H9" s="23"/>
      <c r="I9" s="24"/>
      <c r="J9" s="23"/>
      <c r="K9" s="24">
        <v>7000000</v>
      </c>
      <c r="L9" s="24"/>
      <c r="M9" s="23"/>
      <c r="N9" s="24"/>
      <c r="O9" s="24"/>
      <c r="P9" s="24"/>
      <c r="Q9" s="24"/>
      <c r="R9" s="24"/>
      <c r="S9" s="24">
        <v>700000</v>
      </c>
      <c r="T9" s="24"/>
      <c r="U9" s="16">
        <f>+SUM(H9:T9)-S9</f>
        <v>7000000</v>
      </c>
      <c r="V9" s="23">
        <f>3500000+3500000</f>
        <v>7000000</v>
      </c>
      <c r="W9" s="17" t="s">
        <v>821</v>
      </c>
      <c r="X9" s="17" t="s">
        <v>53</v>
      </c>
      <c r="Y9" s="22">
        <f t="shared" si="1"/>
        <v>0</v>
      </c>
      <c r="Z9" s="62" t="s">
        <v>822</v>
      </c>
      <c r="AA9" s="29" t="s">
        <v>225</v>
      </c>
    </row>
    <row r="10" spans="1:27" ht="31.2">
      <c r="A10" s="27"/>
      <c r="B10" s="17">
        <v>42003</v>
      </c>
      <c r="C10" s="18" t="s">
        <v>113</v>
      </c>
      <c r="D10" s="20"/>
      <c r="E10" s="28" t="s">
        <v>96</v>
      </c>
      <c r="F10" s="21" t="s">
        <v>54</v>
      </c>
      <c r="G10" s="22" t="s">
        <v>91</v>
      </c>
      <c r="H10" s="23">
        <v>350000</v>
      </c>
      <c r="I10" s="24"/>
      <c r="J10" s="23">
        <v>660000</v>
      </c>
      <c r="K10" s="24"/>
      <c r="L10" s="24"/>
      <c r="M10" s="23"/>
      <c r="N10" s="24"/>
      <c r="O10" s="24"/>
      <c r="P10" s="24"/>
      <c r="Q10" s="24"/>
      <c r="R10" s="24"/>
      <c r="S10" s="24"/>
      <c r="T10" s="24"/>
      <c r="U10" s="16">
        <f>+SUM(H10:T10)-S10</f>
        <v>1010000</v>
      </c>
      <c r="V10" s="23">
        <v>1010000</v>
      </c>
      <c r="W10" s="17">
        <v>42013</v>
      </c>
      <c r="X10" s="17"/>
      <c r="Y10" s="22">
        <f t="shared" si="1"/>
        <v>0</v>
      </c>
      <c r="Z10" s="25"/>
      <c r="AA10" s="29" t="s">
        <v>227</v>
      </c>
    </row>
    <row r="11" spans="1:27" s="87" customFormat="1" ht="46.8">
      <c r="A11" s="27" t="s">
        <v>55</v>
      </c>
      <c r="B11" s="81">
        <v>41988</v>
      </c>
      <c r="C11" s="82" t="s">
        <v>56</v>
      </c>
      <c r="D11" s="83" t="s">
        <v>57</v>
      </c>
      <c r="E11" s="84" t="s">
        <v>45</v>
      </c>
      <c r="F11" s="30"/>
      <c r="G11" s="27" t="s">
        <v>58</v>
      </c>
      <c r="H11" s="27">
        <v>0</v>
      </c>
      <c r="I11" s="30"/>
      <c r="J11" s="27">
        <v>0</v>
      </c>
      <c r="K11" s="30">
        <v>5000000</v>
      </c>
      <c r="L11" s="30"/>
      <c r="M11" s="27"/>
      <c r="N11" s="30"/>
      <c r="O11" s="30"/>
      <c r="P11" s="30"/>
      <c r="Q11" s="30"/>
      <c r="R11" s="30"/>
      <c r="S11" s="30"/>
      <c r="T11" s="30"/>
      <c r="U11" s="85"/>
      <c r="V11" s="27"/>
      <c r="W11" s="81"/>
      <c r="X11" s="81"/>
      <c r="Y11" s="22">
        <f t="shared" si="1"/>
        <v>0</v>
      </c>
      <c r="Z11" s="83" t="s">
        <v>108</v>
      </c>
      <c r="AA11" s="86"/>
    </row>
    <row r="12" spans="1:27" ht="46.8">
      <c r="A12" s="64" t="s">
        <v>63</v>
      </c>
      <c r="B12" s="65">
        <v>42009</v>
      </c>
      <c r="C12" s="66" t="s">
        <v>59</v>
      </c>
      <c r="D12" s="67" t="s">
        <v>60</v>
      </c>
      <c r="E12" s="67" t="s">
        <v>45</v>
      </c>
      <c r="F12" s="68" t="s">
        <v>61</v>
      </c>
      <c r="G12" s="69" t="s">
        <v>62</v>
      </c>
      <c r="H12" s="70">
        <v>360000</v>
      </c>
      <c r="I12" s="70"/>
      <c r="J12" s="70">
        <v>648000</v>
      </c>
      <c r="K12" s="70"/>
      <c r="L12" s="71"/>
      <c r="M12" s="71"/>
      <c r="N12" s="70"/>
      <c r="O12" s="70"/>
      <c r="P12" s="70"/>
      <c r="Q12" s="70"/>
      <c r="R12" s="70"/>
      <c r="S12" s="70"/>
      <c r="T12" s="73">
        <v>64800</v>
      </c>
      <c r="U12" s="72">
        <f t="shared" ref="U12:U49" si="3">+SUM(H12:T12)</f>
        <v>1072800</v>
      </c>
      <c r="V12" s="70">
        <v>1072800</v>
      </c>
      <c r="W12" s="101">
        <v>42020</v>
      </c>
      <c r="X12" s="74" t="s">
        <v>69</v>
      </c>
      <c r="Y12" s="22">
        <f t="shared" si="1"/>
        <v>0</v>
      </c>
      <c r="Z12" s="102" t="s">
        <v>141</v>
      </c>
      <c r="AA12" s="120" t="s">
        <v>67</v>
      </c>
    </row>
    <row r="13" spans="1:27" ht="46.8">
      <c r="A13" s="27" t="s">
        <v>70</v>
      </c>
      <c r="B13" s="17">
        <v>42011</v>
      </c>
      <c r="C13" s="18" t="s">
        <v>71</v>
      </c>
      <c r="D13" s="20" t="s">
        <v>72</v>
      </c>
      <c r="E13" s="28" t="s">
        <v>110</v>
      </c>
      <c r="F13" s="21" t="s">
        <v>78</v>
      </c>
      <c r="G13" s="22" t="s">
        <v>28</v>
      </c>
      <c r="H13" s="57"/>
      <c r="I13" s="23">
        <v>2160000</v>
      </c>
      <c r="J13" s="23"/>
      <c r="K13" s="23"/>
      <c r="L13" s="57"/>
      <c r="M13" s="57"/>
      <c r="N13" s="23"/>
      <c r="O13" s="23"/>
      <c r="P13" s="23"/>
      <c r="Q13" s="23"/>
      <c r="R13" s="23"/>
      <c r="S13" s="23"/>
      <c r="T13" s="24">
        <v>216000</v>
      </c>
      <c r="U13" s="16">
        <f t="shared" si="3"/>
        <v>2376000</v>
      </c>
      <c r="V13" s="23">
        <v>2376000</v>
      </c>
      <c r="W13" s="17">
        <v>42016</v>
      </c>
      <c r="X13" s="17" t="s">
        <v>77</v>
      </c>
      <c r="Y13" s="22">
        <f t="shared" si="1"/>
        <v>0</v>
      </c>
      <c r="Z13" s="62" t="s">
        <v>80</v>
      </c>
      <c r="AA13" t="s">
        <v>111</v>
      </c>
    </row>
    <row r="14" spans="1:27" ht="46.8">
      <c r="A14" s="23" t="s">
        <v>73</v>
      </c>
      <c r="B14" s="17">
        <v>42011</v>
      </c>
      <c r="C14" s="18" t="s">
        <v>74</v>
      </c>
      <c r="D14" s="20" t="s">
        <v>75</v>
      </c>
      <c r="E14" s="28" t="s">
        <v>45</v>
      </c>
      <c r="F14" s="21" t="s">
        <v>76</v>
      </c>
      <c r="G14" s="22" t="s">
        <v>28</v>
      </c>
      <c r="H14" s="57"/>
      <c r="I14" s="23">
        <v>1200000</v>
      </c>
      <c r="J14" s="23">
        <v>1690000</v>
      </c>
      <c r="K14" s="23">
        <v>3600000</v>
      </c>
      <c r="L14" s="57"/>
      <c r="M14" s="57"/>
      <c r="N14" s="23"/>
      <c r="O14" s="23"/>
      <c r="P14" s="23"/>
      <c r="Q14" s="23"/>
      <c r="R14" s="23"/>
      <c r="S14" s="23"/>
      <c r="T14" s="23"/>
      <c r="U14" s="16">
        <f t="shared" si="3"/>
        <v>6490000</v>
      </c>
      <c r="V14" s="23">
        <f>3245000+3245000</f>
        <v>6490000</v>
      </c>
      <c r="W14" s="17" t="s">
        <v>146</v>
      </c>
      <c r="X14" s="57"/>
      <c r="Y14" s="22">
        <f t="shared" si="1"/>
        <v>0</v>
      </c>
      <c r="Z14" s="62"/>
      <c r="AA14" s="29" t="s">
        <v>225</v>
      </c>
    </row>
    <row r="15" spans="1:27" ht="46.8">
      <c r="A15" s="70" t="s">
        <v>84</v>
      </c>
      <c r="B15" s="65">
        <v>42012</v>
      </c>
      <c r="C15" s="66" t="s">
        <v>81</v>
      </c>
      <c r="D15" s="67" t="s">
        <v>82</v>
      </c>
      <c r="E15" s="67" t="s">
        <v>45</v>
      </c>
      <c r="F15" s="68" t="s">
        <v>83</v>
      </c>
      <c r="G15" s="69" t="s">
        <v>62</v>
      </c>
      <c r="H15" s="70">
        <v>630000</v>
      </c>
      <c r="I15" s="70"/>
      <c r="J15" s="70">
        <v>768000</v>
      </c>
      <c r="K15" s="70"/>
      <c r="L15" s="71"/>
      <c r="M15" s="71"/>
      <c r="N15" s="70"/>
      <c r="O15" s="70"/>
      <c r="P15" s="70"/>
      <c r="Q15" s="70"/>
      <c r="R15" s="70"/>
      <c r="S15" s="70"/>
      <c r="T15" s="73">
        <v>76800</v>
      </c>
      <c r="U15" s="72">
        <f t="shared" si="3"/>
        <v>1474800</v>
      </c>
      <c r="V15" s="70">
        <v>1474800</v>
      </c>
      <c r="W15" s="65">
        <v>42060</v>
      </c>
      <c r="X15" s="74" t="s">
        <v>240</v>
      </c>
      <c r="Y15" s="22">
        <f t="shared" si="1"/>
        <v>0</v>
      </c>
      <c r="Z15" s="77"/>
      <c r="AA15" t="s">
        <v>67</v>
      </c>
    </row>
    <row r="16" spans="1:27" ht="31.2">
      <c r="A16" s="27" t="s">
        <v>87</v>
      </c>
      <c r="B16" s="17">
        <v>42012</v>
      </c>
      <c r="C16" s="18" t="s">
        <v>88</v>
      </c>
      <c r="D16" s="57"/>
      <c r="E16" s="28" t="s">
        <v>86</v>
      </c>
      <c r="F16" s="21" t="s">
        <v>85</v>
      </c>
      <c r="G16" s="22" t="s">
        <v>28</v>
      </c>
      <c r="H16" s="23">
        <v>1550000</v>
      </c>
      <c r="I16" s="57"/>
      <c r="J16" s="57"/>
      <c r="K16" s="57"/>
      <c r="L16" s="57"/>
      <c r="M16" s="57"/>
      <c r="N16" s="23"/>
      <c r="O16" s="23"/>
      <c r="P16" s="23"/>
      <c r="Q16" s="23"/>
      <c r="R16" s="23"/>
      <c r="S16" s="23"/>
      <c r="T16" s="23"/>
      <c r="U16" s="16">
        <f t="shared" si="3"/>
        <v>1550000</v>
      </c>
      <c r="V16" s="23">
        <v>1550000</v>
      </c>
      <c r="W16" s="17">
        <v>42013</v>
      </c>
      <c r="X16" s="57"/>
      <c r="Y16" s="22">
        <f t="shared" si="1"/>
        <v>0</v>
      </c>
      <c r="Z16" s="62"/>
      <c r="AA16" t="s">
        <v>67</v>
      </c>
    </row>
    <row r="17" spans="1:27" ht="15.6">
      <c r="A17" s="27"/>
      <c r="B17" s="42">
        <v>42012</v>
      </c>
      <c r="C17" s="18" t="s">
        <v>92</v>
      </c>
      <c r="D17" s="57"/>
      <c r="E17" s="28"/>
      <c r="F17" s="21" t="s">
        <v>90</v>
      </c>
      <c r="G17" s="22" t="s">
        <v>94</v>
      </c>
      <c r="H17" s="43">
        <v>250000</v>
      </c>
      <c r="I17" s="57"/>
      <c r="J17" s="57"/>
      <c r="K17" s="57"/>
      <c r="L17" s="57"/>
      <c r="M17" s="57"/>
      <c r="N17" s="23"/>
      <c r="O17" s="23"/>
      <c r="P17" s="23"/>
      <c r="Q17" s="23"/>
      <c r="R17" s="23"/>
      <c r="S17" s="23"/>
      <c r="T17" s="23"/>
      <c r="U17" s="16">
        <f t="shared" si="3"/>
        <v>250000</v>
      </c>
      <c r="V17" s="23">
        <v>250000</v>
      </c>
      <c r="W17" s="17">
        <v>42012</v>
      </c>
      <c r="X17" s="57"/>
      <c r="Y17" s="22">
        <f t="shared" si="1"/>
        <v>0</v>
      </c>
      <c r="Z17" s="62"/>
      <c r="AA17" t="s">
        <v>67</v>
      </c>
    </row>
    <row r="18" spans="1:27" ht="15.6">
      <c r="A18" s="27"/>
      <c r="B18" s="42">
        <v>42012</v>
      </c>
      <c r="C18" s="18" t="s">
        <v>93</v>
      </c>
      <c r="D18" s="57"/>
      <c r="E18" s="28"/>
      <c r="F18" s="21" t="s">
        <v>89</v>
      </c>
      <c r="G18" s="22" t="s">
        <v>91</v>
      </c>
      <c r="H18" s="43">
        <v>250000</v>
      </c>
      <c r="I18" s="57"/>
      <c r="J18" s="57"/>
      <c r="K18" s="57"/>
      <c r="L18" s="57"/>
      <c r="M18" s="57"/>
      <c r="N18" s="23"/>
      <c r="O18" s="23"/>
      <c r="P18" s="23"/>
      <c r="Q18" s="23"/>
      <c r="R18" s="23"/>
      <c r="S18" s="23"/>
      <c r="T18" s="23"/>
      <c r="U18" s="16">
        <f t="shared" si="3"/>
        <v>250000</v>
      </c>
      <c r="V18" s="23">
        <v>250000</v>
      </c>
      <c r="W18" s="17">
        <v>42012</v>
      </c>
      <c r="X18" s="57"/>
      <c r="Y18" s="22">
        <f t="shared" si="1"/>
        <v>0</v>
      </c>
      <c r="Z18" s="62"/>
      <c r="AA18" t="s">
        <v>67</v>
      </c>
    </row>
    <row r="19" spans="1:27" ht="46.8">
      <c r="A19" s="23" t="s">
        <v>97</v>
      </c>
      <c r="B19" s="42">
        <v>42012</v>
      </c>
      <c r="C19" s="18" t="s">
        <v>98</v>
      </c>
      <c r="D19" s="20" t="s">
        <v>100</v>
      </c>
      <c r="E19" s="28" t="s">
        <v>51</v>
      </c>
      <c r="F19" s="21" t="s">
        <v>99</v>
      </c>
      <c r="G19" s="22" t="s">
        <v>91</v>
      </c>
      <c r="H19" s="43"/>
      <c r="I19" s="57"/>
      <c r="J19" s="57"/>
      <c r="K19" s="24">
        <v>7000000</v>
      </c>
      <c r="L19" s="57"/>
      <c r="M19" s="57"/>
      <c r="N19" s="23"/>
      <c r="O19" s="23"/>
      <c r="P19" s="23"/>
      <c r="Q19" s="23"/>
      <c r="R19" s="23"/>
      <c r="S19" s="23"/>
      <c r="T19" s="23"/>
      <c r="U19" s="16">
        <f t="shared" si="3"/>
        <v>7000000</v>
      </c>
      <c r="V19" s="23">
        <f>3500000+3500000</f>
        <v>7000000</v>
      </c>
      <c r="W19" s="17" t="s">
        <v>428</v>
      </c>
      <c r="X19" s="17" t="s">
        <v>429</v>
      </c>
      <c r="Y19" s="22">
        <f t="shared" si="1"/>
        <v>0</v>
      </c>
      <c r="Z19" s="62" t="s">
        <v>430</v>
      </c>
      <c r="AA19" s="29" t="s">
        <v>225</v>
      </c>
    </row>
    <row r="20" spans="1:27" s="87" customFormat="1" ht="46.8">
      <c r="A20" s="64" t="s">
        <v>106</v>
      </c>
      <c r="B20" s="91">
        <v>42013</v>
      </c>
      <c r="C20" s="92" t="s">
        <v>103</v>
      </c>
      <c r="D20" s="88" t="s">
        <v>104</v>
      </c>
      <c r="E20" s="88" t="s">
        <v>45</v>
      </c>
      <c r="F20" s="93" t="s">
        <v>105</v>
      </c>
      <c r="G20" s="64" t="s">
        <v>62</v>
      </c>
      <c r="H20" s="94">
        <v>747000</v>
      </c>
      <c r="I20" s="95"/>
      <c r="J20" s="94">
        <v>1200000</v>
      </c>
      <c r="K20" s="95"/>
      <c r="L20" s="95"/>
      <c r="M20" s="95"/>
      <c r="N20" s="64"/>
      <c r="O20" s="64"/>
      <c r="P20" s="64"/>
      <c r="Q20" s="64"/>
      <c r="R20" s="64"/>
      <c r="S20" s="64"/>
      <c r="T20" s="93">
        <v>120000</v>
      </c>
      <c r="U20" s="93"/>
      <c r="V20" s="64"/>
      <c r="W20" s="96"/>
      <c r="X20" s="95"/>
      <c r="Y20" s="22">
        <f t="shared" si="1"/>
        <v>0</v>
      </c>
      <c r="Z20" s="88" t="s">
        <v>108</v>
      </c>
    </row>
    <row r="21" spans="1:27" s="63" customFormat="1" ht="31.2">
      <c r="A21" s="64"/>
      <c r="B21" s="97">
        <v>42014</v>
      </c>
      <c r="C21" s="98" t="s">
        <v>64</v>
      </c>
      <c r="D21" s="99"/>
      <c r="E21" s="67" t="s">
        <v>65</v>
      </c>
      <c r="F21" s="100" t="s">
        <v>66</v>
      </c>
      <c r="G21" s="69" t="s">
        <v>62</v>
      </c>
      <c r="H21" s="89"/>
      <c r="I21" s="71"/>
      <c r="J21" s="70"/>
      <c r="K21" s="90"/>
      <c r="L21" s="71"/>
      <c r="M21" s="71"/>
      <c r="N21" s="71"/>
      <c r="O21" s="71"/>
      <c r="P21" s="90">
        <v>1040000</v>
      </c>
      <c r="Q21" s="90"/>
      <c r="R21" s="71"/>
      <c r="S21" s="71"/>
      <c r="T21" s="90">
        <v>104000</v>
      </c>
      <c r="U21" s="72">
        <f>+SUM(H21:T21)</f>
        <v>1144000</v>
      </c>
      <c r="V21" s="70">
        <v>1144000</v>
      </c>
      <c r="W21" s="101">
        <v>42020</v>
      </c>
      <c r="X21" s="74" t="s">
        <v>68</v>
      </c>
      <c r="Y21" s="22">
        <f t="shared" si="1"/>
        <v>0</v>
      </c>
      <c r="Z21" s="102" t="s">
        <v>141</v>
      </c>
      <c r="AA21" s="75" t="s">
        <v>67</v>
      </c>
    </row>
    <row r="22" spans="1:27" ht="15.6">
      <c r="A22" s="27"/>
      <c r="B22" s="17"/>
      <c r="C22" s="18" t="s">
        <v>231</v>
      </c>
      <c r="D22" s="20"/>
      <c r="E22" s="28" t="s">
        <v>109</v>
      </c>
      <c r="F22" s="21" t="s">
        <v>127</v>
      </c>
      <c r="G22" s="22" t="s">
        <v>102</v>
      </c>
      <c r="H22" s="43">
        <v>250000</v>
      </c>
      <c r="I22" s="57"/>
      <c r="J22" s="57"/>
      <c r="K22" s="57"/>
      <c r="L22" s="57"/>
      <c r="M22" s="57"/>
      <c r="N22" s="23"/>
      <c r="O22" s="23"/>
      <c r="P22" s="23"/>
      <c r="Q22" s="23"/>
      <c r="R22" s="23"/>
      <c r="S22" s="23"/>
      <c r="T22" s="24"/>
      <c r="U22" s="16">
        <f t="shared" si="3"/>
        <v>250000</v>
      </c>
      <c r="V22" s="57"/>
      <c r="W22" s="57"/>
      <c r="X22" s="57"/>
      <c r="Y22" s="22">
        <f t="shared" si="1"/>
        <v>250000</v>
      </c>
      <c r="Z22" s="57"/>
      <c r="AA22" t="s">
        <v>112</v>
      </c>
    </row>
    <row r="23" spans="1:27" ht="46.8">
      <c r="A23" s="64"/>
      <c r="B23" s="65">
        <v>42016</v>
      </c>
      <c r="C23" s="66" t="s">
        <v>114</v>
      </c>
      <c r="D23" s="67" t="s">
        <v>115</v>
      </c>
      <c r="E23" s="67" t="s">
        <v>45</v>
      </c>
      <c r="F23" s="68" t="s">
        <v>116</v>
      </c>
      <c r="G23" s="69" t="s">
        <v>62</v>
      </c>
      <c r="H23" s="89">
        <v>630000</v>
      </c>
      <c r="I23" s="89"/>
      <c r="J23" s="89">
        <v>576000</v>
      </c>
      <c r="K23" s="90">
        <v>400000</v>
      </c>
      <c r="L23" s="89"/>
      <c r="M23" s="89"/>
      <c r="N23" s="70"/>
      <c r="O23" s="70"/>
      <c r="P23" s="70"/>
      <c r="Q23" s="70"/>
      <c r="R23" s="70"/>
      <c r="S23" s="70"/>
      <c r="T23" s="90">
        <v>57600</v>
      </c>
      <c r="U23" s="72">
        <f t="shared" si="3"/>
        <v>1663600</v>
      </c>
      <c r="V23" s="70">
        <v>1663600</v>
      </c>
      <c r="W23" s="101">
        <v>42060</v>
      </c>
      <c r="X23" s="74" t="s">
        <v>241</v>
      </c>
      <c r="Y23" s="22">
        <f t="shared" si="1"/>
        <v>0</v>
      </c>
      <c r="Z23" s="71"/>
      <c r="AA23" t="s">
        <v>67</v>
      </c>
    </row>
    <row r="24" spans="1:27" ht="46.8">
      <c r="A24" s="23" t="s">
        <v>121</v>
      </c>
      <c r="B24" s="17">
        <v>42017</v>
      </c>
      <c r="C24" s="18" t="s">
        <v>122</v>
      </c>
      <c r="D24" s="20" t="s">
        <v>123</v>
      </c>
      <c r="E24" s="28" t="s">
        <v>45</v>
      </c>
      <c r="F24" s="21" t="s">
        <v>124</v>
      </c>
      <c r="G24" s="22" t="s">
        <v>125</v>
      </c>
      <c r="H24" s="23">
        <v>830000</v>
      </c>
      <c r="I24" s="57"/>
      <c r="J24" s="23">
        <v>0</v>
      </c>
      <c r="K24" s="24">
        <f>6000000-830000</f>
        <v>5170000</v>
      </c>
      <c r="L24" s="57"/>
      <c r="M24" s="57"/>
      <c r="N24" s="23"/>
      <c r="O24" s="23"/>
      <c r="P24" s="23"/>
      <c r="Q24" s="23"/>
      <c r="R24" s="23"/>
      <c r="S24" s="23"/>
      <c r="T24" s="24"/>
      <c r="U24" s="16">
        <f t="shared" si="3"/>
        <v>6000000</v>
      </c>
      <c r="V24" s="23">
        <f>3000000+3000000</f>
        <v>6000000</v>
      </c>
      <c r="W24" s="17" t="s">
        <v>870</v>
      </c>
      <c r="X24" s="57"/>
      <c r="Y24" s="22">
        <f t="shared" si="1"/>
        <v>0</v>
      </c>
      <c r="Z24" s="62" t="s">
        <v>126</v>
      </c>
      <c r="AA24" t="s">
        <v>112</v>
      </c>
    </row>
    <row r="25" spans="1:27" s="87" customFormat="1" ht="46.8">
      <c r="A25" s="27" t="s">
        <v>128</v>
      </c>
      <c r="B25" s="81">
        <v>42018</v>
      </c>
      <c r="C25" s="82" t="s">
        <v>118</v>
      </c>
      <c r="D25" s="83" t="s">
        <v>119</v>
      </c>
      <c r="E25" s="84" t="s">
        <v>45</v>
      </c>
      <c r="F25" s="30" t="s">
        <v>120</v>
      </c>
      <c r="G25" s="27" t="s">
        <v>117</v>
      </c>
      <c r="H25" s="27">
        <v>913000</v>
      </c>
      <c r="I25" s="127"/>
      <c r="J25" s="27">
        <f>4213000-913000</f>
        <v>3300000</v>
      </c>
      <c r="K25" s="30">
        <v>2200000</v>
      </c>
      <c r="L25" s="127"/>
      <c r="M25" s="127"/>
      <c r="N25" s="27"/>
      <c r="O25" s="27"/>
      <c r="P25" s="27"/>
      <c r="Q25" s="27"/>
      <c r="R25" s="27"/>
      <c r="S25" s="27"/>
      <c r="T25" s="30"/>
      <c r="U25" s="85"/>
      <c r="V25" s="27"/>
      <c r="W25" s="81"/>
      <c r="X25" s="127"/>
      <c r="Y25" s="22">
        <f t="shared" si="1"/>
        <v>0</v>
      </c>
      <c r="Z25" s="83"/>
    </row>
    <row r="26" spans="1:27" ht="31.2">
      <c r="A26" s="27"/>
      <c r="B26" s="17">
        <v>42019</v>
      </c>
      <c r="C26" s="18" t="s">
        <v>129</v>
      </c>
      <c r="D26" s="20" t="s">
        <v>150</v>
      </c>
      <c r="E26" s="28" t="s">
        <v>130</v>
      </c>
      <c r="F26" s="21" t="s">
        <v>142</v>
      </c>
      <c r="G26" s="22" t="s">
        <v>102</v>
      </c>
      <c r="H26" s="23"/>
      <c r="I26" s="57"/>
      <c r="J26" s="23">
        <v>1920000</v>
      </c>
      <c r="K26" s="24"/>
      <c r="L26" s="57"/>
      <c r="M26" s="57"/>
      <c r="N26" s="23"/>
      <c r="O26" s="23"/>
      <c r="P26" s="23"/>
      <c r="Q26" s="23"/>
      <c r="R26" s="23"/>
      <c r="S26" s="23"/>
      <c r="T26" s="24"/>
      <c r="U26" s="16">
        <f t="shared" si="3"/>
        <v>1920000</v>
      </c>
      <c r="V26" s="23">
        <v>1920000</v>
      </c>
      <c r="W26" s="17">
        <v>42019</v>
      </c>
      <c r="X26" s="57"/>
      <c r="Y26" s="22">
        <f t="shared" si="1"/>
        <v>0</v>
      </c>
      <c r="Z26" s="62" t="s">
        <v>162</v>
      </c>
      <c r="AA26" t="s">
        <v>67</v>
      </c>
    </row>
    <row r="27" spans="1:27" ht="62.4">
      <c r="A27" s="27" t="s">
        <v>131</v>
      </c>
      <c r="B27" s="17">
        <v>42020</v>
      </c>
      <c r="C27" s="18" t="s">
        <v>132</v>
      </c>
      <c r="D27" s="20" t="s">
        <v>137</v>
      </c>
      <c r="E27" s="28" t="s">
        <v>138</v>
      </c>
      <c r="F27" s="21" t="s">
        <v>136</v>
      </c>
      <c r="G27" s="22" t="s">
        <v>28</v>
      </c>
      <c r="H27" s="23"/>
      <c r="I27" s="23">
        <v>1200000</v>
      </c>
      <c r="J27" s="23"/>
      <c r="K27" s="24">
        <v>2268000</v>
      </c>
      <c r="L27" s="57"/>
      <c r="M27" s="57"/>
      <c r="N27" s="23"/>
      <c r="O27" s="23"/>
      <c r="P27" s="23"/>
      <c r="Q27" s="23"/>
      <c r="R27" s="23"/>
      <c r="S27" s="23"/>
      <c r="T27" s="24"/>
      <c r="U27" s="16">
        <f t="shared" si="3"/>
        <v>3468000</v>
      </c>
      <c r="V27" s="23">
        <f>1734000+1734000</f>
        <v>3468000</v>
      </c>
      <c r="W27" s="17" t="s">
        <v>359</v>
      </c>
      <c r="X27" s="57"/>
      <c r="Y27" s="22">
        <f t="shared" si="1"/>
        <v>0</v>
      </c>
      <c r="Z27" s="62"/>
      <c r="AA27" t="s">
        <v>67</v>
      </c>
    </row>
    <row r="28" spans="1:27" ht="31.2">
      <c r="A28" s="27"/>
      <c r="B28" s="17">
        <v>42020</v>
      </c>
      <c r="C28" s="18" t="s">
        <v>133</v>
      </c>
      <c r="D28" s="20"/>
      <c r="E28" s="28" t="s">
        <v>134</v>
      </c>
      <c r="F28" s="21" t="s">
        <v>135</v>
      </c>
      <c r="G28" s="22" t="s">
        <v>28</v>
      </c>
      <c r="H28" s="23">
        <v>480000</v>
      </c>
      <c r="I28" s="57"/>
      <c r="J28" s="23">
        <v>660000</v>
      </c>
      <c r="K28" s="24"/>
      <c r="L28" s="57"/>
      <c r="M28" s="57"/>
      <c r="N28" s="23"/>
      <c r="O28" s="23"/>
      <c r="P28" s="23"/>
      <c r="Q28" s="23"/>
      <c r="R28" s="23"/>
      <c r="S28" s="23"/>
      <c r="T28" s="24">
        <v>66000</v>
      </c>
      <c r="U28" s="16">
        <f t="shared" si="3"/>
        <v>1206000</v>
      </c>
      <c r="V28" s="23">
        <v>1206000</v>
      </c>
      <c r="W28" s="17">
        <v>42021</v>
      </c>
      <c r="X28" s="17" t="s">
        <v>139</v>
      </c>
      <c r="Y28" s="22">
        <f t="shared" si="1"/>
        <v>0</v>
      </c>
      <c r="Z28" s="62"/>
      <c r="AA28" t="s">
        <v>111</v>
      </c>
    </row>
    <row r="29" spans="1:27" ht="46.8">
      <c r="A29" s="64" t="s">
        <v>143</v>
      </c>
      <c r="B29" s="65">
        <v>42023</v>
      </c>
      <c r="C29" s="66" t="s">
        <v>59</v>
      </c>
      <c r="D29" s="67" t="s">
        <v>60</v>
      </c>
      <c r="E29" s="67" t="s">
        <v>144</v>
      </c>
      <c r="F29" s="68" t="s">
        <v>61</v>
      </c>
      <c r="G29" s="69" t="s">
        <v>62</v>
      </c>
      <c r="H29" s="70"/>
      <c r="I29" s="71"/>
      <c r="J29" s="70"/>
      <c r="K29" s="90">
        <v>400000</v>
      </c>
      <c r="L29" s="71"/>
      <c r="M29" s="71"/>
      <c r="N29" s="70"/>
      <c r="O29" s="70"/>
      <c r="P29" s="70"/>
      <c r="Q29" s="70"/>
      <c r="R29" s="70"/>
      <c r="S29" s="70"/>
      <c r="T29" s="90"/>
      <c r="U29" s="72">
        <f t="shared" si="3"/>
        <v>400000</v>
      </c>
      <c r="V29" s="70">
        <v>400000</v>
      </c>
      <c r="W29" s="65">
        <v>42060</v>
      </c>
      <c r="X29" s="74" t="s">
        <v>244</v>
      </c>
      <c r="Y29" s="22">
        <f t="shared" si="1"/>
        <v>0</v>
      </c>
      <c r="Z29" s="77"/>
    </row>
    <row r="30" spans="1:27" ht="62.4">
      <c r="A30" s="23" t="s">
        <v>147</v>
      </c>
      <c r="B30" s="17">
        <v>42024</v>
      </c>
      <c r="C30" s="18" t="s">
        <v>148</v>
      </c>
      <c r="D30" s="20" t="s">
        <v>169</v>
      </c>
      <c r="E30" s="28" t="s">
        <v>144</v>
      </c>
      <c r="F30" s="21" t="s">
        <v>149</v>
      </c>
      <c r="G30" s="22" t="s">
        <v>91</v>
      </c>
      <c r="H30" s="23"/>
      <c r="I30" s="57"/>
      <c r="J30" s="23"/>
      <c r="K30" s="24">
        <v>1500000</v>
      </c>
      <c r="L30" s="57"/>
      <c r="M30" s="57"/>
      <c r="N30" s="23"/>
      <c r="O30" s="23"/>
      <c r="P30" s="23"/>
      <c r="Q30" s="23"/>
      <c r="R30" s="23"/>
      <c r="S30" s="23"/>
      <c r="T30" s="24"/>
      <c r="U30" s="16">
        <f t="shared" si="3"/>
        <v>1500000</v>
      </c>
      <c r="V30" s="23">
        <v>1500000</v>
      </c>
      <c r="W30" s="17">
        <v>42025</v>
      </c>
      <c r="X30" s="57"/>
      <c r="Y30" s="22">
        <f t="shared" si="1"/>
        <v>0</v>
      </c>
      <c r="Z30" s="62" t="s">
        <v>161</v>
      </c>
      <c r="AA30" t="s">
        <v>67</v>
      </c>
    </row>
    <row r="31" spans="1:27" ht="46.8">
      <c r="A31" s="23" t="s">
        <v>151</v>
      </c>
      <c r="B31" s="17">
        <v>42025</v>
      </c>
      <c r="C31" s="18" t="s">
        <v>152</v>
      </c>
      <c r="D31" s="20" t="s">
        <v>153</v>
      </c>
      <c r="E31" s="28" t="s">
        <v>45</v>
      </c>
      <c r="F31" s="21" t="s">
        <v>154</v>
      </c>
      <c r="G31" s="22" t="s">
        <v>28</v>
      </c>
      <c r="H31" s="23">
        <v>700000</v>
      </c>
      <c r="I31" s="57"/>
      <c r="J31" s="23">
        <v>1920000</v>
      </c>
      <c r="K31" s="24"/>
      <c r="L31" s="57"/>
      <c r="M31" s="57"/>
      <c r="N31" s="23"/>
      <c r="O31" s="23"/>
      <c r="P31" s="23"/>
      <c r="Q31" s="23"/>
      <c r="R31" s="23"/>
      <c r="S31" s="23"/>
      <c r="T31" s="24"/>
      <c r="U31" s="16">
        <f t="shared" si="3"/>
        <v>2620000</v>
      </c>
      <c r="V31" s="23">
        <v>2620000</v>
      </c>
      <c r="W31" s="17">
        <v>42031</v>
      </c>
      <c r="X31" s="57"/>
      <c r="Y31" s="22">
        <f t="shared" si="1"/>
        <v>0</v>
      </c>
      <c r="Z31" s="62"/>
      <c r="AA31" t="s">
        <v>112</v>
      </c>
    </row>
    <row r="32" spans="1:27" ht="31.2">
      <c r="A32" s="27"/>
      <c r="B32" s="17">
        <v>42025</v>
      </c>
      <c r="C32" s="18" t="s">
        <v>163</v>
      </c>
      <c r="D32" s="20" t="s">
        <v>164</v>
      </c>
      <c r="E32" s="28" t="s">
        <v>101</v>
      </c>
      <c r="F32" s="21" t="s">
        <v>155</v>
      </c>
      <c r="G32" s="22" t="s">
        <v>125</v>
      </c>
      <c r="H32" s="23">
        <v>250000</v>
      </c>
      <c r="I32" s="57"/>
      <c r="J32" s="23"/>
      <c r="K32" s="24"/>
      <c r="L32" s="57"/>
      <c r="M32" s="57"/>
      <c r="N32" s="23"/>
      <c r="O32" s="23"/>
      <c r="P32" s="23"/>
      <c r="Q32" s="23"/>
      <c r="R32" s="23"/>
      <c r="S32" s="23"/>
      <c r="T32" s="24"/>
      <c r="U32" s="16">
        <f t="shared" si="3"/>
        <v>250000</v>
      </c>
      <c r="V32" s="23">
        <v>250000</v>
      </c>
      <c r="W32" s="17">
        <v>42025</v>
      </c>
      <c r="X32" s="57"/>
      <c r="Y32" s="22">
        <f t="shared" si="1"/>
        <v>0</v>
      </c>
      <c r="Z32" s="62"/>
      <c r="AA32" t="s">
        <v>228</v>
      </c>
    </row>
    <row r="33" spans="1:27" ht="46.8">
      <c r="A33" s="23" t="s">
        <v>156</v>
      </c>
      <c r="B33" s="17">
        <v>42025</v>
      </c>
      <c r="C33" s="18" t="s">
        <v>122</v>
      </c>
      <c r="D33" s="20" t="s">
        <v>123</v>
      </c>
      <c r="E33" s="28" t="s">
        <v>45</v>
      </c>
      <c r="F33" s="21" t="s">
        <v>158</v>
      </c>
      <c r="G33" s="22" t="s">
        <v>125</v>
      </c>
      <c r="H33" s="23"/>
      <c r="I33" s="57"/>
      <c r="J33" s="23">
        <v>0</v>
      </c>
      <c r="K33" s="24">
        <v>3000000</v>
      </c>
      <c r="L33" s="57"/>
      <c r="M33" s="57"/>
      <c r="N33" s="23"/>
      <c r="O33" s="23"/>
      <c r="P33" s="23"/>
      <c r="Q33" s="23"/>
      <c r="R33" s="23"/>
      <c r="S33" s="23"/>
      <c r="T33" s="24"/>
      <c r="U33" s="16">
        <f t="shared" si="3"/>
        <v>3000000</v>
      </c>
      <c r="V33" s="23">
        <f>1500000+1500000</f>
        <v>3000000</v>
      </c>
      <c r="W33" s="17" t="s">
        <v>869</v>
      </c>
      <c r="X33" s="57"/>
      <c r="Y33" s="22">
        <f t="shared" si="1"/>
        <v>0</v>
      </c>
      <c r="Z33" s="62"/>
      <c r="AA33" t="s">
        <v>229</v>
      </c>
    </row>
    <row r="34" spans="1:27" ht="46.8">
      <c r="A34" s="23" t="s">
        <v>157</v>
      </c>
      <c r="B34" s="17">
        <v>42025</v>
      </c>
      <c r="C34" s="18" t="s">
        <v>122</v>
      </c>
      <c r="D34" s="20" t="s">
        <v>123</v>
      </c>
      <c r="E34" s="28" t="s">
        <v>45</v>
      </c>
      <c r="F34" s="21" t="s">
        <v>159</v>
      </c>
      <c r="G34" s="22" t="s">
        <v>102</v>
      </c>
      <c r="H34" s="23"/>
      <c r="I34" s="57"/>
      <c r="J34" s="23">
        <v>0</v>
      </c>
      <c r="K34" s="24">
        <v>3000000</v>
      </c>
      <c r="L34" s="57"/>
      <c r="M34" s="57"/>
      <c r="N34" s="23"/>
      <c r="O34" s="23"/>
      <c r="P34" s="23"/>
      <c r="Q34" s="23"/>
      <c r="R34" s="23"/>
      <c r="S34" s="23"/>
      <c r="T34" s="24"/>
      <c r="U34" s="16">
        <f t="shared" si="3"/>
        <v>3000000</v>
      </c>
      <c r="V34" s="23">
        <f>1500000+1500000</f>
        <v>3000000</v>
      </c>
      <c r="W34" s="17" t="s">
        <v>869</v>
      </c>
      <c r="X34" s="57"/>
      <c r="Y34" s="22">
        <f t="shared" si="1"/>
        <v>0</v>
      </c>
      <c r="Z34" s="62"/>
      <c r="AA34" t="s">
        <v>229</v>
      </c>
    </row>
    <row r="35" spans="1:27" ht="46.8">
      <c r="A35" s="23" t="s">
        <v>160</v>
      </c>
      <c r="B35" s="17">
        <v>42024</v>
      </c>
      <c r="C35" s="18" t="s">
        <v>43</v>
      </c>
      <c r="D35" s="20" t="s">
        <v>44</v>
      </c>
      <c r="E35" s="28" t="s">
        <v>130</v>
      </c>
      <c r="F35" s="21"/>
      <c r="G35" s="22" t="s">
        <v>47</v>
      </c>
      <c r="H35" s="23"/>
      <c r="I35" s="57"/>
      <c r="J35" s="23">
        <v>1920000</v>
      </c>
      <c r="K35" s="24"/>
      <c r="L35" s="57"/>
      <c r="M35" s="57"/>
      <c r="N35" s="23"/>
      <c r="O35" s="23"/>
      <c r="P35" s="23"/>
      <c r="Q35" s="23"/>
      <c r="R35" s="23"/>
      <c r="S35" s="23"/>
      <c r="T35" s="24">
        <v>192000</v>
      </c>
      <c r="U35" s="16">
        <f t="shared" si="3"/>
        <v>2112000</v>
      </c>
      <c r="V35" s="23">
        <v>2112000</v>
      </c>
      <c r="W35" s="17">
        <v>42033</v>
      </c>
      <c r="X35" s="17" t="s">
        <v>281</v>
      </c>
      <c r="Y35" s="22">
        <f t="shared" si="1"/>
        <v>0</v>
      </c>
      <c r="Z35" s="62" t="s">
        <v>196</v>
      </c>
      <c r="AA35" t="s">
        <v>67</v>
      </c>
    </row>
    <row r="36" spans="1:27" ht="46.8">
      <c r="A36" s="23" t="s">
        <v>166</v>
      </c>
      <c r="B36" s="17">
        <v>42026</v>
      </c>
      <c r="C36" s="18" t="s">
        <v>168</v>
      </c>
      <c r="D36" s="20" t="s">
        <v>167</v>
      </c>
      <c r="E36" s="28" t="s">
        <v>45</v>
      </c>
      <c r="F36" s="21" t="s">
        <v>165</v>
      </c>
      <c r="G36" s="22" t="s">
        <v>140</v>
      </c>
      <c r="H36" s="23">
        <v>0</v>
      </c>
      <c r="I36" s="57"/>
      <c r="J36" s="23">
        <v>0</v>
      </c>
      <c r="K36" s="24">
        <v>5690000</v>
      </c>
      <c r="L36" s="57"/>
      <c r="M36" s="57"/>
      <c r="N36" s="23"/>
      <c r="O36" s="23"/>
      <c r="P36" s="23"/>
      <c r="Q36" s="23"/>
      <c r="R36" s="23"/>
      <c r="S36" s="23"/>
      <c r="T36" s="24"/>
      <c r="U36" s="16">
        <f t="shared" si="3"/>
        <v>5690000</v>
      </c>
      <c r="V36" s="23">
        <f>2845000+2845000</f>
        <v>5690000</v>
      </c>
      <c r="W36" s="17" t="s">
        <v>829</v>
      </c>
      <c r="X36" s="57"/>
      <c r="Y36" s="22">
        <f t="shared" si="1"/>
        <v>0</v>
      </c>
      <c r="Z36" s="62" t="s">
        <v>830</v>
      </c>
      <c r="AA36" t="s">
        <v>230</v>
      </c>
    </row>
    <row r="37" spans="1:27" ht="46.8">
      <c r="A37" s="23" t="s">
        <v>170</v>
      </c>
      <c r="B37" s="17">
        <v>42030</v>
      </c>
      <c r="C37" s="18" t="s">
        <v>171</v>
      </c>
      <c r="D37" s="20" t="s">
        <v>172</v>
      </c>
      <c r="E37" s="28" t="s">
        <v>45</v>
      </c>
      <c r="F37" s="21" t="s">
        <v>173</v>
      </c>
      <c r="G37" s="22" t="s">
        <v>140</v>
      </c>
      <c r="H37" s="23">
        <v>0</v>
      </c>
      <c r="I37" s="57"/>
      <c r="J37" s="23">
        <v>0</v>
      </c>
      <c r="K37" s="24">
        <v>3500000</v>
      </c>
      <c r="L37" s="57"/>
      <c r="M37" s="57"/>
      <c r="N37" s="23"/>
      <c r="O37" s="23"/>
      <c r="P37" s="23"/>
      <c r="Q37" s="23"/>
      <c r="R37" s="23"/>
      <c r="S37" s="23"/>
      <c r="T37" s="24"/>
      <c r="U37" s="16">
        <f t="shared" si="3"/>
        <v>3500000</v>
      </c>
      <c r="V37" s="23">
        <f>1750000+1750000</f>
        <v>3500000</v>
      </c>
      <c r="W37" s="17" t="s">
        <v>614</v>
      </c>
      <c r="X37" s="17"/>
      <c r="Y37" s="22">
        <f t="shared" si="1"/>
        <v>0</v>
      </c>
      <c r="Z37" s="62" t="s">
        <v>126</v>
      </c>
      <c r="AA37" t="s">
        <v>230</v>
      </c>
    </row>
    <row r="38" spans="1:27" ht="62.4">
      <c r="A38" s="27" t="s">
        <v>174</v>
      </c>
      <c r="B38" s="17">
        <v>42031</v>
      </c>
      <c r="C38" s="18" t="s">
        <v>43</v>
      </c>
      <c r="D38" s="20" t="s">
        <v>44</v>
      </c>
      <c r="E38" s="28" t="s">
        <v>176</v>
      </c>
      <c r="F38" s="21" t="s">
        <v>175</v>
      </c>
      <c r="G38" s="22" t="s">
        <v>47</v>
      </c>
      <c r="H38" s="23"/>
      <c r="I38" s="57"/>
      <c r="J38" s="23"/>
      <c r="K38" s="24">
        <v>1000000</v>
      </c>
      <c r="L38" s="57"/>
      <c r="M38" s="57"/>
      <c r="N38" s="23"/>
      <c r="O38" s="23"/>
      <c r="P38" s="23"/>
      <c r="Q38" s="23"/>
      <c r="R38" s="23"/>
      <c r="S38" s="23"/>
      <c r="T38" s="24"/>
      <c r="U38" s="16">
        <f t="shared" si="3"/>
        <v>1000000</v>
      </c>
      <c r="V38" s="23">
        <v>1000000</v>
      </c>
      <c r="W38" s="17">
        <v>42093</v>
      </c>
      <c r="X38" s="17"/>
      <c r="Y38" s="22">
        <f t="shared" si="1"/>
        <v>0</v>
      </c>
      <c r="Z38" s="62"/>
    </row>
    <row r="39" spans="1:27" ht="31.2">
      <c r="A39" s="23" t="s">
        <v>177</v>
      </c>
      <c r="B39" s="17">
        <v>42032</v>
      </c>
      <c r="C39" s="18" t="s">
        <v>179</v>
      </c>
      <c r="D39" s="20" t="s">
        <v>191</v>
      </c>
      <c r="E39" s="28" t="s">
        <v>180</v>
      </c>
      <c r="F39" s="21" t="s">
        <v>192</v>
      </c>
      <c r="G39" s="22" t="s">
        <v>91</v>
      </c>
      <c r="H39" s="23"/>
      <c r="I39" s="57"/>
      <c r="J39" s="23"/>
      <c r="K39" s="24"/>
      <c r="L39" s="57"/>
      <c r="M39" s="57"/>
      <c r="N39" s="23"/>
      <c r="O39" s="23"/>
      <c r="P39" s="23">
        <v>5454545</v>
      </c>
      <c r="Q39" s="23"/>
      <c r="R39" s="23"/>
      <c r="S39" s="23"/>
      <c r="T39" s="24">
        <v>545455</v>
      </c>
      <c r="U39" s="16">
        <f t="shared" si="3"/>
        <v>6000000</v>
      </c>
      <c r="V39" s="23">
        <v>6000000</v>
      </c>
      <c r="W39" s="17">
        <v>42033</v>
      </c>
      <c r="X39" s="17" t="s">
        <v>181</v>
      </c>
      <c r="Y39" s="22">
        <f t="shared" si="1"/>
        <v>0</v>
      </c>
      <c r="Z39" s="62" t="s">
        <v>193</v>
      </c>
      <c r="AA39" t="s">
        <v>226</v>
      </c>
    </row>
    <row r="40" spans="1:27" ht="31.2">
      <c r="A40" s="23" t="s">
        <v>178</v>
      </c>
      <c r="B40" s="17">
        <v>42032</v>
      </c>
      <c r="C40" s="18" t="s">
        <v>179</v>
      </c>
      <c r="D40" s="20" t="s">
        <v>191</v>
      </c>
      <c r="E40" s="28" t="s">
        <v>51</v>
      </c>
      <c r="F40" s="21" t="s">
        <v>192</v>
      </c>
      <c r="G40" s="22" t="s">
        <v>91</v>
      </c>
      <c r="H40" s="23"/>
      <c r="I40" s="57"/>
      <c r="J40" s="23"/>
      <c r="K40" s="24">
        <v>11000000</v>
      </c>
      <c r="L40" s="57"/>
      <c r="M40" s="57"/>
      <c r="N40" s="57"/>
      <c r="O40" s="57"/>
      <c r="P40" s="57"/>
      <c r="Q40" s="57"/>
      <c r="R40" s="76"/>
      <c r="S40" s="57"/>
      <c r="T40" s="24"/>
      <c r="U40" s="16">
        <f t="shared" si="3"/>
        <v>11000000</v>
      </c>
      <c r="V40" s="23">
        <f>5500000+5500000</f>
        <v>11000000</v>
      </c>
      <c r="W40" s="17" t="s">
        <v>560</v>
      </c>
      <c r="X40" s="17" t="s">
        <v>561</v>
      </c>
      <c r="Y40" s="22">
        <f t="shared" si="1"/>
        <v>0</v>
      </c>
      <c r="Z40" s="62" t="s">
        <v>126</v>
      </c>
      <c r="AA40" t="s">
        <v>112</v>
      </c>
    </row>
    <row r="41" spans="1:27" ht="46.8">
      <c r="A41" s="23" t="s">
        <v>182</v>
      </c>
      <c r="B41" s="17">
        <v>42032</v>
      </c>
      <c r="C41" s="18" t="s">
        <v>183</v>
      </c>
      <c r="D41" s="20" t="s">
        <v>184</v>
      </c>
      <c r="E41" s="28" t="s">
        <v>45</v>
      </c>
      <c r="F41" s="21" t="s">
        <v>185</v>
      </c>
      <c r="G41" s="22" t="s">
        <v>28</v>
      </c>
      <c r="H41" s="23">
        <v>250000</v>
      </c>
      <c r="I41" s="57"/>
      <c r="J41" s="23">
        <v>1440000</v>
      </c>
      <c r="K41" s="24"/>
      <c r="L41" s="57"/>
      <c r="M41" s="57"/>
      <c r="N41" s="57"/>
      <c r="O41" s="57"/>
      <c r="P41" s="57"/>
      <c r="Q41" s="57"/>
      <c r="R41" s="76"/>
      <c r="S41" s="57"/>
      <c r="T41" s="24">
        <v>169000</v>
      </c>
      <c r="U41" s="16">
        <f t="shared" si="3"/>
        <v>1859000</v>
      </c>
      <c r="V41" s="23">
        <v>1859000</v>
      </c>
      <c r="W41" s="17">
        <v>42035</v>
      </c>
      <c r="X41" s="17" t="s">
        <v>186</v>
      </c>
      <c r="Y41" s="22">
        <f t="shared" si="1"/>
        <v>0</v>
      </c>
      <c r="Z41" s="62"/>
      <c r="AA41" t="s">
        <v>112</v>
      </c>
    </row>
    <row r="42" spans="1:27" ht="46.8">
      <c r="A42" s="23" t="s">
        <v>197</v>
      </c>
      <c r="B42" s="17">
        <v>42032</v>
      </c>
      <c r="C42" s="18" t="s">
        <v>198</v>
      </c>
      <c r="D42" s="20">
        <v>908416438</v>
      </c>
      <c r="E42" s="28" t="s">
        <v>45</v>
      </c>
      <c r="F42" s="21" t="s">
        <v>199</v>
      </c>
      <c r="G42" s="22" t="s">
        <v>91</v>
      </c>
      <c r="H42" s="23">
        <v>0</v>
      </c>
      <c r="I42" s="57"/>
      <c r="J42" s="23">
        <v>0</v>
      </c>
      <c r="K42" s="24">
        <v>12000000</v>
      </c>
      <c r="L42" s="57"/>
      <c r="M42" s="57"/>
      <c r="N42" s="57"/>
      <c r="O42" s="57"/>
      <c r="P42" s="57"/>
      <c r="Q42" s="57"/>
      <c r="R42" s="76"/>
      <c r="S42" s="57"/>
      <c r="T42" s="24"/>
      <c r="U42" s="16">
        <f t="shared" si="3"/>
        <v>12000000</v>
      </c>
      <c r="V42" s="23">
        <f>3600000+8400000</f>
        <v>12000000</v>
      </c>
      <c r="W42" s="17" t="s">
        <v>1029</v>
      </c>
      <c r="X42" s="17"/>
      <c r="Y42" s="22">
        <f t="shared" si="1"/>
        <v>0</v>
      </c>
      <c r="Z42" s="62"/>
      <c r="AA42" t="s">
        <v>112</v>
      </c>
    </row>
    <row r="43" spans="1:27" ht="46.8">
      <c r="A43" s="104" t="s">
        <v>189</v>
      </c>
      <c r="B43" s="105">
        <v>42032</v>
      </c>
      <c r="C43" s="106" t="s">
        <v>190</v>
      </c>
      <c r="D43" s="107" t="s">
        <v>188</v>
      </c>
      <c r="E43" s="107" t="s">
        <v>45</v>
      </c>
      <c r="F43" s="108" t="s">
        <v>187</v>
      </c>
      <c r="G43" s="109" t="s">
        <v>62</v>
      </c>
      <c r="H43" s="110">
        <v>747000</v>
      </c>
      <c r="I43" s="111"/>
      <c r="J43" s="110">
        <v>576000</v>
      </c>
      <c r="K43" s="112"/>
      <c r="L43" s="111"/>
      <c r="M43" s="111"/>
      <c r="N43" s="111"/>
      <c r="O43" s="111"/>
      <c r="P43" s="111"/>
      <c r="Q43" s="111"/>
      <c r="R43" s="113"/>
      <c r="S43" s="111"/>
      <c r="T43" s="112">
        <v>57600</v>
      </c>
      <c r="U43" s="114">
        <f t="shared" si="3"/>
        <v>1380600</v>
      </c>
      <c r="V43" s="110">
        <v>1380600</v>
      </c>
      <c r="W43" s="65">
        <v>42060</v>
      </c>
      <c r="X43" s="74" t="s">
        <v>242</v>
      </c>
      <c r="Y43" s="22">
        <f t="shared" si="1"/>
        <v>0</v>
      </c>
      <c r="Z43" s="111"/>
    </row>
    <row r="44" spans="1:27" ht="31.2">
      <c r="A44" s="23" t="s">
        <v>206</v>
      </c>
      <c r="B44" s="17">
        <v>42033</v>
      </c>
      <c r="C44" s="18" t="s">
        <v>207</v>
      </c>
      <c r="D44" s="20" t="s">
        <v>208</v>
      </c>
      <c r="E44" s="28" t="s">
        <v>195</v>
      </c>
      <c r="F44" s="57"/>
      <c r="G44" s="22" t="s">
        <v>28</v>
      </c>
      <c r="H44" s="23"/>
      <c r="I44" s="57"/>
      <c r="J44" s="23">
        <v>1440000</v>
      </c>
      <c r="K44" s="24"/>
      <c r="L44" s="57"/>
      <c r="M44" s="57"/>
      <c r="N44" s="57"/>
      <c r="O44" s="57"/>
      <c r="P44" s="57"/>
      <c r="Q44" s="57"/>
      <c r="R44" s="76"/>
      <c r="S44" s="57"/>
      <c r="T44" s="24"/>
      <c r="U44" s="16">
        <f t="shared" si="3"/>
        <v>1440000</v>
      </c>
      <c r="V44" s="23">
        <v>1440000</v>
      </c>
      <c r="W44" s="17">
        <v>42035</v>
      </c>
      <c r="X44" s="17"/>
      <c r="Y44" s="22">
        <f t="shared" si="1"/>
        <v>0</v>
      </c>
      <c r="Z44" s="57"/>
      <c r="AA44" t="s">
        <v>226</v>
      </c>
    </row>
    <row r="45" spans="1:27" ht="46.8">
      <c r="A45" s="23" t="s">
        <v>204</v>
      </c>
      <c r="B45" s="17">
        <v>42034</v>
      </c>
      <c r="C45" s="18" t="s">
        <v>203</v>
      </c>
      <c r="D45" s="20" t="s">
        <v>205</v>
      </c>
      <c r="E45" s="28" t="s">
        <v>45</v>
      </c>
      <c r="F45" s="21" t="s">
        <v>209</v>
      </c>
      <c r="G45" s="22" t="s">
        <v>125</v>
      </c>
      <c r="H45" s="23">
        <v>0</v>
      </c>
      <c r="I45" s="57"/>
      <c r="J45" s="23">
        <v>0</v>
      </c>
      <c r="K45" s="24">
        <v>6000000</v>
      </c>
      <c r="L45" s="57"/>
      <c r="M45" s="57"/>
      <c r="N45" s="57"/>
      <c r="O45" s="57"/>
      <c r="P45" s="57"/>
      <c r="Q45" s="57"/>
      <c r="R45" s="76"/>
      <c r="S45" s="57"/>
      <c r="T45" s="24"/>
      <c r="U45" s="16">
        <f t="shared" si="3"/>
        <v>6000000</v>
      </c>
      <c r="V45" s="23">
        <v>3000000</v>
      </c>
      <c r="W45" s="17">
        <v>42034</v>
      </c>
      <c r="X45" s="17"/>
      <c r="Y45" s="22">
        <f t="shared" si="1"/>
        <v>3000000</v>
      </c>
      <c r="Z45" s="62" t="s">
        <v>126</v>
      </c>
      <c r="AA45" t="s">
        <v>797</v>
      </c>
    </row>
    <row r="46" spans="1:27" ht="46.8">
      <c r="A46" s="64"/>
      <c r="B46" s="65">
        <v>42034</v>
      </c>
      <c r="C46" s="66" t="s">
        <v>213</v>
      </c>
      <c r="D46" s="67"/>
      <c r="E46" s="67" t="s">
        <v>214</v>
      </c>
      <c r="F46" s="71"/>
      <c r="G46" s="69" t="s">
        <v>62</v>
      </c>
      <c r="H46" s="70"/>
      <c r="I46" s="71"/>
      <c r="J46" s="70"/>
      <c r="K46" s="90"/>
      <c r="L46" s="71"/>
      <c r="M46" s="71"/>
      <c r="N46" s="71"/>
      <c r="O46" s="71"/>
      <c r="P46" s="90">
        <v>1120000</v>
      </c>
      <c r="Q46" s="71"/>
      <c r="R46" s="118"/>
      <c r="S46" s="71"/>
      <c r="T46" s="90">
        <v>112000</v>
      </c>
      <c r="U46" s="72">
        <f t="shared" si="3"/>
        <v>1232000</v>
      </c>
      <c r="V46" s="70">
        <v>1232000</v>
      </c>
      <c r="W46" s="65">
        <v>42060</v>
      </c>
      <c r="X46" s="74" t="s">
        <v>245</v>
      </c>
      <c r="Y46" s="22">
        <f t="shared" si="1"/>
        <v>0</v>
      </c>
      <c r="Z46" s="71"/>
    </row>
    <row r="47" spans="1:27" ht="46.8">
      <c r="A47" s="23" t="s">
        <v>215</v>
      </c>
      <c r="B47" s="17">
        <v>42035</v>
      </c>
      <c r="C47" s="18" t="s">
        <v>216</v>
      </c>
      <c r="D47" s="20" t="s">
        <v>217</v>
      </c>
      <c r="E47" s="28" t="s">
        <v>45</v>
      </c>
      <c r="F47" s="21" t="s">
        <v>218</v>
      </c>
      <c r="G47" s="22" t="s">
        <v>102</v>
      </c>
      <c r="H47" s="23">
        <v>250000</v>
      </c>
      <c r="I47" s="57"/>
      <c r="J47" s="23">
        <v>1440000</v>
      </c>
      <c r="K47" s="24"/>
      <c r="L47" s="57"/>
      <c r="M47" s="57"/>
      <c r="N47" s="57"/>
      <c r="O47" s="57"/>
      <c r="P47" s="57"/>
      <c r="Q47" s="57"/>
      <c r="R47" s="76"/>
      <c r="S47" s="57"/>
      <c r="T47" s="24"/>
      <c r="U47" s="16">
        <f t="shared" si="3"/>
        <v>1690000</v>
      </c>
      <c r="V47" s="23">
        <v>1690000</v>
      </c>
      <c r="W47" s="17">
        <v>42035</v>
      </c>
      <c r="X47" s="17"/>
      <c r="Y47" s="22">
        <f t="shared" si="1"/>
        <v>0</v>
      </c>
      <c r="Z47" s="57"/>
      <c r="AA47" t="s">
        <v>112</v>
      </c>
    </row>
    <row r="48" spans="1:27" ht="15.6">
      <c r="A48" s="27"/>
      <c r="B48" s="17">
        <v>42035</v>
      </c>
      <c r="C48" s="31" t="s">
        <v>219</v>
      </c>
      <c r="D48" s="20"/>
      <c r="E48" s="28" t="s">
        <v>220</v>
      </c>
      <c r="F48" s="57"/>
      <c r="G48" s="22" t="s">
        <v>140</v>
      </c>
      <c r="H48" s="23"/>
      <c r="I48" s="57"/>
      <c r="J48" s="23">
        <v>300000</v>
      </c>
      <c r="K48" s="24"/>
      <c r="L48" s="57"/>
      <c r="M48" s="57"/>
      <c r="N48" s="57"/>
      <c r="O48" s="57"/>
      <c r="P48" s="57"/>
      <c r="Q48" s="57"/>
      <c r="R48" s="76"/>
      <c r="S48" s="57"/>
      <c r="T48" s="24"/>
      <c r="U48" s="16">
        <f t="shared" si="3"/>
        <v>300000</v>
      </c>
      <c r="V48" s="23"/>
      <c r="W48" s="17"/>
      <c r="X48" s="17"/>
      <c r="Y48" s="22">
        <f t="shared" si="1"/>
        <v>300000</v>
      </c>
      <c r="Z48" s="57"/>
    </row>
    <row r="49" spans="1:27" ht="31.2">
      <c r="A49" s="64" t="s">
        <v>221</v>
      </c>
      <c r="B49" s="65">
        <v>42035</v>
      </c>
      <c r="C49" s="66" t="s">
        <v>223</v>
      </c>
      <c r="D49" s="67"/>
      <c r="E49" s="67" t="s">
        <v>224</v>
      </c>
      <c r="F49" s="68" t="s">
        <v>222</v>
      </c>
      <c r="G49" s="69" t="s">
        <v>62</v>
      </c>
      <c r="H49" s="70"/>
      <c r="I49" s="71"/>
      <c r="J49" s="70">
        <v>768000</v>
      </c>
      <c r="K49" s="90"/>
      <c r="L49" s="71"/>
      <c r="M49" s="71"/>
      <c r="N49" s="71"/>
      <c r="O49" s="71"/>
      <c r="P49" s="71"/>
      <c r="Q49" s="71"/>
      <c r="R49" s="118"/>
      <c r="S49" s="71"/>
      <c r="T49" s="90">
        <v>76800</v>
      </c>
      <c r="U49" s="72">
        <f t="shared" si="3"/>
        <v>844800</v>
      </c>
      <c r="V49" s="70">
        <v>844800</v>
      </c>
      <c r="W49" s="65">
        <v>42060</v>
      </c>
      <c r="X49" s="74" t="s">
        <v>243</v>
      </c>
      <c r="Y49" s="22">
        <f t="shared" si="1"/>
        <v>0</v>
      </c>
      <c r="Z49" s="71"/>
    </row>
    <row r="50" spans="1:27" ht="15.6">
      <c r="A50" s="27"/>
      <c r="B50" s="17"/>
      <c r="C50" s="79" t="s">
        <v>107</v>
      </c>
      <c r="D50" s="57"/>
      <c r="E50" s="57"/>
      <c r="F50" s="57"/>
      <c r="G50" s="57"/>
      <c r="H50" s="80">
        <f t="shared" ref="H50:V50" si="4">SUM(H6:H49)</f>
        <v>9687000</v>
      </c>
      <c r="I50" s="80">
        <f t="shared" si="4"/>
        <v>4560000</v>
      </c>
      <c r="J50" s="80">
        <f t="shared" si="4"/>
        <v>21226000</v>
      </c>
      <c r="K50" s="80">
        <f t="shared" si="4"/>
        <v>112855000</v>
      </c>
      <c r="L50" s="80">
        <f t="shared" si="4"/>
        <v>0</v>
      </c>
      <c r="M50" s="80">
        <f t="shared" si="4"/>
        <v>0</v>
      </c>
      <c r="N50" s="80">
        <f t="shared" si="4"/>
        <v>0</v>
      </c>
      <c r="O50" s="80">
        <f t="shared" si="4"/>
        <v>0</v>
      </c>
      <c r="P50" s="80">
        <f t="shared" si="4"/>
        <v>7614545</v>
      </c>
      <c r="Q50" s="80">
        <f t="shared" si="4"/>
        <v>0</v>
      </c>
      <c r="R50" s="80">
        <f t="shared" si="4"/>
        <v>0</v>
      </c>
      <c r="S50" s="80">
        <f t="shared" si="4"/>
        <v>7299000</v>
      </c>
      <c r="T50" s="80">
        <f t="shared" si="4"/>
        <v>1858055</v>
      </c>
      <c r="U50" s="80">
        <f t="shared" si="4"/>
        <v>144320600</v>
      </c>
      <c r="V50" s="80">
        <f t="shared" si="4"/>
        <v>126141150</v>
      </c>
      <c r="W50" s="80"/>
      <c r="X50" s="80">
        <f>SUM(X6:X49)</f>
        <v>0</v>
      </c>
      <c r="Y50" s="22">
        <f t="shared" si="1"/>
        <v>18179450</v>
      </c>
      <c r="Z50" s="57"/>
    </row>
    <row r="51" spans="1:27" ht="15.6">
      <c r="A51" s="16" t="s">
        <v>232</v>
      </c>
      <c r="B51" s="17"/>
      <c r="C51" s="18"/>
      <c r="D51" s="19"/>
      <c r="E51" s="20"/>
      <c r="F51" s="21"/>
      <c r="G51" s="22"/>
      <c r="H51" s="23"/>
      <c r="I51" s="24"/>
      <c r="J51" s="23"/>
      <c r="K51" s="24"/>
      <c r="L51" s="24"/>
      <c r="M51" s="23"/>
      <c r="N51" s="24"/>
      <c r="O51" s="24"/>
      <c r="P51" s="24"/>
      <c r="Q51" s="24"/>
      <c r="R51" s="24"/>
      <c r="S51" s="24"/>
      <c r="T51" s="24"/>
      <c r="U51" s="16">
        <f>+SUM(H51:T51)</f>
        <v>0</v>
      </c>
      <c r="V51" s="23"/>
      <c r="W51" s="17"/>
      <c r="X51" s="17"/>
      <c r="Y51" s="22">
        <f t="shared" si="1"/>
        <v>0</v>
      </c>
      <c r="Z51" s="25"/>
      <c r="AA51" s="26"/>
    </row>
    <row r="52" spans="1:27" ht="15.6">
      <c r="A52" s="23"/>
      <c r="B52" s="17"/>
      <c r="C52" s="18"/>
      <c r="D52" s="20"/>
      <c r="E52" s="28"/>
      <c r="F52" s="21"/>
      <c r="G52" s="22"/>
      <c r="H52" s="23"/>
      <c r="I52" s="24"/>
      <c r="J52" s="23"/>
      <c r="K52" s="24"/>
      <c r="L52" s="24"/>
      <c r="M52" s="23"/>
      <c r="N52" s="24"/>
      <c r="O52" s="24"/>
      <c r="P52" s="24"/>
      <c r="Q52" s="24"/>
      <c r="R52" s="24"/>
      <c r="S52" s="24"/>
      <c r="T52" s="24"/>
      <c r="U52" s="16">
        <f t="shared" ref="U52" si="5">+SUM(H52:T52)</f>
        <v>0</v>
      </c>
      <c r="V52" s="23"/>
      <c r="W52" s="17"/>
      <c r="X52" s="17"/>
      <c r="Y52" s="22">
        <f t="shared" si="1"/>
        <v>0</v>
      </c>
      <c r="Z52" s="25"/>
      <c r="AA52" s="29"/>
    </row>
    <row r="53" spans="1:27" ht="31.2">
      <c r="A53" s="27" t="s">
        <v>249</v>
      </c>
      <c r="B53" s="17">
        <v>42039</v>
      </c>
      <c r="C53" s="18" t="s">
        <v>274</v>
      </c>
      <c r="D53" s="20" t="s">
        <v>250</v>
      </c>
      <c r="E53" s="28" t="s">
        <v>51</v>
      </c>
      <c r="F53" s="21" t="s">
        <v>399</v>
      </c>
      <c r="G53" s="22" t="s">
        <v>91</v>
      </c>
      <c r="H53" s="23"/>
      <c r="I53" s="24"/>
      <c r="J53" s="23">
        <v>0</v>
      </c>
      <c r="K53" s="24">
        <v>10000000</v>
      </c>
      <c r="L53" s="24"/>
      <c r="M53" s="23"/>
      <c r="N53" s="24"/>
      <c r="O53" s="24"/>
      <c r="P53" s="24"/>
      <c r="Q53" s="24"/>
      <c r="R53" s="24"/>
      <c r="S53" s="24"/>
      <c r="T53" s="24"/>
      <c r="U53" s="16">
        <f t="shared" ref="U53" si="6">+SUM(H53:T53)</f>
        <v>10000000</v>
      </c>
      <c r="V53" s="23">
        <f>5000000+5000000</f>
        <v>10000000</v>
      </c>
      <c r="W53" s="17" t="s">
        <v>408</v>
      </c>
      <c r="X53" s="17"/>
      <c r="Y53" s="22">
        <f t="shared" si="1"/>
        <v>0</v>
      </c>
      <c r="Z53" s="25" t="s">
        <v>126</v>
      </c>
      <c r="AA53" s="29"/>
    </row>
    <row r="54" spans="1:27" ht="31.2">
      <c r="A54" s="60"/>
      <c r="B54" s="17">
        <v>42039</v>
      </c>
      <c r="C54" s="18" t="s">
        <v>253</v>
      </c>
      <c r="D54" s="20" t="s">
        <v>95</v>
      </c>
      <c r="E54" s="20" t="s">
        <v>254</v>
      </c>
      <c r="F54" s="21" t="s">
        <v>255</v>
      </c>
      <c r="G54" s="22" t="s">
        <v>47</v>
      </c>
      <c r="H54" s="23">
        <v>750000</v>
      </c>
      <c r="I54" s="24"/>
      <c r="J54" s="23"/>
      <c r="K54" s="24"/>
      <c r="L54" s="24"/>
      <c r="M54" s="23"/>
      <c r="N54" s="24"/>
      <c r="O54" s="24"/>
      <c r="P54" s="24"/>
      <c r="Q54" s="24"/>
      <c r="R54" s="24"/>
      <c r="S54" s="24"/>
      <c r="T54" s="24">
        <v>25000</v>
      </c>
      <c r="U54" s="16">
        <f>+SUM(H54:T54)-S54</f>
        <v>775000</v>
      </c>
      <c r="V54" s="23">
        <v>775000</v>
      </c>
      <c r="W54" s="17">
        <v>42041</v>
      </c>
      <c r="X54" s="17" t="s">
        <v>256</v>
      </c>
      <c r="Y54" s="22">
        <f t="shared" si="1"/>
        <v>0</v>
      </c>
      <c r="Z54" s="25" t="s">
        <v>257</v>
      </c>
      <c r="AA54" s="29"/>
    </row>
    <row r="55" spans="1:27" s="63" customFormat="1" ht="31.2">
      <c r="A55" s="27" t="s">
        <v>258</v>
      </c>
      <c r="B55" s="17">
        <v>42040</v>
      </c>
      <c r="C55" s="18" t="s">
        <v>259</v>
      </c>
      <c r="D55" s="20" t="s">
        <v>260</v>
      </c>
      <c r="E55" s="20" t="s">
        <v>261</v>
      </c>
      <c r="F55" s="21" t="s">
        <v>262</v>
      </c>
      <c r="G55" s="22" t="s">
        <v>102</v>
      </c>
      <c r="H55" s="23">
        <v>250000</v>
      </c>
      <c r="I55" s="24"/>
      <c r="J55" s="23">
        <v>900000</v>
      </c>
      <c r="K55" s="24"/>
      <c r="L55" s="24"/>
      <c r="M55" s="23"/>
      <c r="N55" s="24"/>
      <c r="O55" s="24"/>
      <c r="P55" s="24"/>
      <c r="Q55" s="24"/>
      <c r="R55" s="24"/>
      <c r="S55" s="24"/>
      <c r="T55" s="24"/>
      <c r="U55" s="16">
        <f>+SUM(H55:T55)-S55</f>
        <v>1150000</v>
      </c>
      <c r="V55" s="23">
        <v>1150000</v>
      </c>
      <c r="W55" s="17">
        <v>42041</v>
      </c>
      <c r="X55" s="17"/>
      <c r="Y55" s="22">
        <f t="shared" si="1"/>
        <v>0</v>
      </c>
      <c r="Z55" s="62"/>
      <c r="AA55" s="29"/>
    </row>
    <row r="56" spans="1:27" s="63" customFormat="1" ht="15.6">
      <c r="A56" s="27"/>
      <c r="B56" s="17">
        <v>42040</v>
      </c>
      <c r="C56" s="18" t="s">
        <v>265</v>
      </c>
      <c r="D56" s="20"/>
      <c r="E56" s="20" t="s">
        <v>267</v>
      </c>
      <c r="F56" s="21"/>
      <c r="G56" s="22" t="s">
        <v>91</v>
      </c>
      <c r="H56" s="23"/>
      <c r="I56" s="24"/>
      <c r="J56" s="23"/>
      <c r="K56" s="24"/>
      <c r="L56" s="24"/>
      <c r="M56" s="23"/>
      <c r="N56" s="24"/>
      <c r="O56" s="24"/>
      <c r="P56" s="24"/>
      <c r="Q56" s="24"/>
      <c r="R56" s="24">
        <v>15000000</v>
      </c>
      <c r="S56" s="24"/>
      <c r="T56" s="24"/>
      <c r="U56" s="16">
        <f>+SUM(H56:T56)-S56</f>
        <v>15000000</v>
      </c>
      <c r="V56" s="23">
        <f>15000000</f>
        <v>15000000</v>
      </c>
      <c r="W56" s="17">
        <v>42041</v>
      </c>
      <c r="X56" s="17"/>
      <c r="Y56" s="22">
        <f t="shared" si="1"/>
        <v>0</v>
      </c>
      <c r="Z56" s="62"/>
      <c r="AA56" s="29"/>
    </row>
    <row r="57" spans="1:27" ht="15.6">
      <c r="A57" s="27"/>
      <c r="B57" s="17">
        <v>42041</v>
      </c>
      <c r="C57" s="18" t="s">
        <v>265</v>
      </c>
      <c r="D57" s="20"/>
      <c r="E57" s="28" t="s">
        <v>266</v>
      </c>
      <c r="F57" s="21"/>
      <c r="G57" s="22" t="s">
        <v>91</v>
      </c>
      <c r="H57" s="23"/>
      <c r="I57" s="24"/>
      <c r="J57" s="23">
        <v>1440000</v>
      </c>
      <c r="K57" s="24"/>
      <c r="L57" s="24"/>
      <c r="M57" s="23"/>
      <c r="N57" s="24"/>
      <c r="O57" s="24"/>
      <c r="P57" s="24"/>
      <c r="Q57" s="24"/>
      <c r="R57" s="24"/>
      <c r="S57" s="24"/>
      <c r="T57" s="24"/>
      <c r="U57" s="16">
        <f>+SUM(H57:T57)-S57</f>
        <v>1440000</v>
      </c>
      <c r="V57" s="23">
        <v>1440000</v>
      </c>
      <c r="W57" s="17">
        <v>42041</v>
      </c>
      <c r="X57" s="17"/>
      <c r="Y57" s="22">
        <f t="shared" si="1"/>
        <v>0</v>
      </c>
      <c r="Z57" s="25"/>
      <c r="AA57" s="29"/>
    </row>
    <row r="58" spans="1:27" s="63" customFormat="1" ht="31.2">
      <c r="A58" s="64"/>
      <c r="B58" s="97">
        <v>42041</v>
      </c>
      <c r="C58" s="98" t="s">
        <v>64</v>
      </c>
      <c r="D58" s="99"/>
      <c r="E58" s="67" t="s">
        <v>65</v>
      </c>
      <c r="F58" s="100" t="s">
        <v>66</v>
      </c>
      <c r="G58" s="69" t="s">
        <v>62</v>
      </c>
      <c r="H58" s="89"/>
      <c r="I58" s="71"/>
      <c r="J58" s="70"/>
      <c r="K58" s="90"/>
      <c r="L58" s="71"/>
      <c r="M58" s="71"/>
      <c r="N58" s="71"/>
      <c r="O58" s="71"/>
      <c r="P58" s="90">
        <v>1040000</v>
      </c>
      <c r="Q58" s="90"/>
      <c r="R58" s="71"/>
      <c r="S58" s="71"/>
      <c r="T58" s="90">
        <v>104000</v>
      </c>
      <c r="U58" s="72">
        <f>+SUM(H58:T58)</f>
        <v>1144000</v>
      </c>
      <c r="V58" s="70">
        <v>1144000</v>
      </c>
      <c r="W58" s="101">
        <v>42116</v>
      </c>
      <c r="X58" s="74" t="s">
        <v>508</v>
      </c>
      <c r="Y58" s="22">
        <f t="shared" si="1"/>
        <v>0</v>
      </c>
      <c r="Z58" s="102" t="s">
        <v>509</v>
      </c>
      <c r="AA58" s="75" t="s">
        <v>67</v>
      </c>
    </row>
    <row r="59" spans="1:27" s="63" customFormat="1" ht="31.2">
      <c r="A59" s="27"/>
      <c r="B59" s="17">
        <v>42041</v>
      </c>
      <c r="C59" s="18" t="s">
        <v>271</v>
      </c>
      <c r="D59" s="20" t="s">
        <v>272</v>
      </c>
      <c r="E59" s="20" t="s">
        <v>224</v>
      </c>
      <c r="F59" s="21"/>
      <c r="G59" s="22" t="s">
        <v>28</v>
      </c>
      <c r="H59" s="23"/>
      <c r="I59" s="23"/>
      <c r="J59" s="23">
        <v>0</v>
      </c>
      <c r="K59" s="23">
        <v>16820000</v>
      </c>
      <c r="L59" s="121"/>
      <c r="M59" s="121"/>
      <c r="N59" s="23"/>
      <c r="O59" s="23"/>
      <c r="P59" s="23"/>
      <c r="Q59" s="23"/>
      <c r="R59" s="23"/>
      <c r="S59" s="23"/>
      <c r="T59" s="24"/>
      <c r="U59" s="16">
        <f>+SUM(H59:T59)-S59</f>
        <v>16820000</v>
      </c>
      <c r="V59" s="23">
        <f>5000000</f>
        <v>5000000</v>
      </c>
      <c r="W59" s="122">
        <v>42041</v>
      </c>
      <c r="X59" s="32"/>
      <c r="Y59" s="22">
        <f t="shared" si="1"/>
        <v>11820000</v>
      </c>
      <c r="Z59" s="33" t="s">
        <v>273</v>
      </c>
      <c r="AA59" s="120"/>
    </row>
    <row r="60" spans="1:27" ht="46.8">
      <c r="A60" s="27" t="s">
        <v>276</v>
      </c>
      <c r="B60" s="17">
        <v>42042</v>
      </c>
      <c r="C60" s="18" t="s">
        <v>171</v>
      </c>
      <c r="D60" s="20"/>
      <c r="E60" s="28" t="s">
        <v>277</v>
      </c>
      <c r="F60" s="21"/>
      <c r="G60" s="22" t="s">
        <v>140</v>
      </c>
      <c r="H60" s="23"/>
      <c r="I60" s="23"/>
      <c r="J60" s="23"/>
      <c r="K60" s="23">
        <v>1500000</v>
      </c>
      <c r="L60" s="57"/>
      <c r="M60" s="57"/>
      <c r="N60" s="23"/>
      <c r="O60" s="23"/>
      <c r="P60" s="23"/>
      <c r="Q60" s="23"/>
      <c r="R60" s="23"/>
      <c r="S60" s="23"/>
      <c r="T60" s="24"/>
      <c r="U60" s="16">
        <f t="shared" ref="U60:U67" si="7">+SUM(H60:T60)-S60</f>
        <v>1500000</v>
      </c>
      <c r="V60" s="23">
        <v>1500000</v>
      </c>
      <c r="W60" s="17">
        <v>42044</v>
      </c>
      <c r="X60" s="17"/>
      <c r="Y60" s="22">
        <f t="shared" si="1"/>
        <v>0</v>
      </c>
      <c r="Z60" s="62"/>
    </row>
    <row r="61" spans="1:27" ht="15.6">
      <c r="A61" s="23"/>
      <c r="B61" s="17">
        <v>42042</v>
      </c>
      <c r="C61" s="18" t="s">
        <v>278</v>
      </c>
      <c r="D61" s="20"/>
      <c r="E61" s="28" t="s">
        <v>101</v>
      </c>
      <c r="F61" s="21" t="s">
        <v>280</v>
      </c>
      <c r="G61" s="22" t="s">
        <v>91</v>
      </c>
      <c r="H61" s="23">
        <v>225000</v>
      </c>
      <c r="I61" s="23"/>
      <c r="J61" s="23"/>
      <c r="K61" s="23"/>
      <c r="L61" s="57"/>
      <c r="M61" s="57"/>
      <c r="N61" s="23"/>
      <c r="O61" s="23"/>
      <c r="P61" s="23"/>
      <c r="Q61" s="23"/>
      <c r="R61" s="23"/>
      <c r="S61" s="23"/>
      <c r="T61" s="23"/>
      <c r="U61" s="16">
        <f t="shared" si="7"/>
        <v>225000</v>
      </c>
      <c r="V61" s="23">
        <v>225000</v>
      </c>
      <c r="W61" s="17">
        <v>42042</v>
      </c>
      <c r="X61" s="57"/>
      <c r="Y61" s="22">
        <f t="shared" si="1"/>
        <v>0</v>
      </c>
      <c r="Z61" s="62"/>
      <c r="AA61" s="29"/>
    </row>
    <row r="62" spans="1:27" s="63" customFormat="1" ht="15.6">
      <c r="A62" s="23"/>
      <c r="B62" s="17">
        <v>42042</v>
      </c>
      <c r="C62" s="18" t="s">
        <v>279</v>
      </c>
      <c r="D62" s="20"/>
      <c r="E62" s="28" t="s">
        <v>101</v>
      </c>
      <c r="F62" s="21" t="s">
        <v>282</v>
      </c>
      <c r="G62" s="22" t="s">
        <v>91</v>
      </c>
      <c r="H62" s="23">
        <v>630000</v>
      </c>
      <c r="I62" s="23"/>
      <c r="J62" s="23"/>
      <c r="K62" s="23"/>
      <c r="L62" s="121"/>
      <c r="M62" s="121"/>
      <c r="N62" s="23"/>
      <c r="O62" s="23"/>
      <c r="P62" s="23"/>
      <c r="Q62" s="23"/>
      <c r="R62" s="23"/>
      <c r="S62" s="23"/>
      <c r="T62" s="24"/>
      <c r="U62" s="16">
        <f t="shared" si="7"/>
        <v>630000</v>
      </c>
      <c r="V62" s="23">
        <v>630000</v>
      </c>
      <c r="W62" s="17">
        <v>42042</v>
      </c>
      <c r="X62" s="121"/>
      <c r="Y62" s="22">
        <f t="shared" si="1"/>
        <v>0</v>
      </c>
      <c r="Z62" s="62"/>
    </row>
    <row r="63" spans="1:27" ht="46.8">
      <c r="A63" s="27"/>
      <c r="B63" s="17">
        <v>42044</v>
      </c>
      <c r="C63" s="18" t="s">
        <v>210</v>
      </c>
      <c r="D63" s="20" t="s">
        <v>211</v>
      </c>
      <c r="E63" s="28" t="s">
        <v>45</v>
      </c>
      <c r="F63" s="21" t="s">
        <v>212</v>
      </c>
      <c r="G63" s="22" t="s">
        <v>140</v>
      </c>
      <c r="H63" s="23">
        <v>0</v>
      </c>
      <c r="I63" s="57"/>
      <c r="J63" s="23">
        <v>0</v>
      </c>
      <c r="K63" s="24">
        <v>3500000</v>
      </c>
      <c r="L63" s="57"/>
      <c r="M63" s="57"/>
      <c r="N63" s="57"/>
      <c r="O63" s="57"/>
      <c r="P63" s="57"/>
      <c r="Q63" s="57"/>
      <c r="R63" s="76"/>
      <c r="S63" s="57"/>
      <c r="T63" s="24"/>
      <c r="U63" s="16">
        <f t="shared" ref="U63" si="8">+SUM(H63:T63)</f>
        <v>3500000</v>
      </c>
      <c r="V63" s="23">
        <v>1750000</v>
      </c>
      <c r="W63" s="17">
        <v>42044</v>
      </c>
      <c r="X63" s="17" t="s">
        <v>826</v>
      </c>
      <c r="Y63" s="22">
        <f t="shared" si="1"/>
        <v>1750000</v>
      </c>
      <c r="Z63" s="57"/>
    </row>
    <row r="64" spans="1:27" ht="46.8">
      <c r="A64" s="23" t="s">
        <v>288</v>
      </c>
      <c r="B64" s="42">
        <v>42045</v>
      </c>
      <c r="C64" s="18" t="s">
        <v>283</v>
      </c>
      <c r="D64" s="20"/>
      <c r="E64" s="28" t="s">
        <v>45</v>
      </c>
      <c r="F64" s="21" t="s">
        <v>284</v>
      </c>
      <c r="G64" s="22" t="s">
        <v>28</v>
      </c>
      <c r="H64" s="23">
        <v>700000</v>
      </c>
      <c r="I64" s="57"/>
      <c r="J64" s="23">
        <v>1440000</v>
      </c>
      <c r="K64" s="23">
        <v>0</v>
      </c>
      <c r="L64" s="57"/>
      <c r="M64" s="57"/>
      <c r="N64" s="23"/>
      <c r="O64" s="23"/>
      <c r="P64" s="23"/>
      <c r="Q64" s="23"/>
      <c r="R64" s="23"/>
      <c r="S64" s="23"/>
      <c r="T64" s="24">
        <v>144000</v>
      </c>
      <c r="U64" s="16">
        <f t="shared" si="7"/>
        <v>2284000</v>
      </c>
      <c r="V64" s="23">
        <v>2284000</v>
      </c>
      <c r="W64" s="17">
        <v>42045</v>
      </c>
      <c r="X64" s="17" t="s">
        <v>285</v>
      </c>
      <c r="Y64" s="22">
        <f t="shared" si="1"/>
        <v>0</v>
      </c>
      <c r="Z64" s="62"/>
    </row>
    <row r="65" spans="1:27" ht="46.8">
      <c r="A65" s="23" t="s">
        <v>291</v>
      </c>
      <c r="B65" s="42">
        <v>42047</v>
      </c>
      <c r="C65" s="18" t="s">
        <v>294</v>
      </c>
      <c r="D65" s="20" t="s">
        <v>295</v>
      </c>
      <c r="E65" s="28" t="s">
        <v>45</v>
      </c>
      <c r="F65" s="21" t="s">
        <v>292</v>
      </c>
      <c r="G65" s="22" t="s">
        <v>28</v>
      </c>
      <c r="H65" s="23">
        <v>250000</v>
      </c>
      <c r="I65" s="57"/>
      <c r="J65" s="23">
        <v>1440000</v>
      </c>
      <c r="K65" s="23"/>
      <c r="L65" s="57"/>
      <c r="M65" s="57"/>
      <c r="N65" s="23"/>
      <c r="O65" s="23"/>
      <c r="P65" s="23"/>
      <c r="Q65" s="23"/>
      <c r="R65" s="23"/>
      <c r="S65" s="23"/>
      <c r="T65" s="24">
        <v>169000</v>
      </c>
      <c r="U65" s="16">
        <f t="shared" si="7"/>
        <v>1859000</v>
      </c>
      <c r="V65" s="23">
        <v>1859000</v>
      </c>
      <c r="W65" s="17">
        <v>42047</v>
      </c>
      <c r="X65" s="17" t="s">
        <v>293</v>
      </c>
      <c r="Y65" s="22">
        <f t="shared" si="1"/>
        <v>0</v>
      </c>
      <c r="Z65" s="62"/>
      <c r="AA65" s="29"/>
    </row>
    <row r="66" spans="1:27" s="124" customFormat="1" ht="46.8">
      <c r="A66" s="23" t="s">
        <v>296</v>
      </c>
      <c r="B66" s="128">
        <v>42060</v>
      </c>
      <c r="C66" s="129" t="s">
        <v>297</v>
      </c>
      <c r="D66" s="62" t="s">
        <v>298</v>
      </c>
      <c r="E66" s="40" t="s">
        <v>195</v>
      </c>
      <c r="F66" s="21" t="s">
        <v>448</v>
      </c>
      <c r="G66" s="23" t="s">
        <v>28</v>
      </c>
      <c r="H66" s="23">
        <v>250000</v>
      </c>
      <c r="I66" s="123"/>
      <c r="J66" s="23">
        <v>1440000</v>
      </c>
      <c r="K66" s="23"/>
      <c r="L66" s="123"/>
      <c r="M66" s="123"/>
      <c r="N66" s="27"/>
      <c r="O66" s="27"/>
      <c r="P66" s="27"/>
      <c r="Q66" s="27"/>
      <c r="R66" s="27"/>
      <c r="S66" s="27"/>
      <c r="T66" s="24"/>
      <c r="U66" s="16">
        <f t="shared" si="7"/>
        <v>1690000</v>
      </c>
      <c r="V66" s="23">
        <f>720000+250000+720000</f>
        <v>1690000</v>
      </c>
      <c r="W66" s="131" t="s">
        <v>598</v>
      </c>
      <c r="X66" s="17"/>
      <c r="Y66" s="22">
        <f t="shared" si="1"/>
        <v>0</v>
      </c>
      <c r="Z66" s="83" t="s">
        <v>126</v>
      </c>
    </row>
    <row r="67" spans="1:27" s="63" customFormat="1" ht="31.2">
      <c r="A67" s="27"/>
      <c r="B67" s="42">
        <v>42063</v>
      </c>
      <c r="C67" s="125" t="s">
        <v>300</v>
      </c>
      <c r="D67" s="20"/>
      <c r="E67" s="20" t="s">
        <v>301</v>
      </c>
      <c r="F67" s="126"/>
      <c r="G67" s="22" t="s">
        <v>94</v>
      </c>
      <c r="H67" s="23"/>
      <c r="I67" s="121"/>
      <c r="J67" s="23">
        <v>450000</v>
      </c>
      <c r="K67" s="23"/>
      <c r="L67" s="121"/>
      <c r="M67" s="121"/>
      <c r="N67" s="121"/>
      <c r="O67" s="121"/>
      <c r="P67" s="24"/>
      <c r="Q67" s="24"/>
      <c r="R67" s="121"/>
      <c r="S67" s="121"/>
      <c r="T67" s="24"/>
      <c r="U67" s="16">
        <f t="shared" si="7"/>
        <v>450000</v>
      </c>
      <c r="V67" s="23">
        <v>450000</v>
      </c>
      <c r="W67" s="122">
        <v>42065</v>
      </c>
      <c r="X67" s="17"/>
      <c r="Y67" s="22">
        <f t="shared" si="1"/>
        <v>0</v>
      </c>
      <c r="Z67" s="33" t="s">
        <v>302</v>
      </c>
      <c r="AA67" s="75"/>
    </row>
    <row r="68" spans="1:27" ht="15.6">
      <c r="A68" s="27"/>
      <c r="B68" s="17"/>
      <c r="C68" s="79" t="s">
        <v>107</v>
      </c>
      <c r="D68" s="57"/>
      <c r="E68" s="57"/>
      <c r="F68" s="57"/>
      <c r="G68" s="57"/>
      <c r="H68" s="80">
        <f t="shared" ref="H68:V68" si="9">SUM(H52:H67)</f>
        <v>3055000</v>
      </c>
      <c r="I68" s="80">
        <f t="shared" si="9"/>
        <v>0</v>
      </c>
      <c r="J68" s="80">
        <f t="shared" si="9"/>
        <v>7110000</v>
      </c>
      <c r="K68" s="80">
        <f t="shared" si="9"/>
        <v>31820000</v>
      </c>
      <c r="L68" s="80">
        <f t="shared" si="9"/>
        <v>0</v>
      </c>
      <c r="M68" s="80">
        <f t="shared" si="9"/>
        <v>0</v>
      </c>
      <c r="N68" s="80">
        <f t="shared" si="9"/>
        <v>0</v>
      </c>
      <c r="O68" s="80">
        <f t="shared" si="9"/>
        <v>0</v>
      </c>
      <c r="P68" s="80">
        <f t="shared" si="9"/>
        <v>1040000</v>
      </c>
      <c r="Q68" s="80">
        <f t="shared" si="9"/>
        <v>0</v>
      </c>
      <c r="R68" s="80">
        <f t="shared" si="9"/>
        <v>15000000</v>
      </c>
      <c r="S68" s="80">
        <f t="shared" si="9"/>
        <v>0</v>
      </c>
      <c r="T68" s="80">
        <f t="shared" si="9"/>
        <v>442000</v>
      </c>
      <c r="U68" s="80">
        <f t="shared" si="9"/>
        <v>58467000</v>
      </c>
      <c r="V68" s="80">
        <f t="shared" si="9"/>
        <v>44897000</v>
      </c>
      <c r="W68" s="80"/>
      <c r="X68" s="80">
        <f>SUM(X52:X67)</f>
        <v>0</v>
      </c>
      <c r="Y68" s="22">
        <f t="shared" si="1"/>
        <v>13570000</v>
      </c>
      <c r="Z68" s="57"/>
    </row>
    <row r="69" spans="1:27" ht="15.6">
      <c r="A69" s="16" t="s">
        <v>299</v>
      </c>
      <c r="B69" s="17"/>
      <c r="C69" s="18"/>
      <c r="D69" s="19"/>
      <c r="E69" s="20"/>
      <c r="F69" s="21"/>
      <c r="G69" s="22"/>
      <c r="H69" s="23"/>
      <c r="I69" s="24"/>
      <c r="J69" s="23"/>
      <c r="K69" s="24"/>
      <c r="L69" s="24"/>
      <c r="M69" s="23"/>
      <c r="N69" s="24"/>
      <c r="O69" s="24"/>
      <c r="P69" s="24"/>
      <c r="Q69" s="24"/>
      <c r="R69" s="24"/>
      <c r="S69" s="24"/>
      <c r="T69" s="24"/>
      <c r="U69" s="16">
        <f>+SUM(H69:T69)</f>
        <v>0</v>
      </c>
      <c r="V69" s="23"/>
      <c r="W69" s="17"/>
      <c r="X69" s="17"/>
      <c r="Y69" s="22">
        <f t="shared" si="1"/>
        <v>0</v>
      </c>
      <c r="Z69" s="25"/>
      <c r="AA69" s="26"/>
    </row>
    <row r="70" spans="1:27" ht="31.2">
      <c r="A70" s="27" t="s">
        <v>303</v>
      </c>
      <c r="B70" s="17">
        <v>42066</v>
      </c>
      <c r="C70" s="18" t="s">
        <v>304</v>
      </c>
      <c r="D70" s="20" t="s">
        <v>305</v>
      </c>
      <c r="E70" s="28" t="s">
        <v>224</v>
      </c>
      <c r="F70" s="21"/>
      <c r="G70" s="22" t="s">
        <v>275</v>
      </c>
      <c r="H70" s="23" t="s">
        <v>306</v>
      </c>
      <c r="I70" s="24"/>
      <c r="J70" s="23">
        <v>1440000</v>
      </c>
      <c r="K70" s="24">
        <v>1000000</v>
      </c>
      <c r="L70" s="24"/>
      <c r="M70" s="23"/>
      <c r="N70" s="24"/>
      <c r="O70" s="24"/>
      <c r="P70" s="24"/>
      <c r="Q70" s="24"/>
      <c r="R70" s="24"/>
      <c r="S70" s="24"/>
      <c r="T70" s="24"/>
      <c r="U70" s="16">
        <f t="shared" ref="U70:U105" si="10">+SUM(H70:T70)</f>
        <v>2440000</v>
      </c>
      <c r="V70" s="23">
        <v>2440000</v>
      </c>
      <c r="W70" s="17">
        <v>42068</v>
      </c>
      <c r="X70" s="17"/>
      <c r="Y70" s="22">
        <f t="shared" ref="Y70:Y133" si="11">U70-V70</f>
        <v>0</v>
      </c>
      <c r="Z70" s="62" t="s">
        <v>193</v>
      </c>
      <c r="AA70" s="29"/>
    </row>
    <row r="71" spans="1:27" ht="15.6">
      <c r="A71" s="27"/>
      <c r="B71" s="17">
        <v>42068</v>
      </c>
      <c r="C71" s="18" t="s">
        <v>309</v>
      </c>
      <c r="D71" s="20"/>
      <c r="E71" s="28" t="s">
        <v>310</v>
      </c>
      <c r="F71" s="45" t="s">
        <v>307</v>
      </c>
      <c r="G71" s="22" t="s">
        <v>91</v>
      </c>
      <c r="H71" s="23">
        <v>250000</v>
      </c>
      <c r="I71" s="24"/>
      <c r="J71" s="23"/>
      <c r="K71" s="24"/>
      <c r="L71" s="24"/>
      <c r="M71" s="23"/>
      <c r="N71" s="24"/>
      <c r="O71" s="24"/>
      <c r="P71" s="24"/>
      <c r="Q71" s="24"/>
      <c r="R71" s="24"/>
      <c r="S71" s="24"/>
      <c r="T71" s="24"/>
      <c r="U71" s="16">
        <f t="shared" si="10"/>
        <v>250000</v>
      </c>
      <c r="V71" s="23">
        <v>250000</v>
      </c>
      <c r="W71" s="17">
        <v>42074</v>
      </c>
      <c r="X71" s="17"/>
      <c r="Y71" s="22">
        <f t="shared" si="11"/>
        <v>0</v>
      </c>
      <c r="Z71" s="25"/>
      <c r="AA71" s="29" t="s">
        <v>111</v>
      </c>
    </row>
    <row r="72" spans="1:27" ht="15.6">
      <c r="A72" s="60"/>
      <c r="B72" s="17">
        <v>42068</v>
      </c>
      <c r="C72" s="18" t="s">
        <v>309</v>
      </c>
      <c r="D72" s="20"/>
      <c r="E72" s="28" t="s">
        <v>310</v>
      </c>
      <c r="F72" s="45" t="s">
        <v>308</v>
      </c>
      <c r="G72" s="22" t="s">
        <v>91</v>
      </c>
      <c r="H72" s="23">
        <v>250000</v>
      </c>
      <c r="I72" s="24"/>
      <c r="J72" s="23"/>
      <c r="K72" s="24"/>
      <c r="L72" s="24"/>
      <c r="M72" s="23"/>
      <c r="N72" s="24"/>
      <c r="O72" s="24"/>
      <c r="P72" s="24"/>
      <c r="Q72" s="24"/>
      <c r="R72" s="24"/>
      <c r="S72" s="24"/>
      <c r="T72" s="24"/>
      <c r="U72" s="16">
        <f t="shared" si="10"/>
        <v>250000</v>
      </c>
      <c r="V72" s="23">
        <v>250000</v>
      </c>
      <c r="W72" s="17">
        <v>42074</v>
      </c>
      <c r="X72" s="17"/>
      <c r="Y72" s="22">
        <f t="shared" si="11"/>
        <v>0</v>
      </c>
      <c r="Z72" s="25"/>
      <c r="AA72" s="29" t="s">
        <v>111</v>
      </c>
    </row>
    <row r="73" spans="1:27" s="63" customFormat="1" ht="31.2">
      <c r="A73" s="27" t="s">
        <v>311</v>
      </c>
      <c r="B73" s="17">
        <v>42068</v>
      </c>
      <c r="C73" s="18" t="s">
        <v>312</v>
      </c>
      <c r="D73" s="20" t="s">
        <v>313</v>
      </c>
      <c r="E73" s="20" t="s">
        <v>315</v>
      </c>
      <c r="F73" s="21" t="s">
        <v>314</v>
      </c>
      <c r="G73" s="22" t="s">
        <v>28</v>
      </c>
      <c r="H73" s="23">
        <v>250000</v>
      </c>
      <c r="I73" s="24"/>
      <c r="J73" s="23">
        <v>1440000</v>
      </c>
      <c r="K73" s="24"/>
      <c r="L73" s="24"/>
      <c r="M73" s="23"/>
      <c r="N73" s="24"/>
      <c r="O73" s="24"/>
      <c r="P73" s="24"/>
      <c r="Q73" s="24"/>
      <c r="R73" s="24"/>
      <c r="S73" s="24"/>
      <c r="T73" s="24"/>
      <c r="U73" s="16">
        <f t="shared" si="10"/>
        <v>1690000</v>
      </c>
      <c r="V73" s="23">
        <f>845000</f>
        <v>845000</v>
      </c>
      <c r="W73" s="17">
        <v>42082</v>
      </c>
      <c r="X73" s="17"/>
      <c r="Y73" s="22">
        <f t="shared" si="11"/>
        <v>845000</v>
      </c>
      <c r="Z73" s="62" t="s">
        <v>126</v>
      </c>
      <c r="AA73" s="29"/>
    </row>
    <row r="74" spans="1:27" ht="46.8">
      <c r="A74" s="64" t="s">
        <v>317</v>
      </c>
      <c r="B74" s="65">
        <v>42072</v>
      </c>
      <c r="C74" s="66" t="s">
        <v>543</v>
      </c>
      <c r="D74" s="67"/>
      <c r="E74" s="67" t="s">
        <v>316</v>
      </c>
      <c r="F74" s="68"/>
      <c r="G74" s="69" t="s">
        <v>62</v>
      </c>
      <c r="H74" s="70"/>
      <c r="I74" s="90"/>
      <c r="J74" s="70"/>
      <c r="K74" s="90"/>
      <c r="L74" s="90"/>
      <c r="M74" s="70"/>
      <c r="N74" s="90"/>
      <c r="O74" s="90"/>
      <c r="P74" s="90">
        <v>800000</v>
      </c>
      <c r="Q74" s="90"/>
      <c r="R74" s="90"/>
      <c r="S74" s="90"/>
      <c r="T74" s="90">
        <v>80000</v>
      </c>
      <c r="U74" s="72">
        <f t="shared" si="10"/>
        <v>880000</v>
      </c>
      <c r="V74" s="70">
        <v>880000</v>
      </c>
      <c r="W74" s="101">
        <v>42116</v>
      </c>
      <c r="X74" s="65" t="s">
        <v>511</v>
      </c>
      <c r="Y74" s="22">
        <f t="shared" si="11"/>
        <v>0</v>
      </c>
      <c r="Z74" s="132"/>
      <c r="AA74" s="29"/>
    </row>
    <row r="75" spans="1:27" s="63" customFormat="1" ht="31.2">
      <c r="A75" s="27"/>
      <c r="B75" s="65">
        <v>42072</v>
      </c>
      <c r="C75" s="98" t="s">
        <v>64</v>
      </c>
      <c r="D75" s="99"/>
      <c r="E75" s="67" t="s">
        <v>65</v>
      </c>
      <c r="F75" s="100" t="s">
        <v>66</v>
      </c>
      <c r="G75" s="69" t="s">
        <v>62</v>
      </c>
      <c r="H75" s="89"/>
      <c r="I75" s="71"/>
      <c r="J75" s="70"/>
      <c r="K75" s="90"/>
      <c r="L75" s="71"/>
      <c r="M75" s="71"/>
      <c r="N75" s="71"/>
      <c r="O75" s="71"/>
      <c r="P75" s="90">
        <v>1040000</v>
      </c>
      <c r="Q75" s="90"/>
      <c r="R75" s="71"/>
      <c r="S75" s="71"/>
      <c r="T75" s="90">
        <v>104000</v>
      </c>
      <c r="U75" s="72">
        <f>+SUM(H75:T75)</f>
        <v>1144000</v>
      </c>
      <c r="V75" s="70">
        <v>1144000</v>
      </c>
      <c r="W75" s="101">
        <v>42116</v>
      </c>
      <c r="X75" s="74" t="s">
        <v>510</v>
      </c>
      <c r="Y75" s="22">
        <f t="shared" si="11"/>
        <v>0</v>
      </c>
      <c r="Z75" s="102"/>
      <c r="AA75" s="120"/>
    </row>
    <row r="76" spans="1:27" ht="46.8">
      <c r="A76" s="27" t="s">
        <v>321</v>
      </c>
      <c r="B76" s="17">
        <v>42073</v>
      </c>
      <c r="C76" s="18" t="s">
        <v>318</v>
      </c>
      <c r="D76" s="20"/>
      <c r="E76" s="28" t="s">
        <v>319</v>
      </c>
      <c r="F76" s="45" t="s">
        <v>320</v>
      </c>
      <c r="G76" s="22" t="s">
        <v>47</v>
      </c>
      <c r="H76" s="23"/>
      <c r="I76" s="23"/>
      <c r="J76" s="23"/>
      <c r="K76" s="24">
        <v>1000000</v>
      </c>
      <c r="L76" s="57"/>
      <c r="M76" s="57"/>
      <c r="N76" s="23"/>
      <c r="O76" s="23"/>
      <c r="P76" s="23"/>
      <c r="Q76" s="23"/>
      <c r="R76" s="23"/>
      <c r="S76" s="23"/>
      <c r="T76" s="24"/>
      <c r="U76" s="16">
        <f t="shared" si="10"/>
        <v>1000000</v>
      </c>
      <c r="V76" s="23">
        <v>1000000</v>
      </c>
      <c r="W76" s="17">
        <v>42076</v>
      </c>
      <c r="X76" s="17" t="s">
        <v>322</v>
      </c>
      <c r="Y76" s="22">
        <f t="shared" si="11"/>
        <v>0</v>
      </c>
      <c r="Z76" s="62"/>
    </row>
    <row r="77" spans="1:27" ht="27.6">
      <c r="A77" s="23"/>
      <c r="B77" s="17">
        <v>42073</v>
      </c>
      <c r="C77" s="143" t="s">
        <v>323</v>
      </c>
      <c r="D77" s="20"/>
      <c r="E77" s="28"/>
      <c r="F77" s="21" t="s">
        <v>422</v>
      </c>
      <c r="G77" s="22" t="s">
        <v>28</v>
      </c>
      <c r="H77" s="23">
        <v>250000</v>
      </c>
      <c r="I77" s="23"/>
      <c r="J77" s="23">
        <v>1440000</v>
      </c>
      <c r="K77" s="24"/>
      <c r="L77" s="57"/>
      <c r="M77" s="57"/>
      <c r="N77" s="23"/>
      <c r="O77" s="23"/>
      <c r="P77" s="23"/>
      <c r="Q77" s="23"/>
      <c r="R77" s="23"/>
      <c r="S77" s="23"/>
      <c r="T77" s="23"/>
      <c r="U77" s="16">
        <f t="shared" si="10"/>
        <v>1690000</v>
      </c>
      <c r="V77" s="23">
        <v>1690000</v>
      </c>
      <c r="W77" s="17">
        <v>42117</v>
      </c>
      <c r="X77" s="57"/>
      <c r="Y77" s="22">
        <f t="shared" si="11"/>
        <v>0</v>
      </c>
      <c r="Z77" s="62"/>
      <c r="AA77" s="29"/>
    </row>
    <row r="78" spans="1:27" s="87" customFormat="1" ht="78">
      <c r="A78" s="27" t="s">
        <v>330</v>
      </c>
      <c r="B78" s="81">
        <v>42074</v>
      </c>
      <c r="C78" s="82" t="s">
        <v>325</v>
      </c>
      <c r="D78" s="84" t="s">
        <v>366</v>
      </c>
      <c r="E78" s="84" t="s">
        <v>332</v>
      </c>
      <c r="F78" s="30" t="s">
        <v>333</v>
      </c>
      <c r="G78" s="27" t="s">
        <v>94</v>
      </c>
      <c r="H78" s="27"/>
      <c r="I78" s="127"/>
      <c r="J78" s="27">
        <v>5500000</v>
      </c>
      <c r="K78" s="30"/>
      <c r="L78" s="127"/>
      <c r="M78" s="127"/>
      <c r="N78" s="127"/>
      <c r="O78" s="127"/>
      <c r="P78" s="127"/>
      <c r="Q78" s="127"/>
      <c r="R78" s="142"/>
      <c r="S78" s="127"/>
      <c r="T78" s="30"/>
      <c r="U78" s="85">
        <v>1360000</v>
      </c>
      <c r="V78" s="27">
        <f>1360000</f>
        <v>1360000</v>
      </c>
      <c r="W78" s="81">
        <v>41815</v>
      </c>
      <c r="X78" s="81"/>
      <c r="Y78" s="22">
        <f t="shared" si="11"/>
        <v>0</v>
      </c>
      <c r="Z78" s="82" t="s">
        <v>673</v>
      </c>
    </row>
    <row r="79" spans="1:27" s="124" customFormat="1" ht="46.8">
      <c r="A79" s="27" t="s">
        <v>331</v>
      </c>
      <c r="B79" s="81">
        <v>42075</v>
      </c>
      <c r="C79" s="82" t="s">
        <v>325</v>
      </c>
      <c r="D79" s="84" t="s">
        <v>464</v>
      </c>
      <c r="E79" s="84" t="s">
        <v>326</v>
      </c>
      <c r="F79" s="30" t="s">
        <v>324</v>
      </c>
      <c r="G79" s="27" t="s">
        <v>94</v>
      </c>
      <c r="H79" s="27">
        <v>250000</v>
      </c>
      <c r="I79" s="27"/>
      <c r="J79" s="27">
        <v>840000</v>
      </c>
      <c r="K79" s="30"/>
      <c r="L79" s="123"/>
      <c r="M79" s="123"/>
      <c r="N79" s="27"/>
      <c r="O79" s="27"/>
      <c r="P79" s="27"/>
      <c r="Q79" s="27"/>
      <c r="R79" s="27"/>
      <c r="S79" s="27"/>
      <c r="T79" s="30">
        <v>109000</v>
      </c>
      <c r="U79" s="85"/>
      <c r="V79" s="27"/>
      <c r="W79" s="81"/>
      <c r="X79" s="123"/>
      <c r="Y79" s="22">
        <f t="shared" si="11"/>
        <v>0</v>
      </c>
      <c r="Z79" s="83" t="s">
        <v>674</v>
      </c>
    </row>
    <row r="80" spans="1:27" ht="31.2">
      <c r="A80" s="23" t="s">
        <v>334</v>
      </c>
      <c r="B80" s="42">
        <v>42076</v>
      </c>
      <c r="C80" s="18" t="s">
        <v>335</v>
      </c>
      <c r="D80" s="20" t="s">
        <v>804</v>
      </c>
      <c r="E80" s="28" t="s">
        <v>336</v>
      </c>
      <c r="F80" s="21" t="s">
        <v>421</v>
      </c>
      <c r="G80" s="22" t="s">
        <v>28</v>
      </c>
      <c r="H80" s="23"/>
      <c r="I80" s="23">
        <v>1200000</v>
      </c>
      <c r="J80" s="23"/>
      <c r="K80" s="24"/>
      <c r="L80" s="57"/>
      <c r="M80" s="57"/>
      <c r="N80" s="23"/>
      <c r="O80" s="23"/>
      <c r="P80" s="23"/>
      <c r="Q80" s="23"/>
      <c r="R80" s="23"/>
      <c r="S80" s="23"/>
      <c r="T80" s="24"/>
      <c r="U80" s="16">
        <f t="shared" si="10"/>
        <v>1200000</v>
      </c>
      <c r="V80" s="23">
        <v>1200000</v>
      </c>
      <c r="W80" s="17">
        <v>42079</v>
      </c>
      <c r="X80" s="17"/>
      <c r="Y80" s="22">
        <f t="shared" si="11"/>
        <v>0</v>
      </c>
      <c r="Z80" s="62"/>
      <c r="AA80" s="29"/>
    </row>
    <row r="81" spans="1:26" s="124" customFormat="1" ht="31.2">
      <c r="A81" s="27"/>
      <c r="B81" s="128">
        <v>42076</v>
      </c>
      <c r="C81" s="129" t="s">
        <v>309</v>
      </c>
      <c r="D81" s="62"/>
      <c r="E81" s="40" t="s">
        <v>310</v>
      </c>
      <c r="F81" s="21" t="s">
        <v>337</v>
      </c>
      <c r="G81" s="23" t="s">
        <v>91</v>
      </c>
      <c r="H81" s="23">
        <v>500000</v>
      </c>
      <c r="I81" s="123"/>
      <c r="J81" s="23"/>
      <c r="K81" s="24"/>
      <c r="L81" s="123"/>
      <c r="M81" s="123"/>
      <c r="N81" s="27"/>
      <c r="O81" s="27"/>
      <c r="P81" s="27"/>
      <c r="Q81" s="27"/>
      <c r="R81" s="27"/>
      <c r="S81" s="27"/>
      <c r="T81" s="24"/>
      <c r="U81" s="16">
        <f t="shared" si="10"/>
        <v>500000</v>
      </c>
      <c r="V81" s="23">
        <v>500000</v>
      </c>
      <c r="W81" s="17">
        <v>42076</v>
      </c>
      <c r="X81" s="17"/>
      <c r="Y81" s="22">
        <f t="shared" si="11"/>
        <v>0</v>
      </c>
      <c r="Z81" s="83"/>
    </row>
    <row r="82" spans="1:26" s="124" customFormat="1" ht="31.2">
      <c r="A82" s="23" t="s">
        <v>348</v>
      </c>
      <c r="B82" s="128">
        <v>42077</v>
      </c>
      <c r="C82" s="129" t="s">
        <v>349</v>
      </c>
      <c r="D82" s="62" t="s">
        <v>805</v>
      </c>
      <c r="E82" s="40" t="s">
        <v>350</v>
      </c>
      <c r="F82" s="21" t="s">
        <v>351</v>
      </c>
      <c r="G82" s="23" t="s">
        <v>125</v>
      </c>
      <c r="H82" s="23">
        <v>250000</v>
      </c>
      <c r="I82" s="123"/>
      <c r="J82" s="23">
        <v>900000</v>
      </c>
      <c r="K82" s="24"/>
      <c r="L82" s="123"/>
      <c r="M82" s="123"/>
      <c r="N82" s="27"/>
      <c r="O82" s="27"/>
      <c r="P82" s="27"/>
      <c r="Q82" s="27"/>
      <c r="R82" s="27"/>
      <c r="S82" s="27"/>
      <c r="T82" s="24"/>
      <c r="U82" s="16">
        <f t="shared" si="10"/>
        <v>1150000</v>
      </c>
      <c r="V82" s="23">
        <v>1150000</v>
      </c>
      <c r="W82" s="17">
        <v>42079</v>
      </c>
      <c r="X82" s="17"/>
      <c r="Y82" s="22">
        <f t="shared" si="11"/>
        <v>0</v>
      </c>
      <c r="Z82" s="83"/>
    </row>
    <row r="83" spans="1:26" s="124" customFormat="1" ht="31.2">
      <c r="A83" s="27"/>
      <c r="B83" s="128">
        <v>42140</v>
      </c>
      <c r="C83" s="129" t="s">
        <v>339</v>
      </c>
      <c r="D83" s="62" t="s">
        <v>340</v>
      </c>
      <c r="E83" s="40" t="s">
        <v>310</v>
      </c>
      <c r="F83" s="21" t="s">
        <v>338</v>
      </c>
      <c r="G83" s="23" t="s">
        <v>94</v>
      </c>
      <c r="H83" s="23">
        <v>480000</v>
      </c>
      <c r="I83" s="123"/>
      <c r="J83" s="23"/>
      <c r="K83" s="24"/>
      <c r="L83" s="123"/>
      <c r="M83" s="123"/>
      <c r="N83" s="27"/>
      <c r="O83" s="27"/>
      <c r="P83" s="27"/>
      <c r="Q83" s="27"/>
      <c r="R83" s="27"/>
      <c r="S83" s="27"/>
      <c r="T83" s="24"/>
      <c r="U83" s="16">
        <f t="shared" si="10"/>
        <v>480000</v>
      </c>
      <c r="V83" s="23">
        <v>480000</v>
      </c>
      <c r="W83" s="17">
        <v>42079</v>
      </c>
      <c r="X83" s="17"/>
      <c r="Y83" s="22">
        <f t="shared" si="11"/>
        <v>0</v>
      </c>
      <c r="Z83" s="83"/>
    </row>
    <row r="84" spans="1:26" s="124" customFormat="1" ht="31.2">
      <c r="A84" s="27" t="s">
        <v>341</v>
      </c>
      <c r="B84" s="128">
        <v>42079</v>
      </c>
      <c r="C84" s="129" t="s">
        <v>342</v>
      </c>
      <c r="D84" s="62" t="s">
        <v>343</v>
      </c>
      <c r="E84" s="40" t="s">
        <v>195</v>
      </c>
      <c r="F84" s="21" t="s">
        <v>360</v>
      </c>
      <c r="G84" s="23" t="s">
        <v>275</v>
      </c>
      <c r="H84" s="23"/>
      <c r="I84" s="123"/>
      <c r="J84" s="23">
        <v>1440000</v>
      </c>
      <c r="K84" s="24">
        <v>1000000</v>
      </c>
      <c r="L84" s="123"/>
      <c r="M84" s="123"/>
      <c r="N84" s="27"/>
      <c r="O84" s="27"/>
      <c r="P84" s="27"/>
      <c r="Q84" s="27"/>
      <c r="R84" s="27"/>
      <c r="S84" s="27"/>
      <c r="T84" s="24"/>
      <c r="U84" s="16">
        <f t="shared" si="10"/>
        <v>2440000</v>
      </c>
      <c r="V84" s="23">
        <v>2440000</v>
      </c>
      <c r="W84" s="17">
        <v>42177</v>
      </c>
      <c r="X84" s="17"/>
      <c r="Y84" s="22">
        <f t="shared" si="11"/>
        <v>0</v>
      </c>
      <c r="Z84" s="83"/>
    </row>
    <row r="85" spans="1:26" ht="41.4">
      <c r="A85" s="27" t="s">
        <v>424</v>
      </c>
      <c r="B85" s="17">
        <v>42079</v>
      </c>
      <c r="C85" s="18" t="s">
        <v>423</v>
      </c>
      <c r="D85" s="139">
        <v>936036733</v>
      </c>
      <c r="E85" s="40" t="s">
        <v>195</v>
      </c>
      <c r="F85" s="21" t="s">
        <v>420</v>
      </c>
      <c r="G85" s="22" t="s">
        <v>275</v>
      </c>
      <c r="H85" s="23"/>
      <c r="I85" s="57"/>
      <c r="J85" s="23">
        <v>1440000</v>
      </c>
      <c r="K85" s="24">
        <v>1000000</v>
      </c>
      <c r="L85" s="57"/>
      <c r="M85" s="57"/>
      <c r="N85" s="57"/>
      <c r="O85" s="57"/>
      <c r="P85" s="57"/>
      <c r="Q85" s="57"/>
      <c r="R85" s="57"/>
      <c r="S85" s="57"/>
      <c r="T85" s="24"/>
      <c r="U85" s="16">
        <f t="shared" ref="U85" si="12">+SUM(H85:T85)</f>
        <v>2440000</v>
      </c>
      <c r="V85" s="57"/>
      <c r="W85" s="57"/>
      <c r="X85" s="57"/>
      <c r="Y85" s="22">
        <f t="shared" si="11"/>
        <v>2440000</v>
      </c>
      <c r="Z85" s="57"/>
    </row>
    <row r="86" spans="1:26" s="124" customFormat="1" ht="31.2">
      <c r="A86" s="27" t="s">
        <v>344</v>
      </c>
      <c r="B86" s="128">
        <v>42079</v>
      </c>
      <c r="C86" s="129" t="s">
        <v>345</v>
      </c>
      <c r="D86" s="62" t="s">
        <v>346</v>
      </c>
      <c r="E86" s="40" t="s">
        <v>347</v>
      </c>
      <c r="F86" s="21" t="s">
        <v>586</v>
      </c>
      <c r="G86" s="23" t="s">
        <v>28</v>
      </c>
      <c r="H86" s="23">
        <v>250000</v>
      </c>
      <c r="I86" s="123"/>
      <c r="J86" s="23">
        <v>1920000</v>
      </c>
      <c r="K86" s="24">
        <v>2189000</v>
      </c>
      <c r="L86" s="123"/>
      <c r="M86" s="123"/>
      <c r="N86" s="27"/>
      <c r="O86" s="27"/>
      <c r="P86" s="27"/>
      <c r="Q86" s="27"/>
      <c r="R86" s="27"/>
      <c r="S86" s="27"/>
      <c r="T86" s="24"/>
      <c r="U86" s="16">
        <f t="shared" si="10"/>
        <v>4359000</v>
      </c>
      <c r="V86" s="23">
        <v>2210000</v>
      </c>
      <c r="W86" s="17">
        <v>42081</v>
      </c>
      <c r="X86" s="17"/>
      <c r="Y86" s="22">
        <f t="shared" si="11"/>
        <v>2149000</v>
      </c>
      <c r="Z86" s="62" t="s">
        <v>362</v>
      </c>
    </row>
    <row r="87" spans="1:26" s="124" customFormat="1" ht="31.2">
      <c r="A87" s="64" t="s">
        <v>352</v>
      </c>
      <c r="B87" s="134">
        <v>42080</v>
      </c>
      <c r="C87" s="135" t="s">
        <v>353</v>
      </c>
      <c r="D87" s="77"/>
      <c r="E87" s="77" t="s">
        <v>224</v>
      </c>
      <c r="F87" s="68" t="s">
        <v>354</v>
      </c>
      <c r="G87" s="70" t="s">
        <v>62</v>
      </c>
      <c r="H87" s="70"/>
      <c r="I87" s="95"/>
      <c r="J87" s="70">
        <v>576000</v>
      </c>
      <c r="K87" s="95"/>
      <c r="L87" s="95"/>
      <c r="M87" s="95"/>
      <c r="N87" s="64"/>
      <c r="O87" s="64"/>
      <c r="P87" s="64"/>
      <c r="Q87" s="64"/>
      <c r="R87" s="64"/>
      <c r="S87" s="64"/>
      <c r="T87" s="90">
        <v>57600</v>
      </c>
      <c r="U87" s="72">
        <f t="shared" si="10"/>
        <v>633600</v>
      </c>
      <c r="V87" s="70">
        <v>633600</v>
      </c>
      <c r="W87" s="65">
        <v>42116</v>
      </c>
      <c r="X87" s="65" t="s">
        <v>512</v>
      </c>
      <c r="Y87" s="22">
        <f t="shared" si="11"/>
        <v>0</v>
      </c>
      <c r="Z87" s="88"/>
    </row>
    <row r="88" spans="1:26" s="124" customFormat="1" ht="31.2">
      <c r="A88" s="23" t="s">
        <v>355</v>
      </c>
      <c r="B88" s="128">
        <v>42080</v>
      </c>
      <c r="C88" s="129" t="s">
        <v>356</v>
      </c>
      <c r="D88" s="62" t="s">
        <v>357</v>
      </c>
      <c r="E88" s="40" t="s">
        <v>361</v>
      </c>
      <c r="F88" s="21" t="s">
        <v>358</v>
      </c>
      <c r="G88" s="23" t="s">
        <v>125</v>
      </c>
      <c r="H88" s="23">
        <v>250000</v>
      </c>
      <c r="I88" s="123"/>
      <c r="J88" s="23">
        <v>1920000</v>
      </c>
      <c r="K88" s="24">
        <v>1000000</v>
      </c>
      <c r="L88" s="123"/>
      <c r="M88" s="123"/>
      <c r="N88" s="27"/>
      <c r="O88" s="27"/>
      <c r="P88" s="27"/>
      <c r="Q88" s="27"/>
      <c r="R88" s="27"/>
      <c r="S88" s="27"/>
      <c r="T88" s="24"/>
      <c r="U88" s="16">
        <f t="shared" si="10"/>
        <v>3170000</v>
      </c>
      <c r="V88" s="23">
        <f>1585000</f>
        <v>1585000</v>
      </c>
      <c r="W88" s="17">
        <v>42080</v>
      </c>
      <c r="X88" s="17"/>
      <c r="Y88" s="22">
        <f t="shared" si="11"/>
        <v>1585000</v>
      </c>
      <c r="Z88" s="83"/>
    </row>
    <row r="89" spans="1:26" s="124" customFormat="1" ht="46.8">
      <c r="A89" s="23" t="s">
        <v>363</v>
      </c>
      <c r="B89" s="128">
        <v>42081</v>
      </c>
      <c r="C89" s="18" t="s">
        <v>283</v>
      </c>
      <c r="D89" s="62"/>
      <c r="E89" s="40" t="s">
        <v>319</v>
      </c>
      <c r="F89" s="21" t="s">
        <v>284</v>
      </c>
      <c r="G89" s="23" t="s">
        <v>28</v>
      </c>
      <c r="H89" s="23"/>
      <c r="I89" s="123"/>
      <c r="J89" s="23"/>
      <c r="K89" s="24">
        <v>1000000</v>
      </c>
      <c r="L89" s="123"/>
      <c r="M89" s="123"/>
      <c r="N89" s="27"/>
      <c r="O89" s="27"/>
      <c r="P89" s="27"/>
      <c r="Q89" s="27"/>
      <c r="R89" s="27"/>
      <c r="S89" s="27"/>
      <c r="T89" s="24"/>
      <c r="U89" s="16">
        <f t="shared" si="10"/>
        <v>1000000</v>
      </c>
      <c r="V89" s="23">
        <v>1000000</v>
      </c>
      <c r="W89" s="17">
        <v>42083</v>
      </c>
      <c r="X89" s="17"/>
      <c r="Y89" s="22">
        <f t="shared" si="11"/>
        <v>0</v>
      </c>
      <c r="Z89" s="83"/>
    </row>
    <row r="90" spans="1:26" s="124" customFormat="1" ht="27.6">
      <c r="A90" s="27"/>
      <c r="B90" s="128">
        <v>42082</v>
      </c>
      <c r="C90" s="129" t="s">
        <v>364</v>
      </c>
      <c r="D90" s="62"/>
      <c r="E90" s="40" t="s">
        <v>310</v>
      </c>
      <c r="F90" s="21" t="s">
        <v>365</v>
      </c>
      <c r="G90" s="23" t="s">
        <v>91</v>
      </c>
      <c r="H90" s="23">
        <v>480000</v>
      </c>
      <c r="I90" s="123"/>
      <c r="J90" s="23"/>
      <c r="K90" s="24"/>
      <c r="L90" s="123"/>
      <c r="M90" s="123"/>
      <c r="N90" s="27"/>
      <c r="O90" s="27"/>
      <c r="P90" s="27"/>
      <c r="Q90" s="27"/>
      <c r="R90" s="27"/>
      <c r="S90" s="27"/>
      <c r="T90" s="24"/>
      <c r="U90" s="16">
        <f t="shared" si="10"/>
        <v>480000</v>
      </c>
      <c r="V90" s="23">
        <v>480000</v>
      </c>
      <c r="W90" s="17">
        <v>42081</v>
      </c>
      <c r="X90" s="17"/>
      <c r="Y90" s="22">
        <f t="shared" si="11"/>
        <v>0</v>
      </c>
      <c r="Z90" s="83"/>
    </row>
    <row r="91" spans="1:26" s="124" customFormat="1" ht="27.6">
      <c r="A91" s="27"/>
      <c r="B91" s="128">
        <v>42082</v>
      </c>
      <c r="C91" s="129" t="s">
        <v>367</v>
      </c>
      <c r="D91" s="62"/>
      <c r="E91" s="40" t="s">
        <v>319</v>
      </c>
      <c r="F91" s="21" t="s">
        <v>218</v>
      </c>
      <c r="G91" s="23" t="s">
        <v>28</v>
      </c>
      <c r="H91" s="23"/>
      <c r="I91" s="123"/>
      <c r="J91" s="23"/>
      <c r="K91" s="24">
        <v>1000000</v>
      </c>
      <c r="L91" s="123"/>
      <c r="M91" s="123"/>
      <c r="N91" s="27"/>
      <c r="O91" s="27"/>
      <c r="P91" s="27"/>
      <c r="Q91" s="27"/>
      <c r="R91" s="27"/>
      <c r="S91" s="27"/>
      <c r="T91" s="24"/>
      <c r="U91" s="16">
        <f t="shared" si="10"/>
        <v>1000000</v>
      </c>
      <c r="V91" s="23">
        <v>1000000</v>
      </c>
      <c r="W91" s="17">
        <v>42093</v>
      </c>
      <c r="X91" s="17"/>
      <c r="Y91" s="22">
        <f t="shared" si="11"/>
        <v>0</v>
      </c>
      <c r="Z91" s="83"/>
    </row>
    <row r="92" spans="1:26" s="124" customFormat="1" ht="31.2">
      <c r="A92" s="23" t="s">
        <v>377</v>
      </c>
      <c r="B92" s="128">
        <v>42082</v>
      </c>
      <c r="C92" s="129" t="s">
        <v>372</v>
      </c>
      <c r="D92" s="62" t="s">
        <v>373</v>
      </c>
      <c r="E92" s="40" t="s">
        <v>361</v>
      </c>
      <c r="F92" s="21" t="s">
        <v>437</v>
      </c>
      <c r="G92" s="23" t="s">
        <v>28</v>
      </c>
      <c r="H92" s="23">
        <v>830000</v>
      </c>
      <c r="I92" s="123"/>
      <c r="J92" s="23">
        <v>900000</v>
      </c>
      <c r="K92" s="24">
        <v>120000</v>
      </c>
      <c r="L92" s="123"/>
      <c r="M92" s="123"/>
      <c r="N92" s="27"/>
      <c r="O92" s="27"/>
      <c r="P92" s="27"/>
      <c r="Q92" s="27"/>
      <c r="R92" s="27"/>
      <c r="S92" s="27"/>
      <c r="T92" s="24"/>
      <c r="U92" s="16">
        <f t="shared" si="10"/>
        <v>1850000</v>
      </c>
      <c r="V92" s="23">
        <v>1850000</v>
      </c>
      <c r="W92" s="17">
        <v>42083</v>
      </c>
      <c r="X92" s="17"/>
      <c r="Y92" s="22">
        <f t="shared" si="11"/>
        <v>0</v>
      </c>
      <c r="Z92" s="83"/>
    </row>
    <row r="93" spans="1:26" s="124" customFormat="1" ht="31.2">
      <c r="A93" s="23" t="s">
        <v>368</v>
      </c>
      <c r="B93" s="128">
        <v>42082</v>
      </c>
      <c r="C93" s="129" t="s">
        <v>369</v>
      </c>
      <c r="D93" s="136" t="s">
        <v>370</v>
      </c>
      <c r="E93" s="40" t="s">
        <v>224</v>
      </c>
      <c r="F93" s="21" t="s">
        <v>371</v>
      </c>
      <c r="G93" s="23" t="s">
        <v>91</v>
      </c>
      <c r="H93" s="23"/>
      <c r="I93" s="123"/>
      <c r="J93" s="23">
        <v>0</v>
      </c>
      <c r="K93" s="24">
        <v>9000000</v>
      </c>
      <c r="L93" s="123"/>
      <c r="M93" s="123"/>
      <c r="N93" s="27"/>
      <c r="O93" s="27"/>
      <c r="P93" s="27"/>
      <c r="Q93" s="27"/>
      <c r="R93" s="27"/>
      <c r="S93" s="27"/>
      <c r="T93" s="24"/>
      <c r="U93" s="16">
        <f t="shared" si="10"/>
        <v>9000000</v>
      </c>
      <c r="V93" s="23">
        <f>2000000+7000000</f>
        <v>9000000</v>
      </c>
      <c r="W93" s="17" t="s">
        <v>853</v>
      </c>
      <c r="X93" s="17"/>
      <c r="Y93" s="22">
        <f t="shared" si="11"/>
        <v>0</v>
      </c>
      <c r="Z93" s="83"/>
    </row>
    <row r="94" spans="1:26" s="124" customFormat="1" ht="31.2">
      <c r="A94" s="23" t="s">
        <v>374</v>
      </c>
      <c r="B94" s="128">
        <v>42083</v>
      </c>
      <c r="C94" s="129" t="s">
        <v>375</v>
      </c>
      <c r="D94" s="136">
        <v>986277886</v>
      </c>
      <c r="E94" s="40" t="s">
        <v>361</v>
      </c>
      <c r="F94" s="21" t="s">
        <v>376</v>
      </c>
      <c r="G94" s="23" t="s">
        <v>125</v>
      </c>
      <c r="H94" s="23">
        <v>830000</v>
      </c>
      <c r="I94" s="123"/>
      <c r="J94" s="23">
        <v>660000</v>
      </c>
      <c r="K94" s="24">
        <v>2000000</v>
      </c>
      <c r="L94" s="123"/>
      <c r="M94" s="123"/>
      <c r="N94" s="27"/>
      <c r="O94" s="27"/>
      <c r="P94" s="27"/>
      <c r="Q94" s="27"/>
      <c r="R94" s="27"/>
      <c r="S94" s="27"/>
      <c r="T94" s="24"/>
      <c r="U94" s="16">
        <f t="shared" si="10"/>
        <v>3490000</v>
      </c>
      <c r="V94" s="23">
        <f>1745000+1745000</f>
        <v>3490000</v>
      </c>
      <c r="W94" s="17" t="s">
        <v>914</v>
      </c>
      <c r="X94" s="17"/>
      <c r="Y94" s="22">
        <f t="shared" si="11"/>
        <v>0</v>
      </c>
      <c r="Z94" s="83"/>
    </row>
    <row r="95" spans="1:26" s="124" customFormat="1" ht="62.4">
      <c r="A95" s="23" t="s">
        <v>378</v>
      </c>
      <c r="B95" s="128">
        <v>42083</v>
      </c>
      <c r="C95" s="129" t="s">
        <v>43</v>
      </c>
      <c r="D95" s="136"/>
      <c r="E95" s="40" t="s">
        <v>144</v>
      </c>
      <c r="F95" s="21" t="s">
        <v>46</v>
      </c>
      <c r="G95" s="23" t="s">
        <v>47</v>
      </c>
      <c r="H95" s="23"/>
      <c r="I95" s="123"/>
      <c r="J95" s="23"/>
      <c r="K95" s="24">
        <v>7690000</v>
      </c>
      <c r="L95" s="123"/>
      <c r="M95" s="123"/>
      <c r="N95" s="27"/>
      <c r="O95" s="27"/>
      <c r="P95" s="27"/>
      <c r="Q95" s="27"/>
      <c r="R95" s="27"/>
      <c r="S95" s="27"/>
      <c r="T95" s="24"/>
      <c r="U95" s="16">
        <f t="shared" si="10"/>
        <v>7690000</v>
      </c>
      <c r="V95" s="23">
        <v>3845000</v>
      </c>
      <c r="W95" s="17">
        <v>42089</v>
      </c>
      <c r="X95" s="17" t="s">
        <v>1120</v>
      </c>
      <c r="Y95" s="22">
        <f t="shared" si="11"/>
        <v>3845000</v>
      </c>
      <c r="Z95" s="62" t="s">
        <v>397</v>
      </c>
    </row>
    <row r="96" spans="1:26" s="124" customFormat="1" ht="31.2">
      <c r="A96" s="23" t="s">
        <v>379</v>
      </c>
      <c r="B96" s="128">
        <v>42083</v>
      </c>
      <c r="C96" s="129" t="s">
        <v>381</v>
      </c>
      <c r="D96" s="62" t="s">
        <v>380</v>
      </c>
      <c r="E96" s="40" t="s">
        <v>361</v>
      </c>
      <c r="F96" s="21"/>
      <c r="G96" s="23" t="s">
        <v>140</v>
      </c>
      <c r="H96" s="23"/>
      <c r="I96" s="123"/>
      <c r="J96" s="23">
        <v>1440000</v>
      </c>
      <c r="K96" s="24">
        <v>1000000</v>
      </c>
      <c r="L96" s="123"/>
      <c r="M96" s="123"/>
      <c r="N96" s="27"/>
      <c r="O96" s="27"/>
      <c r="P96" s="27"/>
      <c r="Q96" s="27"/>
      <c r="R96" s="27"/>
      <c r="S96" s="27"/>
      <c r="T96" s="24"/>
      <c r="U96" s="16">
        <f t="shared" si="10"/>
        <v>2440000</v>
      </c>
      <c r="V96" s="23">
        <f>1000000</f>
        <v>1000000</v>
      </c>
      <c r="W96" s="17">
        <v>42086</v>
      </c>
      <c r="X96" s="17"/>
      <c r="Y96" s="22">
        <f t="shared" si="11"/>
        <v>1440000</v>
      </c>
      <c r="Z96" s="83"/>
    </row>
    <row r="97" spans="1:27" s="157" customFormat="1" ht="31.2">
      <c r="A97" s="145" t="s">
        <v>439</v>
      </c>
      <c r="B97" s="146">
        <v>42083</v>
      </c>
      <c r="C97" s="147" t="s">
        <v>440</v>
      </c>
      <c r="D97" s="148" t="s">
        <v>441</v>
      </c>
      <c r="E97" s="149" t="s">
        <v>51</v>
      </c>
      <c r="F97" s="150" t="s">
        <v>442</v>
      </c>
      <c r="G97" s="151" t="s">
        <v>102</v>
      </c>
      <c r="H97" s="152"/>
      <c r="I97" s="153"/>
      <c r="J97" s="152"/>
      <c r="K97" s="153">
        <v>1000000</v>
      </c>
      <c r="L97" s="153"/>
      <c r="M97" s="152"/>
      <c r="N97" s="153"/>
      <c r="O97" s="153"/>
      <c r="P97" s="153"/>
      <c r="Q97" s="153"/>
      <c r="R97" s="153"/>
      <c r="S97" s="153"/>
      <c r="T97" s="153"/>
      <c r="U97" s="154">
        <f t="shared" ref="U97" si="13">+SUM(H97:T97)</f>
        <v>1000000</v>
      </c>
      <c r="V97" s="152">
        <v>1000000</v>
      </c>
      <c r="W97" s="146" t="s">
        <v>443</v>
      </c>
      <c r="X97" s="146"/>
      <c r="Y97" s="22">
        <f t="shared" si="11"/>
        <v>0</v>
      </c>
      <c r="Z97" s="155" t="s">
        <v>678</v>
      </c>
      <c r="AA97" s="156"/>
    </row>
    <row r="98" spans="1:27" s="124" customFormat="1" ht="46.8">
      <c r="A98" s="23" t="s">
        <v>470</v>
      </c>
      <c r="B98" s="128">
        <v>42083</v>
      </c>
      <c r="C98" s="129" t="s">
        <v>383</v>
      </c>
      <c r="D98" s="62" t="s">
        <v>471</v>
      </c>
      <c r="E98" s="40" t="s">
        <v>361</v>
      </c>
      <c r="F98" s="21" t="s">
        <v>382</v>
      </c>
      <c r="G98" s="23" t="s">
        <v>94</v>
      </c>
      <c r="H98" s="23">
        <v>250000</v>
      </c>
      <c r="I98" s="123"/>
      <c r="J98" s="23">
        <v>0</v>
      </c>
      <c r="K98" s="24">
        <v>3750000</v>
      </c>
      <c r="L98" s="123"/>
      <c r="M98" s="123"/>
      <c r="N98" s="27"/>
      <c r="O98" s="27"/>
      <c r="P98" s="27"/>
      <c r="Q98" s="27"/>
      <c r="R98" s="27"/>
      <c r="S98" s="27"/>
      <c r="T98" s="24"/>
      <c r="U98" s="16">
        <f t="shared" si="10"/>
        <v>4000000</v>
      </c>
      <c r="V98" s="23">
        <v>4000000</v>
      </c>
      <c r="W98" s="17">
        <v>42111</v>
      </c>
      <c r="X98" s="17"/>
      <c r="Y98" s="22">
        <f t="shared" si="11"/>
        <v>0</v>
      </c>
      <c r="Z98" s="83"/>
    </row>
    <row r="99" spans="1:27" s="124" customFormat="1" ht="31.2">
      <c r="A99" s="23" t="s">
        <v>384</v>
      </c>
      <c r="B99" s="128">
        <v>42087</v>
      </c>
      <c r="C99" s="129" t="s">
        <v>385</v>
      </c>
      <c r="D99" s="62" t="s">
        <v>386</v>
      </c>
      <c r="E99" s="40" t="s">
        <v>387</v>
      </c>
      <c r="F99" s="21" t="s">
        <v>409</v>
      </c>
      <c r="G99" s="23" t="s">
        <v>28</v>
      </c>
      <c r="H99" s="23">
        <v>250000</v>
      </c>
      <c r="I99" s="123"/>
      <c r="J99" s="23"/>
      <c r="K99" s="24">
        <v>2000000</v>
      </c>
      <c r="L99" s="123"/>
      <c r="M99" s="123"/>
      <c r="N99" s="27"/>
      <c r="O99" s="27"/>
      <c r="P99" s="27"/>
      <c r="Q99" s="27"/>
      <c r="R99" s="27"/>
      <c r="S99" s="27"/>
      <c r="T99" s="24"/>
      <c r="U99" s="16">
        <f t="shared" si="10"/>
        <v>2250000</v>
      </c>
      <c r="V99" s="23">
        <f>1000000+1250000</f>
        <v>2250000</v>
      </c>
      <c r="W99" s="17" t="s">
        <v>518</v>
      </c>
      <c r="X99" s="17"/>
      <c r="Y99" s="22">
        <f t="shared" si="11"/>
        <v>0</v>
      </c>
      <c r="Z99" s="83"/>
    </row>
    <row r="100" spans="1:27" s="124" customFormat="1" ht="31.2">
      <c r="A100" s="64" t="s">
        <v>388</v>
      </c>
      <c r="B100" s="91">
        <v>42087</v>
      </c>
      <c r="C100" s="92" t="s">
        <v>389</v>
      </c>
      <c r="D100" s="88" t="s">
        <v>108</v>
      </c>
      <c r="E100" s="88" t="s">
        <v>391</v>
      </c>
      <c r="F100" s="93" t="s">
        <v>390</v>
      </c>
      <c r="G100" s="64" t="s">
        <v>62</v>
      </c>
      <c r="H100" s="64"/>
      <c r="I100" s="95"/>
      <c r="J100" s="64"/>
      <c r="K100" s="95"/>
      <c r="L100" s="95"/>
      <c r="M100" s="95"/>
      <c r="N100" s="64"/>
      <c r="O100" s="64"/>
      <c r="P100" s="64"/>
      <c r="Q100" s="64">
        <v>1600000</v>
      </c>
      <c r="R100" s="64"/>
      <c r="S100" s="64"/>
      <c r="T100" s="93">
        <v>160000</v>
      </c>
      <c r="U100" s="93"/>
      <c r="V100" s="64"/>
      <c r="W100" s="96"/>
      <c r="X100" s="96"/>
      <c r="Y100" s="22">
        <f t="shared" si="11"/>
        <v>0</v>
      </c>
      <c r="Z100" s="88" t="s">
        <v>672</v>
      </c>
    </row>
    <row r="101" spans="1:27" s="124" customFormat="1" ht="31.2">
      <c r="A101" s="70" t="s">
        <v>392</v>
      </c>
      <c r="B101" s="134">
        <v>42089</v>
      </c>
      <c r="C101" s="135" t="s">
        <v>676</v>
      </c>
      <c r="D101" s="137"/>
      <c r="E101" s="137" t="s">
        <v>361</v>
      </c>
      <c r="F101" s="68" t="s">
        <v>393</v>
      </c>
      <c r="G101" s="70" t="s">
        <v>62</v>
      </c>
      <c r="H101" s="70">
        <v>630000</v>
      </c>
      <c r="I101" s="95"/>
      <c r="J101" s="70">
        <v>768000</v>
      </c>
      <c r="K101" s="90">
        <v>400000</v>
      </c>
      <c r="L101" s="95"/>
      <c r="M101" s="95"/>
      <c r="N101" s="64"/>
      <c r="O101" s="64"/>
      <c r="P101" s="64"/>
      <c r="Q101" s="64"/>
      <c r="R101" s="64"/>
      <c r="S101" s="64"/>
      <c r="T101" s="90">
        <v>76800</v>
      </c>
      <c r="U101" s="72">
        <f t="shared" si="10"/>
        <v>1874800</v>
      </c>
      <c r="V101" s="70">
        <v>1874800</v>
      </c>
      <c r="W101" s="65">
        <v>42153</v>
      </c>
      <c r="X101" s="65" t="s">
        <v>563</v>
      </c>
      <c r="Y101" s="22">
        <f t="shared" si="11"/>
        <v>0</v>
      </c>
      <c r="Z101" s="88"/>
    </row>
    <row r="102" spans="1:27" s="124" customFormat="1" ht="31.2">
      <c r="A102" s="23" t="s">
        <v>394</v>
      </c>
      <c r="B102" s="128">
        <v>42089</v>
      </c>
      <c r="C102" s="129" t="s">
        <v>395</v>
      </c>
      <c r="D102" s="136"/>
      <c r="E102" s="40" t="s">
        <v>361</v>
      </c>
      <c r="F102" s="21" t="s">
        <v>396</v>
      </c>
      <c r="G102" s="23" t="s">
        <v>125</v>
      </c>
      <c r="H102" s="23">
        <v>250000</v>
      </c>
      <c r="I102" s="123"/>
      <c r="J102" s="23">
        <v>4320000</v>
      </c>
      <c r="K102" s="24">
        <v>2430000</v>
      </c>
      <c r="L102" s="123"/>
      <c r="M102" s="123"/>
      <c r="N102" s="27"/>
      <c r="O102" s="27"/>
      <c r="P102" s="27"/>
      <c r="Q102" s="27"/>
      <c r="R102" s="27"/>
      <c r="S102" s="27"/>
      <c r="T102" s="24"/>
      <c r="U102" s="16">
        <f t="shared" si="10"/>
        <v>7000000</v>
      </c>
      <c r="V102" s="23">
        <f>3500000</f>
        <v>3500000</v>
      </c>
      <c r="W102" s="17">
        <v>42089</v>
      </c>
      <c r="X102" s="17"/>
      <c r="Y102" s="22">
        <f t="shared" si="11"/>
        <v>3500000</v>
      </c>
      <c r="Z102" s="83"/>
    </row>
    <row r="103" spans="1:27" s="124" customFormat="1" ht="31.2">
      <c r="A103" s="27"/>
      <c r="B103" s="128">
        <v>42089</v>
      </c>
      <c r="C103" s="129" t="s">
        <v>398</v>
      </c>
      <c r="D103" s="62"/>
      <c r="E103" s="40" t="s">
        <v>361</v>
      </c>
      <c r="F103" s="21" t="s">
        <v>438</v>
      </c>
      <c r="G103" s="23" t="s">
        <v>125</v>
      </c>
      <c r="H103" s="23">
        <v>250000</v>
      </c>
      <c r="I103" s="123"/>
      <c r="J103" s="23">
        <v>1440000</v>
      </c>
      <c r="K103" s="24"/>
      <c r="L103" s="123"/>
      <c r="M103" s="123"/>
      <c r="N103" s="27"/>
      <c r="O103" s="27"/>
      <c r="P103" s="27"/>
      <c r="Q103" s="27"/>
      <c r="R103" s="27"/>
      <c r="S103" s="27"/>
      <c r="T103" s="24"/>
      <c r="U103" s="16">
        <f t="shared" si="10"/>
        <v>1690000</v>
      </c>
      <c r="V103" s="23">
        <v>1690000</v>
      </c>
      <c r="W103" s="17">
        <v>42089</v>
      </c>
      <c r="X103" s="17"/>
      <c r="Y103" s="22">
        <f t="shared" si="11"/>
        <v>0</v>
      </c>
      <c r="Z103" s="83"/>
      <c r="AA103" s="161" t="s">
        <v>591</v>
      </c>
    </row>
    <row r="104" spans="1:27" s="124" customFormat="1" ht="31.2">
      <c r="A104" s="27"/>
      <c r="B104" s="128">
        <v>42089</v>
      </c>
      <c r="C104" s="129" t="s">
        <v>402</v>
      </c>
      <c r="D104" s="62"/>
      <c r="E104" s="40" t="s">
        <v>96</v>
      </c>
      <c r="F104" s="21" t="s">
        <v>400</v>
      </c>
      <c r="G104" s="23" t="s">
        <v>140</v>
      </c>
      <c r="H104" s="23">
        <v>250000</v>
      </c>
      <c r="I104" s="123"/>
      <c r="J104" s="23">
        <v>1440000</v>
      </c>
      <c r="K104" s="24"/>
      <c r="L104" s="123"/>
      <c r="M104" s="123"/>
      <c r="N104" s="27"/>
      <c r="O104" s="27"/>
      <c r="P104" s="27"/>
      <c r="Q104" s="27"/>
      <c r="R104" s="27"/>
      <c r="S104" s="27"/>
      <c r="T104" s="24"/>
      <c r="U104" s="16">
        <f t="shared" si="10"/>
        <v>1690000</v>
      </c>
      <c r="V104" s="23">
        <f>500000+1190000</f>
        <v>1690000</v>
      </c>
      <c r="W104" s="17" t="s">
        <v>490</v>
      </c>
      <c r="X104" s="17"/>
      <c r="Y104" s="22">
        <f t="shared" si="11"/>
        <v>0</v>
      </c>
      <c r="Z104" s="83"/>
    </row>
    <row r="105" spans="1:27" s="63" customFormat="1" ht="31.2">
      <c r="A105" s="23" t="s">
        <v>403</v>
      </c>
      <c r="B105" s="42">
        <v>42094</v>
      </c>
      <c r="C105" s="125" t="s">
        <v>404</v>
      </c>
      <c r="D105" s="20"/>
      <c r="E105" s="40" t="s">
        <v>361</v>
      </c>
      <c r="F105" s="126" t="s">
        <v>834</v>
      </c>
      <c r="G105" s="22" t="s">
        <v>140</v>
      </c>
      <c r="H105" s="23">
        <v>830000</v>
      </c>
      <c r="I105" s="121"/>
      <c r="J105" s="23"/>
      <c r="K105" s="24">
        <v>2670000</v>
      </c>
      <c r="L105" s="121"/>
      <c r="M105" s="121"/>
      <c r="N105" s="121"/>
      <c r="O105" s="121"/>
      <c r="P105" s="24"/>
      <c r="Q105" s="24"/>
      <c r="R105" s="121"/>
      <c r="S105" s="121"/>
      <c r="T105" s="24"/>
      <c r="U105" s="16">
        <f t="shared" si="10"/>
        <v>3500000</v>
      </c>
      <c r="V105" s="23">
        <f>1750000</f>
        <v>1750000</v>
      </c>
      <c r="W105" s="122">
        <v>42094</v>
      </c>
      <c r="X105" s="17"/>
      <c r="Y105" s="22">
        <f t="shared" si="11"/>
        <v>1750000</v>
      </c>
      <c r="Z105" s="33"/>
      <c r="AA105" s="75"/>
    </row>
    <row r="106" spans="1:27" ht="31.2">
      <c r="A106" s="27" t="s">
        <v>405</v>
      </c>
      <c r="B106" s="17">
        <v>42094</v>
      </c>
      <c r="C106" s="18" t="s">
        <v>406</v>
      </c>
      <c r="D106" s="20"/>
      <c r="E106" s="40" t="s">
        <v>361</v>
      </c>
      <c r="F106" s="21" t="s">
        <v>407</v>
      </c>
      <c r="G106" s="22" t="s">
        <v>91</v>
      </c>
      <c r="H106" s="23">
        <v>830000</v>
      </c>
      <c r="I106" s="57"/>
      <c r="J106" s="23"/>
      <c r="K106" s="24">
        <v>4000000</v>
      </c>
      <c r="L106" s="57"/>
      <c r="M106" s="57"/>
      <c r="N106" s="57"/>
      <c r="O106" s="57"/>
      <c r="P106" s="57"/>
      <c r="Q106" s="57"/>
      <c r="R106" s="57"/>
      <c r="S106" s="57"/>
      <c r="T106" s="24"/>
      <c r="U106" s="16">
        <f t="shared" ref="U106" si="14">+SUM(H106:T106)</f>
        <v>4830000</v>
      </c>
      <c r="V106" s="23">
        <f>2830000+2000000</f>
        <v>4830000</v>
      </c>
      <c r="W106" s="17" t="s">
        <v>534</v>
      </c>
      <c r="X106" s="17"/>
      <c r="Y106" s="22">
        <f t="shared" si="11"/>
        <v>0</v>
      </c>
      <c r="Z106" s="57"/>
    </row>
    <row r="107" spans="1:27" ht="15.6">
      <c r="A107" s="27"/>
      <c r="B107" s="17"/>
      <c r="C107" s="79" t="s">
        <v>107</v>
      </c>
      <c r="D107" s="57"/>
      <c r="E107" s="57"/>
      <c r="F107" s="57"/>
      <c r="G107" s="57"/>
      <c r="H107" s="80">
        <f t="shared" ref="H107:V107" si="15">SUM(H70:H106)</f>
        <v>8660000</v>
      </c>
      <c r="I107" s="80">
        <f t="shared" si="15"/>
        <v>1200000</v>
      </c>
      <c r="J107" s="80">
        <f t="shared" si="15"/>
        <v>29824000</v>
      </c>
      <c r="K107" s="80">
        <f t="shared" si="15"/>
        <v>45249000</v>
      </c>
      <c r="L107" s="80">
        <f t="shared" si="15"/>
        <v>0</v>
      </c>
      <c r="M107" s="80">
        <f t="shared" si="15"/>
        <v>0</v>
      </c>
      <c r="N107" s="80">
        <f t="shared" si="15"/>
        <v>0</v>
      </c>
      <c r="O107" s="80">
        <f t="shared" si="15"/>
        <v>0</v>
      </c>
      <c r="P107" s="80">
        <f t="shared" si="15"/>
        <v>1840000</v>
      </c>
      <c r="Q107" s="80">
        <f t="shared" si="15"/>
        <v>1600000</v>
      </c>
      <c r="R107" s="80">
        <f t="shared" si="15"/>
        <v>0</v>
      </c>
      <c r="S107" s="80">
        <f t="shared" si="15"/>
        <v>0</v>
      </c>
      <c r="T107" s="80">
        <f t="shared" si="15"/>
        <v>587400</v>
      </c>
      <c r="U107" s="80">
        <f t="shared" si="15"/>
        <v>81861400</v>
      </c>
      <c r="V107" s="80">
        <f t="shared" si="15"/>
        <v>64307400</v>
      </c>
      <c r="W107" s="80"/>
      <c r="X107" s="80">
        <f>SUM(X70:X106)</f>
        <v>0</v>
      </c>
      <c r="Y107" s="22">
        <f t="shared" si="11"/>
        <v>17554000</v>
      </c>
      <c r="Z107" s="57"/>
    </row>
    <row r="108" spans="1:27" ht="15.6">
      <c r="A108" s="16" t="s">
        <v>410</v>
      </c>
      <c r="B108" s="17"/>
      <c r="C108" s="18"/>
      <c r="D108" s="19"/>
      <c r="E108" s="20"/>
      <c r="F108" s="21"/>
      <c r="G108" s="22"/>
      <c r="H108" s="23"/>
      <c r="I108" s="24"/>
      <c r="J108" s="23"/>
      <c r="K108" s="24"/>
      <c r="L108" s="24"/>
      <c r="M108" s="23"/>
      <c r="N108" s="24"/>
      <c r="O108" s="24"/>
      <c r="P108" s="24"/>
      <c r="Q108" s="24"/>
      <c r="R108" s="24"/>
      <c r="S108" s="24"/>
      <c r="T108" s="24"/>
      <c r="U108" s="16">
        <f>+SUM(H108:T108)</f>
        <v>0</v>
      </c>
      <c r="V108" s="23"/>
      <c r="W108" s="17"/>
      <c r="X108" s="17"/>
      <c r="Y108" s="22">
        <f t="shared" si="11"/>
        <v>0</v>
      </c>
      <c r="Z108" s="25"/>
      <c r="AA108" s="26"/>
    </row>
    <row r="109" spans="1:27" ht="46.8">
      <c r="A109" s="27" t="s">
        <v>411</v>
      </c>
      <c r="B109" s="17">
        <v>42096</v>
      </c>
      <c r="C109" s="18" t="s">
        <v>412</v>
      </c>
      <c r="D109" s="52" t="s">
        <v>413</v>
      </c>
      <c r="E109" s="28" t="s">
        <v>361</v>
      </c>
      <c r="F109" s="21" t="s">
        <v>435</v>
      </c>
      <c r="G109" s="22" t="s">
        <v>91</v>
      </c>
      <c r="H109" s="23">
        <f>830000+500000</f>
        <v>1330000</v>
      </c>
      <c r="I109" s="24"/>
      <c r="J109" s="23">
        <v>480000</v>
      </c>
      <c r="K109" s="24">
        <f>13310000-H109-J109</f>
        <v>11500000</v>
      </c>
      <c r="L109" s="24"/>
      <c r="M109" s="23"/>
      <c r="N109" s="24"/>
      <c r="O109" s="24"/>
      <c r="P109" s="24"/>
      <c r="Q109" s="24"/>
      <c r="R109" s="24"/>
      <c r="S109" s="24"/>
      <c r="T109" s="24"/>
      <c r="U109" s="16">
        <f t="shared" ref="U109:U137" si="16">+SUM(H109:T109)</f>
        <v>13310000</v>
      </c>
      <c r="V109" s="23">
        <f>7000000+6310000</f>
        <v>13310000</v>
      </c>
      <c r="W109" s="17" t="s">
        <v>852</v>
      </c>
      <c r="X109" s="17"/>
      <c r="Y109" s="22">
        <f t="shared" si="11"/>
        <v>0</v>
      </c>
      <c r="Z109" s="62"/>
      <c r="AA109" s="29"/>
    </row>
    <row r="110" spans="1:27" ht="31.2">
      <c r="A110" s="27" t="s">
        <v>415</v>
      </c>
      <c r="B110" s="17">
        <v>42096</v>
      </c>
      <c r="C110" s="18" t="s">
        <v>416</v>
      </c>
      <c r="D110" s="52" t="s">
        <v>417</v>
      </c>
      <c r="E110" s="28" t="s">
        <v>418</v>
      </c>
      <c r="F110" s="45" t="s">
        <v>419</v>
      </c>
      <c r="G110" s="22" t="s">
        <v>102</v>
      </c>
      <c r="H110" s="23">
        <v>250000</v>
      </c>
      <c r="I110" s="24"/>
      <c r="J110" s="23">
        <v>900000</v>
      </c>
      <c r="K110" s="24"/>
      <c r="L110" s="24"/>
      <c r="M110" s="23"/>
      <c r="N110" s="24"/>
      <c r="O110" s="24"/>
      <c r="P110" s="24"/>
      <c r="Q110" s="24"/>
      <c r="R110" s="24"/>
      <c r="S110" s="24"/>
      <c r="T110" s="24">
        <v>25000</v>
      </c>
      <c r="U110" s="16">
        <f t="shared" si="16"/>
        <v>1175000</v>
      </c>
      <c r="V110" s="23">
        <v>1175000</v>
      </c>
      <c r="W110" s="17">
        <v>42096</v>
      </c>
      <c r="X110" s="17" t="s">
        <v>414</v>
      </c>
      <c r="Y110" s="22">
        <f t="shared" si="11"/>
        <v>0</v>
      </c>
      <c r="Z110" s="18"/>
      <c r="AA110" s="29"/>
    </row>
    <row r="111" spans="1:27" ht="31.2">
      <c r="A111" s="64" t="s">
        <v>425</v>
      </c>
      <c r="B111" s="65">
        <v>42098</v>
      </c>
      <c r="C111" s="66" t="s">
        <v>427</v>
      </c>
      <c r="D111" s="67"/>
      <c r="E111" s="67" t="s">
        <v>361</v>
      </c>
      <c r="F111" s="140" t="s">
        <v>426</v>
      </c>
      <c r="G111" s="69" t="s">
        <v>62</v>
      </c>
      <c r="H111" s="70">
        <v>225000</v>
      </c>
      <c r="I111" s="90"/>
      <c r="J111" s="70">
        <v>576000</v>
      </c>
      <c r="K111" s="90"/>
      <c r="L111" s="90"/>
      <c r="M111" s="70"/>
      <c r="N111" s="90"/>
      <c r="O111" s="90"/>
      <c r="P111" s="90"/>
      <c r="Q111" s="90"/>
      <c r="R111" s="90"/>
      <c r="S111" s="90"/>
      <c r="T111" s="90">
        <v>80100</v>
      </c>
      <c r="U111" s="72">
        <f t="shared" si="16"/>
        <v>881100</v>
      </c>
      <c r="V111" s="70">
        <v>881100</v>
      </c>
      <c r="W111" s="65">
        <v>42153</v>
      </c>
      <c r="X111" s="74" t="s">
        <v>567</v>
      </c>
      <c r="Y111" s="22">
        <f t="shared" si="11"/>
        <v>0</v>
      </c>
      <c r="Z111" s="18" t="s">
        <v>509</v>
      </c>
      <c r="AA111" s="29"/>
    </row>
    <row r="112" spans="1:27" s="63" customFormat="1" ht="46.8">
      <c r="A112" s="27"/>
      <c r="B112" s="17">
        <v>42099</v>
      </c>
      <c r="C112" s="129" t="s">
        <v>372</v>
      </c>
      <c r="D112" s="20"/>
      <c r="E112" s="20" t="s">
        <v>101</v>
      </c>
      <c r="F112" s="21" t="s">
        <v>436</v>
      </c>
      <c r="G112" s="22" t="s">
        <v>28</v>
      </c>
      <c r="H112" s="23">
        <f>250000+700000+830000</f>
        <v>1780000</v>
      </c>
      <c r="I112" s="24"/>
      <c r="J112" s="23"/>
      <c r="K112" s="24"/>
      <c r="L112" s="24"/>
      <c r="M112" s="23"/>
      <c r="N112" s="24"/>
      <c r="O112" s="24"/>
      <c r="P112" s="24"/>
      <c r="Q112" s="24"/>
      <c r="R112" s="24"/>
      <c r="S112" s="24"/>
      <c r="T112" s="24"/>
      <c r="U112" s="16">
        <f t="shared" si="16"/>
        <v>1780000</v>
      </c>
      <c r="V112" s="23">
        <f>1780000</f>
        <v>1780000</v>
      </c>
      <c r="W112" s="17">
        <v>42103</v>
      </c>
      <c r="X112" s="17"/>
      <c r="Y112" s="22">
        <f t="shared" si="11"/>
        <v>0</v>
      </c>
      <c r="Z112" s="18"/>
      <c r="AA112" s="29"/>
    </row>
    <row r="113" spans="1:27" ht="31.2">
      <c r="A113" s="27" t="s">
        <v>431</v>
      </c>
      <c r="B113" s="17">
        <v>42101</v>
      </c>
      <c r="C113" s="18" t="s">
        <v>432</v>
      </c>
      <c r="D113" s="28" t="s">
        <v>433</v>
      </c>
      <c r="E113" s="28" t="s">
        <v>361</v>
      </c>
      <c r="F113" s="141" t="s">
        <v>542</v>
      </c>
      <c r="G113" s="22" t="s">
        <v>102</v>
      </c>
      <c r="H113" s="23">
        <v>250000</v>
      </c>
      <c r="I113" s="57"/>
      <c r="J113" s="23">
        <v>0</v>
      </c>
      <c r="K113" s="24">
        <v>2250000</v>
      </c>
      <c r="L113" s="57"/>
      <c r="M113" s="57"/>
      <c r="N113" s="57"/>
      <c r="O113" s="57"/>
      <c r="P113" s="57"/>
      <c r="Q113" s="57"/>
      <c r="R113" s="76"/>
      <c r="S113" s="57"/>
      <c r="T113" s="24"/>
      <c r="U113" s="16">
        <f t="shared" si="16"/>
        <v>2500000</v>
      </c>
      <c r="V113" s="23">
        <f>1250000</f>
        <v>1250000</v>
      </c>
      <c r="W113" s="17" t="s">
        <v>519</v>
      </c>
      <c r="X113" s="17" t="s">
        <v>631</v>
      </c>
      <c r="Y113" s="22">
        <f t="shared" si="11"/>
        <v>1250000</v>
      </c>
      <c r="Z113" s="82" t="s">
        <v>1028</v>
      </c>
    </row>
    <row r="114" spans="1:27" ht="27.6">
      <c r="A114" s="27"/>
      <c r="B114" s="17"/>
      <c r="C114" s="18" t="s">
        <v>465</v>
      </c>
      <c r="D114" s="20">
        <v>939485485</v>
      </c>
      <c r="E114" s="28" t="s">
        <v>224</v>
      </c>
      <c r="F114" s="21" t="s">
        <v>466</v>
      </c>
      <c r="G114" s="22" t="s">
        <v>28</v>
      </c>
      <c r="H114" s="23"/>
      <c r="I114" s="57"/>
      <c r="J114" s="23">
        <v>1440000</v>
      </c>
      <c r="K114" s="24"/>
      <c r="L114" s="57"/>
      <c r="M114" s="57"/>
      <c r="N114" s="57"/>
      <c r="O114" s="57"/>
      <c r="P114" s="57"/>
      <c r="Q114" s="57"/>
      <c r="R114" s="76"/>
      <c r="S114" s="57"/>
      <c r="T114" s="24"/>
      <c r="U114" s="16">
        <f t="shared" si="16"/>
        <v>1440000</v>
      </c>
      <c r="V114" s="23">
        <v>1440000</v>
      </c>
      <c r="W114" s="17">
        <v>42119</v>
      </c>
      <c r="X114" s="17"/>
      <c r="Y114" s="22">
        <f t="shared" si="11"/>
        <v>0</v>
      </c>
      <c r="Z114" s="18"/>
    </row>
    <row r="115" spans="1:27" s="63" customFormat="1" ht="31.2">
      <c r="A115" s="64" t="s">
        <v>434</v>
      </c>
      <c r="B115" s="65">
        <v>42102</v>
      </c>
      <c r="C115" s="135" t="s">
        <v>389</v>
      </c>
      <c r="D115" s="99"/>
      <c r="E115" s="67" t="s">
        <v>224</v>
      </c>
      <c r="F115" s="68" t="s">
        <v>390</v>
      </c>
      <c r="G115" s="69" t="s">
        <v>62</v>
      </c>
      <c r="H115" s="70"/>
      <c r="I115" s="70"/>
      <c r="J115" s="70">
        <v>768000</v>
      </c>
      <c r="K115" s="90">
        <v>0</v>
      </c>
      <c r="L115" s="71"/>
      <c r="M115" s="71"/>
      <c r="N115" s="70"/>
      <c r="O115" s="70"/>
      <c r="P115" s="70"/>
      <c r="Q115" s="70"/>
      <c r="R115" s="70"/>
      <c r="S115" s="70"/>
      <c r="T115" s="90">
        <v>76800</v>
      </c>
      <c r="U115" s="72">
        <f t="shared" si="16"/>
        <v>844800</v>
      </c>
      <c r="V115" s="70">
        <v>844800</v>
      </c>
      <c r="W115" s="65">
        <v>42153</v>
      </c>
      <c r="X115" s="74" t="s">
        <v>564</v>
      </c>
      <c r="Y115" s="22">
        <f t="shared" si="11"/>
        <v>0</v>
      </c>
      <c r="Z115" s="18" t="s">
        <v>509</v>
      </c>
    </row>
    <row r="116" spans="1:27" s="63" customFormat="1" ht="31.2">
      <c r="A116" s="64"/>
      <c r="B116" s="97">
        <v>42102</v>
      </c>
      <c r="C116" s="98" t="s">
        <v>64</v>
      </c>
      <c r="D116" s="99"/>
      <c r="E116" s="67" t="s">
        <v>65</v>
      </c>
      <c r="F116" s="100" t="s">
        <v>66</v>
      </c>
      <c r="G116" s="69" t="s">
        <v>62</v>
      </c>
      <c r="H116" s="89"/>
      <c r="I116" s="71"/>
      <c r="J116" s="70"/>
      <c r="K116" s="90"/>
      <c r="L116" s="71"/>
      <c r="M116" s="71"/>
      <c r="N116" s="71"/>
      <c r="O116" s="71"/>
      <c r="P116" s="90">
        <v>1040000</v>
      </c>
      <c r="Q116" s="90"/>
      <c r="R116" s="71"/>
      <c r="S116" s="71"/>
      <c r="T116" s="90">
        <v>104000</v>
      </c>
      <c r="U116" s="72">
        <f>+SUM(H116:T116)</f>
        <v>1144000</v>
      </c>
      <c r="V116" s="70">
        <v>1144000</v>
      </c>
      <c r="W116" s="65">
        <v>42153</v>
      </c>
      <c r="X116" s="74" t="s">
        <v>565</v>
      </c>
      <c r="Y116" s="22">
        <f t="shared" si="11"/>
        <v>0</v>
      </c>
      <c r="Z116" s="18"/>
      <c r="AA116" s="75" t="s">
        <v>67</v>
      </c>
    </row>
    <row r="117" spans="1:27" ht="31.2">
      <c r="A117" s="64"/>
      <c r="B117" s="65">
        <v>42103</v>
      </c>
      <c r="C117" s="66" t="s">
        <v>543</v>
      </c>
      <c r="D117" s="67"/>
      <c r="E117" s="67" t="s">
        <v>316</v>
      </c>
      <c r="F117" s="68"/>
      <c r="G117" s="69" t="s">
        <v>62</v>
      </c>
      <c r="H117" s="70"/>
      <c r="I117" s="90"/>
      <c r="J117" s="70"/>
      <c r="K117" s="90"/>
      <c r="L117" s="90"/>
      <c r="M117" s="70"/>
      <c r="N117" s="90"/>
      <c r="O117" s="90"/>
      <c r="P117" s="90">
        <v>800000</v>
      </c>
      <c r="Q117" s="90"/>
      <c r="R117" s="90"/>
      <c r="S117" s="90"/>
      <c r="T117" s="90">
        <v>80000</v>
      </c>
      <c r="U117" s="72">
        <f t="shared" ref="U117" si="17">+SUM(H117:T117)</f>
        <v>880000</v>
      </c>
      <c r="V117" s="70">
        <v>880000</v>
      </c>
      <c r="W117" s="65">
        <v>42153</v>
      </c>
      <c r="X117" s="74" t="s">
        <v>566</v>
      </c>
      <c r="Y117" s="22">
        <f t="shared" si="11"/>
        <v>0</v>
      </c>
      <c r="Z117" s="18"/>
      <c r="AA117" s="29"/>
    </row>
    <row r="118" spans="1:27" s="124" customFormat="1" ht="31.2">
      <c r="A118" s="27"/>
      <c r="B118" s="128"/>
      <c r="C118" s="18" t="s">
        <v>179</v>
      </c>
      <c r="D118" s="62"/>
      <c r="E118" s="40" t="s">
        <v>559</v>
      </c>
      <c r="F118" s="21" t="s">
        <v>444</v>
      </c>
      <c r="G118" s="23" t="s">
        <v>91</v>
      </c>
      <c r="H118" s="23"/>
      <c r="I118" s="123"/>
      <c r="J118" s="23">
        <v>1800000</v>
      </c>
      <c r="K118" s="24"/>
      <c r="L118" s="123"/>
      <c r="M118" s="123"/>
      <c r="N118" s="27"/>
      <c r="O118" s="27"/>
      <c r="P118" s="27"/>
      <c r="Q118" s="27"/>
      <c r="R118" s="27"/>
      <c r="S118" s="27"/>
      <c r="T118" s="24">
        <v>180000</v>
      </c>
      <c r="U118" s="16">
        <f t="shared" si="16"/>
        <v>1980000</v>
      </c>
      <c r="V118" s="23">
        <v>1980000</v>
      </c>
      <c r="W118" s="17">
        <v>42137</v>
      </c>
      <c r="X118" s="17" t="s">
        <v>562</v>
      </c>
      <c r="Y118" s="22">
        <f t="shared" si="11"/>
        <v>0</v>
      </c>
      <c r="Z118" s="18"/>
    </row>
    <row r="119" spans="1:27" s="124" customFormat="1" ht="31.2">
      <c r="A119" s="23"/>
      <c r="B119" s="128"/>
      <c r="C119" s="18" t="s">
        <v>179</v>
      </c>
      <c r="D119" s="62"/>
      <c r="E119" s="40" t="s">
        <v>559</v>
      </c>
      <c r="F119" s="21" t="s">
        <v>192</v>
      </c>
      <c r="G119" s="23" t="s">
        <v>91</v>
      </c>
      <c r="H119" s="23"/>
      <c r="I119" s="123"/>
      <c r="J119" s="23">
        <v>1800000</v>
      </c>
      <c r="K119" s="24"/>
      <c r="L119" s="123"/>
      <c r="M119" s="123"/>
      <c r="N119" s="27"/>
      <c r="O119" s="27"/>
      <c r="P119" s="27"/>
      <c r="Q119" s="27"/>
      <c r="R119" s="27"/>
      <c r="S119" s="27"/>
      <c r="T119" s="24">
        <v>180000</v>
      </c>
      <c r="U119" s="16">
        <f t="shared" si="16"/>
        <v>1980000</v>
      </c>
      <c r="V119" s="23">
        <v>1980000</v>
      </c>
      <c r="W119" s="17">
        <v>42137</v>
      </c>
      <c r="X119" s="17" t="s">
        <v>562</v>
      </c>
      <c r="Y119" s="22">
        <f t="shared" si="11"/>
        <v>0</v>
      </c>
      <c r="Z119" s="18"/>
    </row>
    <row r="120" spans="1:27" s="124" customFormat="1" ht="31.2">
      <c r="A120" s="23" t="s">
        <v>445</v>
      </c>
      <c r="B120" s="128">
        <v>42104</v>
      </c>
      <c r="C120" s="129" t="s">
        <v>446</v>
      </c>
      <c r="D120" s="62" t="s">
        <v>447</v>
      </c>
      <c r="E120" s="28" t="s">
        <v>361</v>
      </c>
      <c r="F120" s="21" t="s">
        <v>450</v>
      </c>
      <c r="G120" s="23" t="s">
        <v>28</v>
      </c>
      <c r="H120" s="23">
        <v>250000</v>
      </c>
      <c r="I120" s="123"/>
      <c r="J120" s="23">
        <v>1440000</v>
      </c>
      <c r="K120" s="24">
        <v>1000000</v>
      </c>
      <c r="L120" s="123"/>
      <c r="M120" s="123"/>
      <c r="N120" s="27"/>
      <c r="O120" s="27"/>
      <c r="P120" s="27"/>
      <c r="Q120" s="27"/>
      <c r="R120" s="27"/>
      <c r="S120" s="27"/>
      <c r="T120" s="24"/>
      <c r="U120" s="16">
        <f t="shared" si="16"/>
        <v>2690000</v>
      </c>
      <c r="V120" s="23">
        <f>1000000+1690000</f>
        <v>2690000</v>
      </c>
      <c r="W120" s="17" t="s">
        <v>654</v>
      </c>
      <c r="X120" s="17"/>
      <c r="Y120" s="22">
        <f t="shared" si="11"/>
        <v>0</v>
      </c>
      <c r="Z120" s="18"/>
    </row>
    <row r="121" spans="1:27" s="124" customFormat="1" ht="27.6">
      <c r="A121" s="27"/>
      <c r="B121" s="128">
        <v>42104</v>
      </c>
      <c r="C121" s="129" t="s">
        <v>367</v>
      </c>
      <c r="D121" s="62"/>
      <c r="E121" s="40" t="s">
        <v>449</v>
      </c>
      <c r="F121" s="21" t="s">
        <v>218</v>
      </c>
      <c r="G121" s="23" t="s">
        <v>28</v>
      </c>
      <c r="H121" s="23"/>
      <c r="I121" s="123"/>
      <c r="J121" s="23">
        <v>1200000</v>
      </c>
      <c r="K121" s="24"/>
      <c r="L121" s="123"/>
      <c r="M121" s="123"/>
      <c r="N121" s="27"/>
      <c r="O121" s="27"/>
      <c r="P121" s="27"/>
      <c r="Q121" s="27"/>
      <c r="R121" s="27"/>
      <c r="S121" s="27"/>
      <c r="T121" s="24"/>
      <c r="U121" s="16">
        <f t="shared" si="16"/>
        <v>1200000</v>
      </c>
      <c r="V121" s="23">
        <v>1200000</v>
      </c>
      <c r="W121" s="17">
        <v>42104</v>
      </c>
      <c r="X121" s="17"/>
      <c r="Y121" s="22">
        <f t="shared" si="11"/>
        <v>0</v>
      </c>
      <c r="Z121" s="18"/>
    </row>
    <row r="122" spans="1:27" s="124" customFormat="1" ht="41.4">
      <c r="A122" s="27" t="s">
        <v>451</v>
      </c>
      <c r="B122" s="128">
        <v>42105</v>
      </c>
      <c r="C122" s="129" t="s">
        <v>452</v>
      </c>
      <c r="D122" s="62" t="s">
        <v>453</v>
      </c>
      <c r="E122" s="40" t="s">
        <v>449</v>
      </c>
      <c r="F122" s="21"/>
      <c r="G122" s="23" t="s">
        <v>28</v>
      </c>
      <c r="H122" s="23"/>
      <c r="I122" s="123"/>
      <c r="J122" s="23">
        <v>600000</v>
      </c>
      <c r="K122" s="24"/>
      <c r="L122" s="123"/>
      <c r="M122" s="123"/>
      <c r="N122" s="27"/>
      <c r="O122" s="27"/>
      <c r="P122" s="27"/>
      <c r="Q122" s="27"/>
      <c r="R122" s="27"/>
      <c r="S122" s="27"/>
      <c r="T122" s="24">
        <v>60000</v>
      </c>
      <c r="U122" s="16">
        <f t="shared" si="16"/>
        <v>660000</v>
      </c>
      <c r="V122" s="23">
        <v>660000</v>
      </c>
      <c r="W122" s="17">
        <v>42115</v>
      </c>
      <c r="X122" s="17" t="s">
        <v>454</v>
      </c>
      <c r="Y122" s="22">
        <f t="shared" si="11"/>
        <v>0</v>
      </c>
      <c r="Z122" s="18"/>
    </row>
    <row r="123" spans="1:27" s="124" customFormat="1" ht="15.6">
      <c r="A123" s="23"/>
      <c r="B123" s="128">
        <v>42107</v>
      </c>
      <c r="C123" s="18" t="s">
        <v>456</v>
      </c>
      <c r="D123" s="62"/>
      <c r="E123" s="40" t="s">
        <v>101</v>
      </c>
      <c r="F123" s="21" t="s">
        <v>455</v>
      </c>
      <c r="G123" s="23" t="s">
        <v>91</v>
      </c>
      <c r="H123" s="23">
        <v>830000</v>
      </c>
      <c r="I123" s="123"/>
      <c r="J123" s="23"/>
      <c r="K123" s="24"/>
      <c r="L123" s="123"/>
      <c r="M123" s="123"/>
      <c r="N123" s="27"/>
      <c r="O123" s="27"/>
      <c r="P123" s="27"/>
      <c r="Q123" s="27"/>
      <c r="R123" s="27"/>
      <c r="S123" s="27"/>
      <c r="T123" s="24"/>
      <c r="U123" s="16">
        <f t="shared" si="16"/>
        <v>830000</v>
      </c>
      <c r="V123" s="23">
        <v>830000</v>
      </c>
      <c r="W123" s="17">
        <v>42107</v>
      </c>
      <c r="X123" s="17"/>
      <c r="Y123" s="22">
        <f t="shared" si="11"/>
        <v>0</v>
      </c>
      <c r="Z123" s="18"/>
    </row>
    <row r="124" spans="1:27" s="124" customFormat="1" ht="31.2">
      <c r="A124" s="27"/>
      <c r="B124" s="128">
        <v>42107</v>
      </c>
      <c r="C124" s="129" t="s">
        <v>458</v>
      </c>
      <c r="D124" s="62"/>
      <c r="E124" s="40" t="s">
        <v>459</v>
      </c>
      <c r="F124" s="21" t="s">
        <v>460</v>
      </c>
      <c r="G124" s="23" t="s">
        <v>91</v>
      </c>
      <c r="H124" s="23"/>
      <c r="I124" s="123"/>
      <c r="J124" s="23">
        <v>1440000</v>
      </c>
      <c r="K124" s="24"/>
      <c r="L124" s="123"/>
      <c r="M124" s="123"/>
      <c r="N124" s="27"/>
      <c r="O124" s="27"/>
      <c r="P124" s="27"/>
      <c r="Q124" s="27"/>
      <c r="R124" s="27"/>
      <c r="S124" s="27"/>
      <c r="T124" s="24"/>
      <c r="U124" s="16">
        <f t="shared" si="16"/>
        <v>1440000</v>
      </c>
      <c r="V124" s="23">
        <v>1440000</v>
      </c>
      <c r="W124" s="17">
        <v>42107</v>
      </c>
      <c r="X124" s="17"/>
      <c r="Y124" s="22">
        <f t="shared" si="11"/>
        <v>0</v>
      </c>
      <c r="Z124" s="18"/>
    </row>
    <row r="125" spans="1:27" s="124" customFormat="1" ht="31.2">
      <c r="A125" s="23"/>
      <c r="B125" s="128">
        <v>42107</v>
      </c>
      <c r="C125" s="129" t="s">
        <v>461</v>
      </c>
      <c r="D125" s="62"/>
      <c r="E125" s="40" t="s">
        <v>462</v>
      </c>
      <c r="F125" s="21" t="s">
        <v>463</v>
      </c>
      <c r="G125" s="23" t="s">
        <v>91</v>
      </c>
      <c r="H125" s="23">
        <v>250000</v>
      </c>
      <c r="I125" s="123"/>
      <c r="J125" s="23">
        <v>660000</v>
      </c>
      <c r="K125" s="24"/>
      <c r="L125" s="123"/>
      <c r="M125" s="123"/>
      <c r="N125" s="27"/>
      <c r="O125" s="27"/>
      <c r="P125" s="27"/>
      <c r="Q125" s="27"/>
      <c r="R125" s="27"/>
      <c r="S125" s="27"/>
      <c r="T125" s="24"/>
      <c r="U125" s="16">
        <f t="shared" si="16"/>
        <v>910000</v>
      </c>
      <c r="V125" s="23">
        <v>910000</v>
      </c>
      <c r="W125" s="17">
        <v>42107</v>
      </c>
      <c r="X125" s="17"/>
      <c r="Y125" s="22">
        <f t="shared" si="11"/>
        <v>0</v>
      </c>
      <c r="Z125" s="18"/>
    </row>
    <row r="126" spans="1:27" s="124" customFormat="1" ht="31.2">
      <c r="A126" s="23" t="s">
        <v>472</v>
      </c>
      <c r="B126" s="128">
        <v>42109</v>
      </c>
      <c r="C126" s="129" t="s">
        <v>473</v>
      </c>
      <c r="D126" s="136" t="s">
        <v>474</v>
      </c>
      <c r="E126" s="28" t="s">
        <v>361</v>
      </c>
      <c r="F126" s="21" t="s">
        <v>475</v>
      </c>
      <c r="G126" s="23" t="s">
        <v>499</v>
      </c>
      <c r="H126" s="23">
        <v>250000</v>
      </c>
      <c r="I126" s="123"/>
      <c r="J126" s="23">
        <v>1440000</v>
      </c>
      <c r="K126" s="24"/>
      <c r="L126" s="123"/>
      <c r="M126" s="123"/>
      <c r="N126" s="27"/>
      <c r="O126" s="27"/>
      <c r="P126" s="27"/>
      <c r="Q126" s="27"/>
      <c r="R126" s="27"/>
      <c r="S126" s="27"/>
      <c r="T126" s="24"/>
      <c r="U126" s="16">
        <f t="shared" si="16"/>
        <v>1690000</v>
      </c>
      <c r="V126" s="23">
        <v>1690000</v>
      </c>
      <c r="W126" s="17">
        <v>42114</v>
      </c>
      <c r="X126" s="17"/>
      <c r="Y126" s="22">
        <f t="shared" si="11"/>
        <v>0</v>
      </c>
      <c r="Z126" s="18"/>
    </row>
    <row r="127" spans="1:27" s="124" customFormat="1" ht="31.2">
      <c r="A127" s="23"/>
      <c r="B127" s="128">
        <v>42109</v>
      </c>
      <c r="C127" s="129" t="s">
        <v>476</v>
      </c>
      <c r="D127" s="136"/>
      <c r="E127" s="40" t="s">
        <v>462</v>
      </c>
      <c r="F127" s="21" t="s">
        <v>478</v>
      </c>
      <c r="G127" s="23" t="s">
        <v>91</v>
      </c>
      <c r="H127" s="23">
        <v>250000</v>
      </c>
      <c r="I127" s="123"/>
      <c r="J127" s="23">
        <v>900000</v>
      </c>
      <c r="K127" s="24"/>
      <c r="L127" s="123"/>
      <c r="M127" s="123"/>
      <c r="N127" s="27"/>
      <c r="O127" s="27"/>
      <c r="P127" s="27"/>
      <c r="Q127" s="27"/>
      <c r="R127" s="27"/>
      <c r="S127" s="27"/>
      <c r="T127" s="24"/>
      <c r="U127" s="16">
        <f t="shared" si="16"/>
        <v>1150000</v>
      </c>
      <c r="V127" s="23">
        <v>1150000</v>
      </c>
      <c r="W127" s="17">
        <v>42110</v>
      </c>
      <c r="X127" s="17"/>
      <c r="Y127" s="22">
        <f t="shared" si="11"/>
        <v>0</v>
      </c>
      <c r="Z127" s="18"/>
    </row>
    <row r="128" spans="1:27" s="124" customFormat="1" ht="31.2">
      <c r="A128" s="23"/>
      <c r="B128" s="128">
        <v>42110</v>
      </c>
      <c r="C128" s="129" t="s">
        <v>477</v>
      </c>
      <c r="D128" s="136"/>
      <c r="E128" s="40" t="s">
        <v>96</v>
      </c>
      <c r="F128" s="21" t="s">
        <v>479</v>
      </c>
      <c r="G128" s="23" t="s">
        <v>91</v>
      </c>
      <c r="H128" s="23">
        <v>480000</v>
      </c>
      <c r="I128" s="123"/>
      <c r="J128" s="23">
        <v>660000</v>
      </c>
      <c r="K128" s="24"/>
      <c r="L128" s="123"/>
      <c r="M128" s="123"/>
      <c r="N128" s="27"/>
      <c r="O128" s="27"/>
      <c r="P128" s="27"/>
      <c r="Q128" s="27"/>
      <c r="R128" s="27"/>
      <c r="S128" s="27"/>
      <c r="T128" s="24"/>
      <c r="U128" s="16">
        <f t="shared" si="16"/>
        <v>1140000</v>
      </c>
      <c r="V128" s="23">
        <v>1140000</v>
      </c>
      <c r="W128" s="17">
        <v>42110</v>
      </c>
      <c r="X128" s="17"/>
      <c r="Y128" s="22">
        <f t="shared" si="11"/>
        <v>0</v>
      </c>
      <c r="Z128" s="18"/>
    </row>
    <row r="129" spans="1:27" s="124" customFormat="1" ht="15.6">
      <c r="A129" s="23"/>
      <c r="B129" s="128">
        <v>42110</v>
      </c>
      <c r="C129" s="129" t="s">
        <v>480</v>
      </c>
      <c r="D129" s="136"/>
      <c r="E129" s="40" t="s">
        <v>481</v>
      </c>
      <c r="F129" s="21" t="s">
        <v>482</v>
      </c>
      <c r="G129" s="23" t="s">
        <v>140</v>
      </c>
      <c r="H129" s="23"/>
      <c r="I129" s="123"/>
      <c r="J129" s="23"/>
      <c r="K129" s="24">
        <v>700000</v>
      </c>
      <c r="L129" s="123"/>
      <c r="M129" s="123"/>
      <c r="N129" s="27"/>
      <c r="O129" s="27"/>
      <c r="P129" s="27"/>
      <c r="Q129" s="27"/>
      <c r="R129" s="27"/>
      <c r="S129" s="27"/>
      <c r="T129" s="24"/>
      <c r="U129" s="16">
        <f t="shared" si="16"/>
        <v>700000</v>
      </c>
      <c r="V129" s="23">
        <v>700000</v>
      </c>
      <c r="W129" s="17">
        <v>42118</v>
      </c>
      <c r="X129" s="17" t="s">
        <v>95</v>
      </c>
      <c r="Y129" s="22">
        <f t="shared" si="11"/>
        <v>0</v>
      </c>
      <c r="Z129" s="18"/>
    </row>
    <row r="130" spans="1:27" s="124" customFormat="1" ht="31.2">
      <c r="A130" s="23"/>
      <c r="B130" s="128">
        <v>42111</v>
      </c>
      <c r="C130" s="129" t="s">
        <v>483</v>
      </c>
      <c r="D130" s="62" t="s">
        <v>484</v>
      </c>
      <c r="E130" s="40" t="s">
        <v>96</v>
      </c>
      <c r="F130" s="21" t="s">
        <v>485</v>
      </c>
      <c r="G130" s="23" t="s">
        <v>94</v>
      </c>
      <c r="H130" s="23">
        <v>250000</v>
      </c>
      <c r="I130" s="123"/>
      <c r="J130" s="23">
        <v>1440000</v>
      </c>
      <c r="K130" s="24"/>
      <c r="L130" s="123"/>
      <c r="M130" s="123"/>
      <c r="N130" s="27"/>
      <c r="O130" s="27"/>
      <c r="P130" s="27"/>
      <c r="Q130" s="27"/>
      <c r="R130" s="27"/>
      <c r="S130" s="27"/>
      <c r="T130" s="24">
        <v>169000</v>
      </c>
      <c r="U130" s="16">
        <f t="shared" si="16"/>
        <v>1859000</v>
      </c>
      <c r="V130" s="23">
        <v>1859000</v>
      </c>
      <c r="W130" s="17">
        <v>42114</v>
      </c>
      <c r="X130" s="17" t="s">
        <v>489</v>
      </c>
      <c r="Y130" s="22">
        <f t="shared" si="11"/>
        <v>0</v>
      </c>
      <c r="Z130" s="18" t="s">
        <v>494</v>
      </c>
    </row>
    <row r="131" spans="1:27" s="124" customFormat="1" ht="46.8">
      <c r="A131" s="27" t="s">
        <v>486</v>
      </c>
      <c r="B131" s="128">
        <v>42111</v>
      </c>
      <c r="C131" s="129" t="s">
        <v>483</v>
      </c>
      <c r="D131" s="62" t="s">
        <v>487</v>
      </c>
      <c r="E131" s="28" t="s">
        <v>361</v>
      </c>
      <c r="F131" s="21" t="s">
        <v>488</v>
      </c>
      <c r="G131" s="23" t="s">
        <v>140</v>
      </c>
      <c r="H131" s="23">
        <v>250000</v>
      </c>
      <c r="I131" s="123"/>
      <c r="J131" s="23">
        <v>1440000</v>
      </c>
      <c r="K131" s="24">
        <v>2750000</v>
      </c>
      <c r="L131" s="123"/>
      <c r="M131" s="123"/>
      <c r="N131" s="27"/>
      <c r="O131" s="27"/>
      <c r="P131" s="27"/>
      <c r="Q131" s="27"/>
      <c r="R131" s="27"/>
      <c r="S131" s="27"/>
      <c r="T131" s="24"/>
      <c r="U131" s="16">
        <f t="shared" si="16"/>
        <v>4440000</v>
      </c>
      <c r="V131" s="23">
        <f>1330000+1000000+2110000</f>
        <v>4440000</v>
      </c>
      <c r="W131" s="17" t="s">
        <v>831</v>
      </c>
      <c r="X131" s="17"/>
      <c r="Y131" s="22">
        <f t="shared" si="11"/>
        <v>0</v>
      </c>
      <c r="Z131" s="18"/>
    </row>
    <row r="132" spans="1:27" s="124" customFormat="1" ht="31.2">
      <c r="A132" s="27"/>
      <c r="B132" s="128">
        <v>42114</v>
      </c>
      <c r="C132" s="129" t="s">
        <v>491</v>
      </c>
      <c r="D132" s="62"/>
      <c r="E132" s="40" t="s">
        <v>310</v>
      </c>
      <c r="F132" s="21" t="s">
        <v>492</v>
      </c>
      <c r="G132" s="23" t="s">
        <v>91</v>
      </c>
      <c r="H132" s="23">
        <v>500000</v>
      </c>
      <c r="I132" s="123"/>
      <c r="J132" s="23"/>
      <c r="K132" s="24"/>
      <c r="L132" s="123"/>
      <c r="M132" s="123"/>
      <c r="N132" s="27"/>
      <c r="O132" s="27"/>
      <c r="P132" s="27"/>
      <c r="Q132" s="27"/>
      <c r="R132" s="27"/>
      <c r="S132" s="27"/>
      <c r="T132" s="24"/>
      <c r="U132" s="16">
        <f t="shared" si="16"/>
        <v>500000</v>
      </c>
      <c r="V132" s="23">
        <v>500000</v>
      </c>
      <c r="W132" s="17">
        <v>42114</v>
      </c>
      <c r="X132" s="17"/>
      <c r="Y132" s="22">
        <f t="shared" si="11"/>
        <v>0</v>
      </c>
      <c r="Z132" s="18"/>
    </row>
    <row r="133" spans="1:27" s="124" customFormat="1" ht="31.2">
      <c r="A133" s="27" t="s">
        <v>495</v>
      </c>
      <c r="B133" s="128">
        <v>42116</v>
      </c>
      <c r="C133" s="129" t="s">
        <v>498</v>
      </c>
      <c r="D133" s="62" t="s">
        <v>496</v>
      </c>
      <c r="E133" s="28" t="s">
        <v>361</v>
      </c>
      <c r="F133" s="21" t="s">
        <v>497</v>
      </c>
      <c r="G133" s="23" t="s">
        <v>102</v>
      </c>
      <c r="H133" s="23">
        <v>250000</v>
      </c>
      <c r="I133" s="123"/>
      <c r="J133" s="23">
        <v>660000</v>
      </c>
      <c r="K133" s="24">
        <v>2310000</v>
      </c>
      <c r="L133" s="123"/>
      <c r="M133" s="123"/>
      <c r="N133" s="27"/>
      <c r="O133" s="27"/>
      <c r="P133" s="27"/>
      <c r="Q133" s="27"/>
      <c r="R133" s="27"/>
      <c r="S133" s="27"/>
      <c r="T133" s="24"/>
      <c r="U133" s="16">
        <f t="shared" si="16"/>
        <v>3220000</v>
      </c>
      <c r="V133" s="23">
        <f>1610000+1610000</f>
        <v>3220000</v>
      </c>
      <c r="W133" s="17" t="s">
        <v>677</v>
      </c>
      <c r="X133" s="17" t="s">
        <v>648</v>
      </c>
      <c r="Y133" s="22">
        <f t="shared" si="11"/>
        <v>0</v>
      </c>
      <c r="Z133" s="82" t="s">
        <v>520</v>
      </c>
    </row>
    <row r="134" spans="1:27" s="124" customFormat="1" ht="31.2">
      <c r="A134" s="27" t="s">
        <v>500</v>
      </c>
      <c r="B134" s="128">
        <v>42116</v>
      </c>
      <c r="C134" s="129" t="s">
        <v>501</v>
      </c>
      <c r="D134" s="62" t="s">
        <v>502</v>
      </c>
      <c r="E134" s="28" t="s">
        <v>361</v>
      </c>
      <c r="F134" s="21" t="s">
        <v>503</v>
      </c>
      <c r="G134" s="23" t="s">
        <v>102</v>
      </c>
      <c r="H134" s="23">
        <v>400000</v>
      </c>
      <c r="I134" s="123"/>
      <c r="J134" s="23">
        <v>900000</v>
      </c>
      <c r="K134" s="24">
        <v>1700000</v>
      </c>
      <c r="L134" s="123"/>
      <c r="M134" s="123"/>
      <c r="N134" s="27"/>
      <c r="O134" s="27"/>
      <c r="P134" s="27"/>
      <c r="Q134" s="27"/>
      <c r="R134" s="27"/>
      <c r="S134" s="27"/>
      <c r="T134" s="24"/>
      <c r="U134" s="16">
        <f t="shared" si="16"/>
        <v>3000000</v>
      </c>
      <c r="V134" s="23">
        <f>1500000</f>
        <v>1500000</v>
      </c>
      <c r="W134" s="17">
        <v>42121</v>
      </c>
      <c r="X134" s="17" t="s">
        <v>997</v>
      </c>
      <c r="Y134" s="22">
        <f t="shared" ref="Y134:Y197" si="18">U134-V134</f>
        <v>1500000</v>
      </c>
      <c r="Z134" s="82" t="s">
        <v>520</v>
      </c>
    </row>
    <row r="135" spans="1:27" s="63" customFormat="1" ht="31.2">
      <c r="A135" s="23" t="s">
        <v>504</v>
      </c>
      <c r="B135" s="42">
        <v>42116</v>
      </c>
      <c r="C135" s="125" t="s">
        <v>505</v>
      </c>
      <c r="D135" s="20" t="s">
        <v>506</v>
      </c>
      <c r="E135" s="28" t="s">
        <v>361</v>
      </c>
      <c r="F135" s="21" t="s">
        <v>507</v>
      </c>
      <c r="G135" s="22" t="s">
        <v>94</v>
      </c>
      <c r="H135" s="23">
        <v>250000</v>
      </c>
      <c r="I135" s="121"/>
      <c r="J135" s="23">
        <v>600000</v>
      </c>
      <c r="K135" s="24">
        <v>4250000</v>
      </c>
      <c r="L135" s="121"/>
      <c r="M135" s="121"/>
      <c r="N135" s="121"/>
      <c r="O135" s="121"/>
      <c r="P135" s="24"/>
      <c r="Q135" s="24"/>
      <c r="R135" s="121"/>
      <c r="S135" s="121"/>
      <c r="T135" s="24"/>
      <c r="U135" s="16">
        <f t="shared" si="16"/>
        <v>5100000</v>
      </c>
      <c r="V135" s="23">
        <v>5100000</v>
      </c>
      <c r="W135" s="122">
        <v>42151</v>
      </c>
      <c r="X135" s="17" t="s">
        <v>636</v>
      </c>
      <c r="Y135" s="22">
        <f t="shared" si="18"/>
        <v>0</v>
      </c>
      <c r="Z135" s="33"/>
      <c r="AA135" s="75"/>
    </row>
    <row r="136" spans="1:27" s="63" customFormat="1" ht="31.2">
      <c r="A136" s="23"/>
      <c r="B136" s="42">
        <v>42116</v>
      </c>
      <c r="C136" s="125" t="s">
        <v>514</v>
      </c>
      <c r="D136" s="20"/>
      <c r="E136" s="28" t="s">
        <v>96</v>
      </c>
      <c r="F136" s="21" t="s">
        <v>513</v>
      </c>
      <c r="G136" s="22" t="s">
        <v>94</v>
      </c>
      <c r="H136" s="23">
        <v>250000</v>
      </c>
      <c r="I136" s="121"/>
      <c r="J136" s="23">
        <v>1440000</v>
      </c>
      <c r="K136" s="24"/>
      <c r="L136" s="121"/>
      <c r="M136" s="121"/>
      <c r="N136" s="121"/>
      <c r="O136" s="121"/>
      <c r="P136" s="24"/>
      <c r="Q136" s="24"/>
      <c r="R136" s="121"/>
      <c r="S136" s="121"/>
      <c r="T136" s="24"/>
      <c r="U136" s="16">
        <f t="shared" si="16"/>
        <v>1690000</v>
      </c>
      <c r="V136" s="23">
        <v>1690000</v>
      </c>
      <c r="W136" s="122">
        <v>42117</v>
      </c>
      <c r="X136" s="17"/>
      <c r="Y136" s="22">
        <f t="shared" si="18"/>
        <v>0</v>
      </c>
      <c r="Z136" s="33"/>
      <c r="AA136" s="158"/>
    </row>
    <row r="137" spans="1:27" s="63" customFormat="1" ht="27.6">
      <c r="A137" s="23"/>
      <c r="B137" s="42">
        <v>42116</v>
      </c>
      <c r="C137" s="125" t="s">
        <v>688</v>
      </c>
      <c r="D137" s="20"/>
      <c r="E137" s="28" t="s">
        <v>689</v>
      </c>
      <c r="F137" s="21" t="s">
        <v>690</v>
      </c>
      <c r="G137" s="22" t="s">
        <v>94</v>
      </c>
      <c r="H137" s="23"/>
      <c r="I137" s="121"/>
      <c r="J137" s="23">
        <v>2160000</v>
      </c>
      <c r="K137" s="24"/>
      <c r="L137" s="121"/>
      <c r="M137" s="121"/>
      <c r="N137" s="121"/>
      <c r="O137" s="121"/>
      <c r="P137" s="24"/>
      <c r="Q137" s="24"/>
      <c r="R137" s="121"/>
      <c r="S137" s="121"/>
      <c r="T137" s="24"/>
      <c r="U137" s="16">
        <f t="shared" si="16"/>
        <v>2160000</v>
      </c>
      <c r="V137" s="23">
        <v>2160000</v>
      </c>
      <c r="W137" s="122">
        <v>42172</v>
      </c>
      <c r="X137" s="17"/>
      <c r="Y137" s="22">
        <f t="shared" si="18"/>
        <v>0</v>
      </c>
      <c r="Z137" s="33"/>
      <c r="AA137" s="158"/>
    </row>
    <row r="138" spans="1:27" ht="15.6">
      <c r="A138" s="27"/>
      <c r="B138" s="17"/>
      <c r="C138" s="79" t="s">
        <v>107</v>
      </c>
      <c r="D138" s="57"/>
      <c r="E138" s="57"/>
      <c r="F138" s="57"/>
      <c r="G138" s="57"/>
      <c r="H138" s="80">
        <f t="shared" ref="H138:V138" si="19">SUM(H109:H137)</f>
        <v>8295000</v>
      </c>
      <c r="I138" s="80">
        <f t="shared" si="19"/>
        <v>0</v>
      </c>
      <c r="J138" s="80">
        <f t="shared" si="19"/>
        <v>24744000</v>
      </c>
      <c r="K138" s="80">
        <f t="shared" si="19"/>
        <v>26460000</v>
      </c>
      <c r="L138" s="80">
        <f t="shared" si="19"/>
        <v>0</v>
      </c>
      <c r="M138" s="80">
        <f t="shared" si="19"/>
        <v>0</v>
      </c>
      <c r="N138" s="80">
        <f t="shared" si="19"/>
        <v>0</v>
      </c>
      <c r="O138" s="80">
        <f t="shared" si="19"/>
        <v>0</v>
      </c>
      <c r="P138" s="80">
        <f t="shared" si="19"/>
        <v>1840000</v>
      </c>
      <c r="Q138" s="80">
        <f t="shared" si="19"/>
        <v>0</v>
      </c>
      <c r="R138" s="80">
        <f t="shared" si="19"/>
        <v>0</v>
      </c>
      <c r="S138" s="80">
        <f t="shared" si="19"/>
        <v>0</v>
      </c>
      <c r="T138" s="80">
        <f t="shared" si="19"/>
        <v>954900</v>
      </c>
      <c r="U138" s="80">
        <f t="shared" si="19"/>
        <v>62293900</v>
      </c>
      <c r="V138" s="80">
        <f t="shared" si="19"/>
        <v>59543900</v>
      </c>
      <c r="W138" s="80"/>
      <c r="X138" s="80">
        <f>SUM(X109:X137)</f>
        <v>0</v>
      </c>
      <c r="Y138" s="22">
        <f t="shared" si="18"/>
        <v>2750000</v>
      </c>
      <c r="Z138" s="57"/>
    </row>
    <row r="139" spans="1:27" ht="15.6">
      <c r="A139" s="16" t="s">
        <v>521</v>
      </c>
      <c r="B139" s="17"/>
      <c r="C139" s="18"/>
      <c r="D139" s="19"/>
      <c r="E139" s="20"/>
      <c r="F139" s="21"/>
      <c r="G139" s="22"/>
      <c r="H139" s="23"/>
      <c r="I139" s="24"/>
      <c r="J139" s="23"/>
      <c r="K139" s="24"/>
      <c r="L139" s="24"/>
      <c r="M139" s="23"/>
      <c r="N139" s="24"/>
      <c r="O139" s="24"/>
      <c r="P139" s="24"/>
      <c r="Q139" s="24"/>
      <c r="R139" s="24"/>
      <c r="S139" s="24"/>
      <c r="T139" s="24"/>
      <c r="U139" s="16">
        <f>+SUM(H139:T139)</f>
        <v>0</v>
      </c>
      <c r="V139" s="23"/>
      <c r="W139" s="17"/>
      <c r="X139" s="17"/>
      <c r="Y139" s="22">
        <f t="shared" si="18"/>
        <v>0</v>
      </c>
      <c r="Z139" s="25"/>
      <c r="AA139" s="26"/>
    </row>
    <row r="140" spans="1:27" ht="31.2">
      <c r="A140" s="27"/>
      <c r="B140" s="17">
        <v>42128</v>
      </c>
      <c r="C140" s="125" t="s">
        <v>526</v>
      </c>
      <c r="D140" s="20"/>
      <c r="E140" s="28" t="s">
        <v>96</v>
      </c>
      <c r="F140" s="21" t="s">
        <v>527</v>
      </c>
      <c r="G140" s="22" t="s">
        <v>91</v>
      </c>
      <c r="H140" s="23">
        <v>250000</v>
      </c>
      <c r="I140" s="24"/>
      <c r="J140" s="23">
        <v>660000</v>
      </c>
      <c r="K140" s="24"/>
      <c r="L140" s="24"/>
      <c r="M140" s="23"/>
      <c r="N140" s="24"/>
      <c r="O140" s="24"/>
      <c r="P140" s="24"/>
      <c r="Q140" s="24"/>
      <c r="R140" s="24"/>
      <c r="S140" s="24"/>
      <c r="T140" s="24"/>
      <c r="U140" s="16">
        <f>+SUM(H140:T140)</f>
        <v>910000</v>
      </c>
      <c r="V140" s="23">
        <v>910000</v>
      </c>
      <c r="W140" s="17">
        <v>42128</v>
      </c>
      <c r="X140" s="17"/>
      <c r="Y140" s="22">
        <f t="shared" si="18"/>
        <v>0</v>
      </c>
      <c r="Z140" s="62"/>
      <c r="AA140" s="29"/>
    </row>
    <row r="141" spans="1:27" ht="46.8">
      <c r="A141" s="27" t="s">
        <v>523</v>
      </c>
      <c r="B141" s="17">
        <v>42129</v>
      </c>
      <c r="C141" s="125" t="s">
        <v>522</v>
      </c>
      <c r="D141" s="20" t="s">
        <v>524</v>
      </c>
      <c r="E141" s="28" t="s">
        <v>525</v>
      </c>
      <c r="F141" s="21" t="s">
        <v>531</v>
      </c>
      <c r="G141" s="22" t="s">
        <v>28</v>
      </c>
      <c r="H141" s="23"/>
      <c r="I141" s="24"/>
      <c r="J141" s="23">
        <v>3600000</v>
      </c>
      <c r="K141" s="24"/>
      <c r="L141" s="24"/>
      <c r="M141" s="23"/>
      <c r="N141" s="24"/>
      <c r="O141" s="24"/>
      <c r="P141" s="24"/>
      <c r="Q141" s="24"/>
      <c r="R141" s="24"/>
      <c r="S141" s="24"/>
      <c r="T141" s="24"/>
      <c r="U141" s="16">
        <f t="shared" ref="U141:U173" si="20">+SUM(H141:T141)</f>
        <v>3600000</v>
      </c>
      <c r="V141" s="23">
        <v>3600000</v>
      </c>
      <c r="W141" s="17">
        <v>42129</v>
      </c>
      <c r="X141" s="17"/>
      <c r="Y141" s="22">
        <f t="shared" si="18"/>
        <v>0</v>
      </c>
      <c r="Z141" s="62" t="s">
        <v>528</v>
      </c>
      <c r="AA141" s="29"/>
    </row>
    <row r="142" spans="1:27" ht="31.2">
      <c r="A142" s="64"/>
      <c r="B142" s="65">
        <v>42130</v>
      </c>
      <c r="C142" s="66" t="s">
        <v>530</v>
      </c>
      <c r="D142" s="67" t="s">
        <v>529</v>
      </c>
      <c r="E142" s="67" t="s">
        <v>361</v>
      </c>
      <c r="F142" s="68" t="s">
        <v>393</v>
      </c>
      <c r="G142" s="69" t="s">
        <v>953</v>
      </c>
      <c r="H142" s="70"/>
      <c r="I142" s="71"/>
      <c r="J142" s="70"/>
      <c r="K142" s="90">
        <v>3000000</v>
      </c>
      <c r="L142" s="71"/>
      <c r="M142" s="71"/>
      <c r="N142" s="71"/>
      <c r="O142" s="71"/>
      <c r="P142" s="71"/>
      <c r="Q142" s="71"/>
      <c r="R142" s="118"/>
      <c r="S142" s="71"/>
      <c r="T142" s="90"/>
      <c r="U142" s="72">
        <f t="shared" si="20"/>
        <v>3000000</v>
      </c>
      <c r="V142" s="70">
        <v>3000000</v>
      </c>
      <c r="W142" s="65"/>
      <c r="X142" s="65"/>
      <c r="Y142" s="22">
        <f t="shared" si="18"/>
        <v>0</v>
      </c>
      <c r="Z142" s="92"/>
    </row>
    <row r="143" spans="1:27" ht="15.6">
      <c r="A143" s="27"/>
      <c r="B143" s="17">
        <v>42131</v>
      </c>
      <c r="C143" s="18" t="s">
        <v>532</v>
      </c>
      <c r="D143" s="20"/>
      <c r="E143" s="28" t="s">
        <v>310</v>
      </c>
      <c r="F143" s="21" t="s">
        <v>533</v>
      </c>
      <c r="G143" s="22" t="s">
        <v>91</v>
      </c>
      <c r="H143" s="23">
        <v>480000</v>
      </c>
      <c r="I143" s="57"/>
      <c r="J143" s="23"/>
      <c r="K143" s="24"/>
      <c r="L143" s="57"/>
      <c r="M143" s="57"/>
      <c r="N143" s="57"/>
      <c r="O143" s="57"/>
      <c r="P143" s="57"/>
      <c r="Q143" s="57"/>
      <c r="R143" s="76"/>
      <c r="S143" s="57"/>
      <c r="T143" s="24"/>
      <c r="U143" s="16">
        <f t="shared" si="20"/>
        <v>480000</v>
      </c>
      <c r="V143" s="23">
        <v>480000</v>
      </c>
      <c r="W143" s="17">
        <v>42131</v>
      </c>
      <c r="X143" s="17"/>
      <c r="Y143" s="22">
        <f t="shared" si="18"/>
        <v>0</v>
      </c>
      <c r="Z143" s="18"/>
    </row>
    <row r="144" spans="1:27" s="124" customFormat="1" ht="31.2">
      <c r="A144" s="27"/>
      <c r="B144" s="128">
        <v>42132</v>
      </c>
      <c r="C144" s="129" t="s">
        <v>535</v>
      </c>
      <c r="D144" s="62" t="s">
        <v>536</v>
      </c>
      <c r="E144" s="40" t="s">
        <v>538</v>
      </c>
      <c r="F144" s="21" t="s">
        <v>537</v>
      </c>
      <c r="G144" s="23" t="s">
        <v>94</v>
      </c>
      <c r="H144" s="23"/>
      <c r="I144" s="123"/>
      <c r="J144" s="23">
        <v>1320000</v>
      </c>
      <c r="K144" s="24"/>
      <c r="L144" s="123"/>
      <c r="M144" s="123"/>
      <c r="N144" s="27"/>
      <c r="O144" s="27"/>
      <c r="P144" s="27"/>
      <c r="Q144" s="27"/>
      <c r="R144" s="27"/>
      <c r="S144" s="27"/>
      <c r="T144" s="24">
        <v>132000</v>
      </c>
      <c r="U144" s="16">
        <f t="shared" si="20"/>
        <v>1452000</v>
      </c>
      <c r="V144" s="23">
        <v>1452000</v>
      </c>
      <c r="W144" s="17">
        <v>42132</v>
      </c>
      <c r="X144" s="17" t="s">
        <v>539</v>
      </c>
      <c r="Y144" s="22">
        <f t="shared" si="18"/>
        <v>0</v>
      </c>
      <c r="Z144" s="18"/>
    </row>
    <row r="145" spans="1:27" s="124" customFormat="1" ht="46.8">
      <c r="A145" s="23" t="s">
        <v>652</v>
      </c>
      <c r="B145" s="128">
        <v>42132</v>
      </c>
      <c r="C145" s="129" t="s">
        <v>540</v>
      </c>
      <c r="D145" s="62" t="s">
        <v>630</v>
      </c>
      <c r="E145" s="28" t="s">
        <v>96</v>
      </c>
      <c r="F145" s="21" t="s">
        <v>541</v>
      </c>
      <c r="G145" s="23" t="s">
        <v>94</v>
      </c>
      <c r="H145" s="23">
        <v>200000</v>
      </c>
      <c r="I145" s="123"/>
      <c r="J145" s="23">
        <v>1920000</v>
      </c>
      <c r="K145" s="24"/>
      <c r="L145" s="123"/>
      <c r="M145" s="123"/>
      <c r="N145" s="27"/>
      <c r="O145" s="27"/>
      <c r="P145" s="27"/>
      <c r="Q145" s="27"/>
      <c r="R145" s="27"/>
      <c r="S145" s="27"/>
      <c r="T145" s="24">
        <v>192000</v>
      </c>
      <c r="U145" s="16">
        <f t="shared" si="20"/>
        <v>2312000</v>
      </c>
      <c r="V145" s="23">
        <v>2312000</v>
      </c>
      <c r="W145" s="17">
        <v>42167</v>
      </c>
      <c r="X145" s="17" t="s">
        <v>548</v>
      </c>
      <c r="Y145" s="22">
        <f t="shared" si="18"/>
        <v>0</v>
      </c>
      <c r="Z145" s="18"/>
    </row>
    <row r="146" spans="1:27" s="124" customFormat="1" ht="31.2">
      <c r="A146" s="27" t="s">
        <v>544</v>
      </c>
      <c r="B146" s="128">
        <v>42135</v>
      </c>
      <c r="C146" s="129" t="s">
        <v>545</v>
      </c>
      <c r="D146" s="62" t="s">
        <v>546</v>
      </c>
      <c r="E146" s="40" t="s">
        <v>361</v>
      </c>
      <c r="F146" s="21" t="s">
        <v>823</v>
      </c>
      <c r="G146" s="23" t="s">
        <v>125</v>
      </c>
      <c r="H146" s="23">
        <v>250000</v>
      </c>
      <c r="I146" s="123"/>
      <c r="J146" s="23">
        <v>1440000</v>
      </c>
      <c r="K146" s="24"/>
      <c r="L146" s="123"/>
      <c r="M146" s="123"/>
      <c r="N146" s="27"/>
      <c r="O146" s="27"/>
      <c r="P146" s="27"/>
      <c r="Q146" s="27"/>
      <c r="R146" s="27"/>
      <c r="S146" s="27"/>
      <c r="T146" s="24">
        <v>169000</v>
      </c>
      <c r="U146" s="16">
        <f t="shared" si="20"/>
        <v>1859000</v>
      </c>
      <c r="V146" s="23">
        <v>1859000</v>
      </c>
      <c r="W146" s="17">
        <v>42135</v>
      </c>
      <c r="X146" s="17" t="s">
        <v>547</v>
      </c>
      <c r="Y146" s="22">
        <f t="shared" si="18"/>
        <v>0</v>
      </c>
      <c r="Z146" s="18"/>
    </row>
    <row r="147" spans="1:27" s="124" customFormat="1" ht="31.2">
      <c r="A147" s="27" t="s">
        <v>549</v>
      </c>
      <c r="B147" s="128">
        <v>42135</v>
      </c>
      <c r="C147" s="129" t="s">
        <v>550</v>
      </c>
      <c r="D147" s="62"/>
      <c r="E147" s="40" t="s">
        <v>361</v>
      </c>
      <c r="F147" s="21" t="s">
        <v>551</v>
      </c>
      <c r="G147" s="23" t="s">
        <v>28</v>
      </c>
      <c r="H147" s="23">
        <v>250000</v>
      </c>
      <c r="I147" s="123"/>
      <c r="J147" s="23">
        <v>1440000</v>
      </c>
      <c r="K147" s="24"/>
      <c r="L147" s="123"/>
      <c r="M147" s="123"/>
      <c r="N147" s="27"/>
      <c r="O147" s="27"/>
      <c r="P147" s="27"/>
      <c r="Q147" s="27"/>
      <c r="R147" s="27"/>
      <c r="S147" s="27"/>
      <c r="T147" s="24"/>
      <c r="U147" s="16">
        <f t="shared" si="20"/>
        <v>1690000</v>
      </c>
      <c r="V147" s="23"/>
      <c r="W147" s="17"/>
      <c r="X147" s="17"/>
      <c r="Y147" s="22">
        <f t="shared" si="18"/>
        <v>1690000</v>
      </c>
      <c r="Z147" s="18" t="s">
        <v>557</v>
      </c>
    </row>
    <row r="148" spans="1:27" s="124" customFormat="1" ht="46.8">
      <c r="A148" s="23"/>
      <c r="B148" s="128">
        <v>42135</v>
      </c>
      <c r="C148" s="129" t="s">
        <v>555</v>
      </c>
      <c r="D148" s="62" t="s">
        <v>556</v>
      </c>
      <c r="E148" s="40" t="s">
        <v>558</v>
      </c>
      <c r="F148" s="21" t="s">
        <v>552</v>
      </c>
      <c r="G148" s="23" t="s">
        <v>47</v>
      </c>
      <c r="H148" s="23">
        <f>250000*3</f>
        <v>750000</v>
      </c>
      <c r="I148" s="123"/>
      <c r="J148" s="23">
        <v>2700000</v>
      </c>
      <c r="K148" s="24">
        <v>2050000</v>
      </c>
      <c r="L148" s="123"/>
      <c r="M148" s="123"/>
      <c r="N148" s="27"/>
      <c r="O148" s="27"/>
      <c r="P148" s="27"/>
      <c r="Q148" s="27"/>
      <c r="R148" s="27"/>
      <c r="S148" s="27"/>
      <c r="T148" s="24"/>
      <c r="U148" s="16">
        <f t="shared" si="20"/>
        <v>5500000</v>
      </c>
      <c r="V148" s="23">
        <f>5000000+500000</f>
        <v>5500000</v>
      </c>
      <c r="W148" s="17" t="s">
        <v>754</v>
      </c>
      <c r="X148" s="17" t="s">
        <v>748</v>
      </c>
      <c r="Y148" s="22">
        <f t="shared" si="18"/>
        <v>0</v>
      </c>
      <c r="Z148" s="18" t="s">
        <v>554</v>
      </c>
    </row>
    <row r="149" spans="1:27" s="124" customFormat="1" ht="46.8">
      <c r="A149" s="27"/>
      <c r="B149" s="175">
        <v>42135</v>
      </c>
      <c r="C149" s="82" t="s">
        <v>555</v>
      </c>
      <c r="D149" s="83" t="s">
        <v>556</v>
      </c>
      <c r="E149" s="84" t="s">
        <v>558</v>
      </c>
      <c r="F149" s="30" t="s">
        <v>553</v>
      </c>
      <c r="G149" s="27" t="s">
        <v>47</v>
      </c>
      <c r="H149" s="27">
        <f>250000*3</f>
        <v>750000</v>
      </c>
      <c r="I149" s="123"/>
      <c r="J149" s="27">
        <v>2700000</v>
      </c>
      <c r="K149" s="30">
        <v>2050000</v>
      </c>
      <c r="L149" s="123"/>
      <c r="M149" s="123"/>
      <c r="N149" s="27"/>
      <c r="O149" s="27"/>
      <c r="P149" s="27"/>
      <c r="Q149" s="27"/>
      <c r="R149" s="27"/>
      <c r="S149" s="27"/>
      <c r="T149" s="30"/>
      <c r="U149" s="85"/>
      <c r="V149" s="27"/>
      <c r="W149" s="81"/>
      <c r="X149" s="81"/>
      <c r="Y149" s="22">
        <f t="shared" si="18"/>
        <v>0</v>
      </c>
      <c r="Z149" s="82" t="s">
        <v>108</v>
      </c>
    </row>
    <row r="150" spans="1:27" s="124" customFormat="1" ht="31.2">
      <c r="A150" s="23"/>
      <c r="B150" s="128">
        <v>42136</v>
      </c>
      <c r="C150" s="160" t="s">
        <v>576</v>
      </c>
      <c r="D150" s="62" t="s">
        <v>579</v>
      </c>
      <c r="E150" s="40" t="s">
        <v>577</v>
      </c>
      <c r="F150" s="21" t="s">
        <v>592</v>
      </c>
      <c r="G150" s="23" t="s">
        <v>578</v>
      </c>
      <c r="H150" s="23"/>
      <c r="I150" s="123"/>
      <c r="J150" s="23">
        <v>1008000</v>
      </c>
      <c r="K150" s="24"/>
      <c r="L150" s="123"/>
      <c r="M150" s="123"/>
      <c r="N150" s="27"/>
      <c r="O150" s="27"/>
      <c r="P150" s="27"/>
      <c r="Q150" s="27"/>
      <c r="R150" s="27"/>
      <c r="S150" s="27"/>
      <c r="T150" s="24"/>
      <c r="U150" s="16">
        <f t="shared" ref="U150" si="21">+SUM(H150:T150)</f>
        <v>1008000</v>
      </c>
      <c r="V150" s="23">
        <v>1008000</v>
      </c>
      <c r="W150" s="17"/>
      <c r="X150" s="17"/>
      <c r="Y150" s="22">
        <f t="shared" si="18"/>
        <v>0</v>
      </c>
      <c r="Z150" s="18" t="s">
        <v>1003</v>
      </c>
    </row>
    <row r="151" spans="1:27" s="124" customFormat="1" ht="31.2">
      <c r="A151" s="23" t="s">
        <v>568</v>
      </c>
      <c r="B151" s="128">
        <v>42137</v>
      </c>
      <c r="C151" s="129" t="s">
        <v>569</v>
      </c>
      <c r="D151" s="62" t="s">
        <v>570</v>
      </c>
      <c r="E151" s="40" t="s">
        <v>224</v>
      </c>
      <c r="F151" s="21"/>
      <c r="G151" s="23" t="s">
        <v>91</v>
      </c>
      <c r="H151" s="23"/>
      <c r="I151" s="123"/>
      <c r="J151" s="23">
        <v>1440000</v>
      </c>
      <c r="K151" s="24"/>
      <c r="L151" s="123"/>
      <c r="M151" s="123"/>
      <c r="N151" s="27"/>
      <c r="O151" s="27"/>
      <c r="P151" s="27"/>
      <c r="Q151" s="27"/>
      <c r="R151" s="27"/>
      <c r="S151" s="27"/>
      <c r="T151" s="24">
        <v>144000</v>
      </c>
      <c r="U151" s="16">
        <f t="shared" si="20"/>
        <v>1584000</v>
      </c>
      <c r="V151" s="23">
        <v>1584000</v>
      </c>
      <c r="W151" s="17">
        <v>42138</v>
      </c>
      <c r="X151" s="17" t="s">
        <v>571</v>
      </c>
      <c r="Y151" s="22">
        <f t="shared" si="18"/>
        <v>0</v>
      </c>
      <c r="Z151" s="18"/>
    </row>
    <row r="152" spans="1:27" s="124" customFormat="1" ht="46.8">
      <c r="A152" s="23" t="s">
        <v>572</v>
      </c>
      <c r="B152" s="128">
        <v>42138</v>
      </c>
      <c r="C152" s="129" t="s">
        <v>573</v>
      </c>
      <c r="D152" s="62" t="s">
        <v>575</v>
      </c>
      <c r="E152" s="40" t="s">
        <v>361</v>
      </c>
      <c r="F152" s="21" t="s">
        <v>574</v>
      </c>
      <c r="G152" s="23" t="s">
        <v>91</v>
      </c>
      <c r="H152" s="23">
        <v>250000</v>
      </c>
      <c r="I152" s="123"/>
      <c r="J152" s="23">
        <v>1440000</v>
      </c>
      <c r="K152" s="24"/>
      <c r="L152" s="23">
        <v>500000</v>
      </c>
      <c r="M152" s="123"/>
      <c r="N152" s="27"/>
      <c r="O152" s="27"/>
      <c r="P152" s="27"/>
      <c r="Q152" s="27"/>
      <c r="R152" s="27"/>
      <c r="S152" s="27"/>
      <c r="T152" s="24"/>
      <c r="U152" s="16">
        <f t="shared" si="20"/>
        <v>2190000</v>
      </c>
      <c r="V152" s="23"/>
      <c r="W152" s="17"/>
      <c r="X152" s="17"/>
      <c r="Y152" s="22">
        <f t="shared" si="18"/>
        <v>2190000</v>
      </c>
      <c r="Z152" s="18" t="s">
        <v>675</v>
      </c>
    </row>
    <row r="153" spans="1:27" s="124" customFormat="1" ht="46.8">
      <c r="A153" s="23" t="s">
        <v>584</v>
      </c>
      <c r="B153" s="128">
        <v>42138</v>
      </c>
      <c r="C153" s="129" t="s">
        <v>580</v>
      </c>
      <c r="D153" s="62" t="s">
        <v>581</v>
      </c>
      <c r="E153" s="40" t="s">
        <v>583</v>
      </c>
      <c r="F153" s="21" t="s">
        <v>582</v>
      </c>
      <c r="G153" s="23" t="s">
        <v>28</v>
      </c>
      <c r="H153" s="23">
        <v>700000</v>
      </c>
      <c r="I153" s="123"/>
      <c r="J153" s="23">
        <v>1440000</v>
      </c>
      <c r="K153" s="24">
        <v>500000</v>
      </c>
      <c r="L153" s="123"/>
      <c r="M153" s="123"/>
      <c r="N153" s="27"/>
      <c r="O153" s="27"/>
      <c r="P153" s="27"/>
      <c r="Q153" s="27"/>
      <c r="R153" s="27"/>
      <c r="S153" s="27"/>
      <c r="T153" s="24"/>
      <c r="U153" s="16">
        <f t="shared" si="20"/>
        <v>2640000</v>
      </c>
      <c r="V153" s="23">
        <v>2640000</v>
      </c>
      <c r="W153" s="17">
        <v>42143</v>
      </c>
      <c r="X153" s="17"/>
      <c r="Y153" s="22">
        <f t="shared" si="18"/>
        <v>0</v>
      </c>
      <c r="Z153" s="18"/>
    </row>
    <row r="154" spans="1:27" s="124" customFormat="1" ht="31.2">
      <c r="A154" s="27" t="s">
        <v>590</v>
      </c>
      <c r="B154" s="128">
        <v>42139</v>
      </c>
      <c r="C154" s="129" t="s">
        <v>587</v>
      </c>
      <c r="D154" s="62" t="s">
        <v>588</v>
      </c>
      <c r="E154" s="40" t="s">
        <v>361</v>
      </c>
      <c r="F154" s="21" t="s">
        <v>589</v>
      </c>
      <c r="G154" s="23" t="s">
        <v>275</v>
      </c>
      <c r="H154" s="23">
        <v>830000</v>
      </c>
      <c r="I154" s="123"/>
      <c r="J154" s="23">
        <v>1440000</v>
      </c>
      <c r="K154" s="24">
        <v>1000000</v>
      </c>
      <c r="L154" s="123"/>
      <c r="M154" s="123"/>
      <c r="N154" s="27"/>
      <c r="O154" s="27"/>
      <c r="P154" s="27"/>
      <c r="Q154" s="27"/>
      <c r="R154" s="27"/>
      <c r="S154" s="27"/>
      <c r="T154" s="24"/>
      <c r="U154" s="16">
        <f t="shared" si="20"/>
        <v>3270000</v>
      </c>
      <c r="V154" s="23"/>
      <c r="W154" s="17"/>
      <c r="X154" s="17"/>
      <c r="Y154" s="22">
        <f t="shared" si="18"/>
        <v>3270000</v>
      </c>
      <c r="Z154" s="82" t="s">
        <v>557</v>
      </c>
    </row>
    <row r="155" spans="1:27" s="124" customFormat="1" ht="31.2">
      <c r="A155" s="23" t="s">
        <v>595</v>
      </c>
      <c r="B155" s="128">
        <v>42143</v>
      </c>
      <c r="C155" s="129" t="s">
        <v>593</v>
      </c>
      <c r="D155" s="62" t="s">
        <v>596</v>
      </c>
      <c r="E155" s="40" t="s">
        <v>361</v>
      </c>
      <c r="F155" s="21" t="s">
        <v>597</v>
      </c>
      <c r="G155" s="23" t="s">
        <v>28</v>
      </c>
      <c r="H155" s="23">
        <v>250000</v>
      </c>
      <c r="I155" s="123"/>
      <c r="J155" s="23">
        <v>1440000</v>
      </c>
      <c r="K155" s="24"/>
      <c r="L155" s="123"/>
      <c r="M155" s="123"/>
      <c r="N155" s="27"/>
      <c r="O155" s="27"/>
      <c r="P155" s="27"/>
      <c r="Q155" s="27"/>
      <c r="R155" s="27"/>
      <c r="S155" s="27"/>
      <c r="T155" s="24">
        <v>169000</v>
      </c>
      <c r="U155" s="16">
        <f t="shared" si="20"/>
        <v>1859000</v>
      </c>
      <c r="V155" s="23">
        <v>1859000</v>
      </c>
      <c r="W155" s="17">
        <v>42144</v>
      </c>
      <c r="X155" s="17" t="s">
        <v>594</v>
      </c>
      <c r="Y155" s="22">
        <f t="shared" si="18"/>
        <v>0</v>
      </c>
      <c r="Z155" s="18"/>
    </row>
    <row r="156" spans="1:27" s="124" customFormat="1" ht="27.6">
      <c r="A156" s="27"/>
      <c r="B156" s="128">
        <v>42144</v>
      </c>
      <c r="C156" s="129" t="s">
        <v>601</v>
      </c>
      <c r="D156" s="62"/>
      <c r="E156" s="28" t="s">
        <v>600</v>
      </c>
      <c r="F156" s="21" t="s">
        <v>599</v>
      </c>
      <c r="G156" s="23" t="s">
        <v>602</v>
      </c>
      <c r="H156" s="23"/>
      <c r="I156" s="123"/>
      <c r="J156" s="23">
        <v>1440000</v>
      </c>
      <c r="K156" s="24"/>
      <c r="L156" s="123"/>
      <c r="M156" s="123"/>
      <c r="N156" s="27"/>
      <c r="O156" s="27"/>
      <c r="P156" s="27"/>
      <c r="Q156" s="27"/>
      <c r="R156" s="27"/>
      <c r="S156" s="27"/>
      <c r="T156" s="24"/>
      <c r="U156" s="16">
        <f t="shared" si="20"/>
        <v>1440000</v>
      </c>
      <c r="V156" s="23">
        <v>1440000</v>
      </c>
      <c r="W156" s="17">
        <v>42144</v>
      </c>
      <c r="X156" s="17"/>
      <c r="Y156" s="22">
        <f t="shared" si="18"/>
        <v>0</v>
      </c>
      <c r="Z156" s="18"/>
    </row>
    <row r="157" spans="1:27" s="124" customFormat="1" ht="31.2">
      <c r="A157" s="23" t="s">
        <v>603</v>
      </c>
      <c r="B157" s="128">
        <v>42145</v>
      </c>
      <c r="C157" s="129" t="s">
        <v>604</v>
      </c>
      <c r="D157" s="62" t="s">
        <v>605</v>
      </c>
      <c r="E157" s="40" t="s">
        <v>361</v>
      </c>
      <c r="F157" s="21" t="s">
        <v>606</v>
      </c>
      <c r="G157" s="23" t="s">
        <v>28</v>
      </c>
      <c r="H157" s="23">
        <v>250000</v>
      </c>
      <c r="I157" s="123"/>
      <c r="J157" s="23">
        <v>1440000</v>
      </c>
      <c r="K157" s="24">
        <v>1500000</v>
      </c>
      <c r="L157" s="123"/>
      <c r="M157" s="123"/>
      <c r="N157" s="27"/>
      <c r="O157" s="27"/>
      <c r="P157" s="27"/>
      <c r="Q157" s="27"/>
      <c r="R157" s="27"/>
      <c r="S157" s="27"/>
      <c r="T157" s="24"/>
      <c r="U157" s="16">
        <f t="shared" si="20"/>
        <v>3190000</v>
      </c>
      <c r="V157" s="23">
        <f>1595000+1595000</f>
        <v>3190000</v>
      </c>
      <c r="W157" s="17" t="s">
        <v>753</v>
      </c>
      <c r="X157" s="17"/>
      <c r="Y157" s="22">
        <f t="shared" si="18"/>
        <v>0</v>
      </c>
      <c r="Z157" s="18"/>
    </row>
    <row r="158" spans="1:27" s="124" customFormat="1" ht="31.2">
      <c r="A158" s="23" t="s">
        <v>607</v>
      </c>
      <c r="B158" s="128">
        <v>42145</v>
      </c>
      <c r="C158" s="129" t="s">
        <v>608</v>
      </c>
      <c r="D158" s="62" t="s">
        <v>609</v>
      </c>
      <c r="E158" s="40" t="s">
        <v>361</v>
      </c>
      <c r="F158" s="21" t="s">
        <v>610</v>
      </c>
      <c r="G158" s="23" t="s">
        <v>28</v>
      </c>
      <c r="H158" s="23">
        <v>830000</v>
      </c>
      <c r="I158" s="123"/>
      <c r="J158" s="23">
        <v>1440000</v>
      </c>
      <c r="K158" s="24">
        <v>4800000</v>
      </c>
      <c r="L158" s="123"/>
      <c r="M158" s="123"/>
      <c r="N158" s="27"/>
      <c r="O158" s="27"/>
      <c r="P158" s="27"/>
      <c r="Q158" s="27"/>
      <c r="R158" s="27"/>
      <c r="S158" s="27"/>
      <c r="T158" s="24"/>
      <c r="U158" s="16">
        <f t="shared" si="20"/>
        <v>7070000</v>
      </c>
      <c r="V158" s="23">
        <f>3535000+3535000</f>
        <v>7070000</v>
      </c>
      <c r="W158" s="17" t="s">
        <v>832</v>
      </c>
      <c r="X158" s="17"/>
      <c r="Y158" s="22">
        <f t="shared" si="18"/>
        <v>0</v>
      </c>
      <c r="Z158" s="82"/>
    </row>
    <row r="159" spans="1:27" s="124" customFormat="1" ht="31.2">
      <c r="A159" s="27"/>
      <c r="B159" s="42">
        <v>42145</v>
      </c>
      <c r="C159" s="129" t="s">
        <v>611</v>
      </c>
      <c r="D159" s="62" t="s">
        <v>612</v>
      </c>
      <c r="E159" s="28" t="s">
        <v>134</v>
      </c>
      <c r="F159" s="21" t="s">
        <v>613</v>
      </c>
      <c r="G159" s="23" t="s">
        <v>94</v>
      </c>
      <c r="H159" s="23">
        <v>250000</v>
      </c>
      <c r="I159" s="123"/>
      <c r="J159" s="23">
        <v>660000</v>
      </c>
      <c r="K159" s="24"/>
      <c r="L159" s="123"/>
      <c r="M159" s="123"/>
      <c r="N159" s="27"/>
      <c r="O159" s="27"/>
      <c r="P159" s="27"/>
      <c r="Q159" s="27"/>
      <c r="R159" s="27"/>
      <c r="S159" s="27"/>
      <c r="T159" s="24"/>
      <c r="U159" s="16">
        <f t="shared" si="20"/>
        <v>910000</v>
      </c>
      <c r="V159" s="23">
        <v>910000</v>
      </c>
      <c r="W159" s="17">
        <v>42145</v>
      </c>
      <c r="X159" s="17"/>
      <c r="Y159" s="22">
        <f t="shared" si="18"/>
        <v>0</v>
      </c>
      <c r="Z159" s="82"/>
    </row>
    <row r="160" spans="1:27" s="63" customFormat="1" ht="31.2">
      <c r="A160" s="23" t="s">
        <v>615</v>
      </c>
      <c r="B160" s="42">
        <v>42146</v>
      </c>
      <c r="C160" s="125" t="s">
        <v>653</v>
      </c>
      <c r="D160" s="52" t="s">
        <v>616</v>
      </c>
      <c r="E160" s="40" t="s">
        <v>361</v>
      </c>
      <c r="F160" s="21" t="s">
        <v>617</v>
      </c>
      <c r="G160" s="22" t="s">
        <v>91</v>
      </c>
      <c r="H160" s="23"/>
      <c r="I160" s="121"/>
      <c r="J160" s="23"/>
      <c r="K160" s="24">
        <v>4000000</v>
      </c>
      <c r="L160" s="121"/>
      <c r="M160" s="121"/>
      <c r="N160" s="121"/>
      <c r="O160" s="121"/>
      <c r="P160" s="24"/>
      <c r="Q160" s="24"/>
      <c r="R160" s="121"/>
      <c r="S160" s="121"/>
      <c r="T160" s="24"/>
      <c r="U160" s="16">
        <f t="shared" si="20"/>
        <v>4000000</v>
      </c>
      <c r="V160" s="23">
        <v>2000000</v>
      </c>
      <c r="W160" s="122">
        <v>42151</v>
      </c>
      <c r="X160" s="17"/>
      <c r="Y160" s="22">
        <f t="shared" si="18"/>
        <v>2000000</v>
      </c>
      <c r="Z160" s="33"/>
      <c r="AA160" s="158"/>
    </row>
    <row r="161" spans="1:27" s="63" customFormat="1" ht="15.6">
      <c r="A161" s="27"/>
      <c r="B161" s="42">
        <v>42149</v>
      </c>
      <c r="C161" s="125" t="s">
        <v>622</v>
      </c>
      <c r="D161" s="52"/>
      <c r="E161" s="40" t="s">
        <v>101</v>
      </c>
      <c r="F161" s="21" t="s">
        <v>618</v>
      </c>
      <c r="G161" s="22" t="s">
        <v>91</v>
      </c>
      <c r="H161" s="23">
        <v>250000</v>
      </c>
      <c r="I161" s="121"/>
      <c r="J161" s="23"/>
      <c r="K161" s="24"/>
      <c r="L161" s="121"/>
      <c r="M161" s="121"/>
      <c r="N161" s="121"/>
      <c r="O161" s="121"/>
      <c r="P161" s="24"/>
      <c r="Q161" s="24"/>
      <c r="R161" s="121"/>
      <c r="S161" s="121"/>
      <c r="T161" s="24"/>
      <c r="U161" s="16">
        <f t="shared" si="20"/>
        <v>250000</v>
      </c>
      <c r="V161" s="23">
        <v>250000</v>
      </c>
      <c r="W161" s="122">
        <v>42149</v>
      </c>
      <c r="X161" s="17"/>
      <c r="Y161" s="22">
        <f t="shared" si="18"/>
        <v>0</v>
      </c>
      <c r="Z161" s="33"/>
      <c r="AA161" s="158"/>
    </row>
    <row r="162" spans="1:27" s="63" customFormat="1" ht="15.6">
      <c r="A162" s="27"/>
      <c r="B162" s="42">
        <v>42149</v>
      </c>
      <c r="C162" s="125" t="s">
        <v>623</v>
      </c>
      <c r="D162" s="52"/>
      <c r="E162" s="40" t="s">
        <v>101</v>
      </c>
      <c r="F162" s="21" t="s">
        <v>619</v>
      </c>
      <c r="G162" s="22" t="s">
        <v>91</v>
      </c>
      <c r="H162" s="23">
        <v>250000</v>
      </c>
      <c r="I162" s="121"/>
      <c r="J162" s="23"/>
      <c r="K162" s="24"/>
      <c r="L162" s="121"/>
      <c r="M162" s="121"/>
      <c r="N162" s="121"/>
      <c r="O162" s="121"/>
      <c r="P162" s="24"/>
      <c r="Q162" s="24"/>
      <c r="R162" s="121"/>
      <c r="S162" s="121"/>
      <c r="T162" s="24"/>
      <c r="U162" s="16">
        <f t="shared" si="20"/>
        <v>250000</v>
      </c>
      <c r="V162" s="23">
        <v>250000</v>
      </c>
      <c r="W162" s="122">
        <v>42149</v>
      </c>
      <c r="X162" s="17"/>
      <c r="Y162" s="22">
        <f t="shared" si="18"/>
        <v>0</v>
      </c>
      <c r="Z162" s="33"/>
      <c r="AA162" s="158"/>
    </row>
    <row r="163" spans="1:27" s="63" customFormat="1" ht="15.6">
      <c r="A163" s="27"/>
      <c r="B163" s="42">
        <v>42149</v>
      </c>
      <c r="C163" s="125" t="s">
        <v>624</v>
      </c>
      <c r="D163" s="52"/>
      <c r="E163" s="40" t="s">
        <v>101</v>
      </c>
      <c r="F163" s="21" t="s">
        <v>620</v>
      </c>
      <c r="G163" s="22" t="s">
        <v>91</v>
      </c>
      <c r="H163" s="23">
        <v>830000</v>
      </c>
      <c r="I163" s="121"/>
      <c r="J163" s="23"/>
      <c r="K163" s="24"/>
      <c r="L163" s="121"/>
      <c r="M163" s="121"/>
      <c r="N163" s="121"/>
      <c r="O163" s="121"/>
      <c r="P163" s="24"/>
      <c r="Q163" s="24"/>
      <c r="R163" s="121"/>
      <c r="S163" s="121"/>
      <c r="T163" s="24"/>
      <c r="U163" s="16">
        <f t="shared" si="20"/>
        <v>830000</v>
      </c>
      <c r="V163" s="23">
        <v>830000</v>
      </c>
      <c r="W163" s="122">
        <v>42149</v>
      </c>
      <c r="X163" s="17"/>
      <c r="Y163" s="22">
        <f t="shared" si="18"/>
        <v>0</v>
      </c>
      <c r="Z163" s="33"/>
      <c r="AA163" s="158"/>
    </row>
    <row r="164" spans="1:27" s="63" customFormat="1" ht="15.6">
      <c r="A164" s="27"/>
      <c r="B164" s="42">
        <v>42149</v>
      </c>
      <c r="C164" s="125" t="s">
        <v>625</v>
      </c>
      <c r="D164" s="52"/>
      <c r="E164" s="40" t="s">
        <v>101</v>
      </c>
      <c r="F164" s="21" t="s">
        <v>621</v>
      </c>
      <c r="G164" s="22" t="s">
        <v>91</v>
      </c>
      <c r="H164" s="23">
        <v>700000</v>
      </c>
      <c r="I164" s="121"/>
      <c r="J164" s="23"/>
      <c r="K164" s="24"/>
      <c r="L164" s="121"/>
      <c r="M164" s="121"/>
      <c r="N164" s="121"/>
      <c r="O164" s="121"/>
      <c r="P164" s="24"/>
      <c r="Q164" s="24"/>
      <c r="R164" s="121"/>
      <c r="S164" s="121"/>
      <c r="T164" s="24"/>
      <c r="U164" s="16">
        <f t="shared" si="20"/>
        <v>700000</v>
      </c>
      <c r="V164" s="23">
        <v>700000</v>
      </c>
      <c r="W164" s="122">
        <v>42149</v>
      </c>
      <c r="X164" s="17"/>
      <c r="Y164" s="22">
        <f t="shared" si="18"/>
        <v>0</v>
      </c>
      <c r="Z164" s="33"/>
      <c r="AA164" s="158"/>
    </row>
    <row r="165" spans="1:27" s="63" customFormat="1" ht="46.8">
      <c r="A165" s="23" t="s">
        <v>626</v>
      </c>
      <c r="B165" s="42">
        <v>42149</v>
      </c>
      <c r="C165" s="125" t="s">
        <v>627</v>
      </c>
      <c r="D165" s="20" t="s">
        <v>628</v>
      </c>
      <c r="E165" s="40" t="s">
        <v>361</v>
      </c>
      <c r="F165" s="21" t="s">
        <v>629</v>
      </c>
      <c r="G165" s="22" t="s">
        <v>102</v>
      </c>
      <c r="H165" s="23">
        <v>250000</v>
      </c>
      <c r="I165" s="121"/>
      <c r="J165" s="23"/>
      <c r="K165" s="24">
        <v>5750000</v>
      </c>
      <c r="L165" s="121"/>
      <c r="M165" s="121"/>
      <c r="N165" s="121"/>
      <c r="O165" s="121"/>
      <c r="P165" s="24"/>
      <c r="Q165" s="24"/>
      <c r="R165" s="121"/>
      <c r="S165" s="121"/>
      <c r="T165" s="24"/>
      <c r="U165" s="16">
        <f t="shared" si="20"/>
        <v>6000000</v>
      </c>
      <c r="V165" s="23">
        <v>3000000</v>
      </c>
      <c r="W165" s="122">
        <v>42152</v>
      </c>
      <c r="X165" s="17"/>
      <c r="Y165" s="22">
        <f t="shared" si="18"/>
        <v>3000000</v>
      </c>
      <c r="Z165" s="33" t="s">
        <v>509</v>
      </c>
      <c r="AA165" s="158"/>
    </row>
    <row r="166" spans="1:27" s="124" customFormat="1" ht="31.2">
      <c r="A166" s="27" t="s">
        <v>632</v>
      </c>
      <c r="B166" s="175">
        <v>42150</v>
      </c>
      <c r="C166" s="178" t="s">
        <v>633</v>
      </c>
      <c r="D166" s="179" t="s">
        <v>634</v>
      </c>
      <c r="E166" s="84"/>
      <c r="F166" s="30" t="s">
        <v>635</v>
      </c>
      <c r="G166" s="27" t="s">
        <v>28</v>
      </c>
      <c r="H166" s="27"/>
      <c r="I166" s="123"/>
      <c r="J166" s="27">
        <v>1440000</v>
      </c>
      <c r="K166" s="30"/>
      <c r="L166" s="123"/>
      <c r="M166" s="123"/>
      <c r="N166" s="123"/>
      <c r="O166" s="123"/>
      <c r="P166" s="30"/>
      <c r="Q166" s="30"/>
      <c r="R166" s="123"/>
      <c r="S166" s="123"/>
      <c r="T166" s="30"/>
      <c r="U166" s="85">
        <f t="shared" si="20"/>
        <v>1440000</v>
      </c>
      <c r="V166" s="27"/>
      <c r="W166" s="180"/>
      <c r="X166" s="81"/>
      <c r="Y166" s="22">
        <f t="shared" si="18"/>
        <v>1440000</v>
      </c>
      <c r="Z166" s="83" t="s">
        <v>464</v>
      </c>
      <c r="AA166" s="181"/>
    </row>
    <row r="167" spans="1:27" s="63" customFormat="1" ht="31.2">
      <c r="A167" s="27" t="s">
        <v>641</v>
      </c>
      <c r="B167" s="42">
        <v>42151</v>
      </c>
      <c r="C167" s="125" t="s">
        <v>446</v>
      </c>
      <c r="D167" s="20" t="s">
        <v>642</v>
      </c>
      <c r="E167" s="40" t="s">
        <v>643</v>
      </c>
      <c r="F167" s="21"/>
      <c r="G167" s="22" t="s">
        <v>28</v>
      </c>
      <c r="H167" s="23"/>
      <c r="I167" s="121"/>
      <c r="J167" s="23">
        <v>600000</v>
      </c>
      <c r="K167" s="24"/>
      <c r="L167" s="121"/>
      <c r="M167" s="121"/>
      <c r="N167" s="121"/>
      <c r="O167" s="121"/>
      <c r="P167" s="24"/>
      <c r="Q167" s="24"/>
      <c r="R167" s="121"/>
      <c r="S167" s="121"/>
      <c r="T167" s="24"/>
      <c r="U167" s="16">
        <f t="shared" si="20"/>
        <v>600000</v>
      </c>
      <c r="V167" s="23">
        <v>600000</v>
      </c>
      <c r="W167" s="122">
        <v>42157</v>
      </c>
      <c r="X167" s="17"/>
      <c r="Y167" s="22">
        <f t="shared" si="18"/>
        <v>0</v>
      </c>
      <c r="Z167" s="33"/>
      <c r="AA167" s="158"/>
    </row>
    <row r="168" spans="1:27" ht="31.2">
      <c r="A168" s="23" t="s">
        <v>645</v>
      </c>
      <c r="B168" s="17">
        <v>42150</v>
      </c>
      <c r="C168" s="125" t="s">
        <v>644</v>
      </c>
      <c r="D168" s="20" t="s">
        <v>646</v>
      </c>
      <c r="E168" s="40" t="s">
        <v>647</v>
      </c>
      <c r="F168" s="21"/>
      <c r="G168" s="22" t="s">
        <v>28</v>
      </c>
      <c r="H168" s="23"/>
      <c r="I168" s="57"/>
      <c r="J168" s="23">
        <v>1440000</v>
      </c>
      <c r="K168" s="24"/>
      <c r="L168" s="57"/>
      <c r="M168" s="57"/>
      <c r="N168" s="57"/>
      <c r="O168" s="57"/>
      <c r="P168" s="57"/>
      <c r="Q168" s="57"/>
      <c r="R168" s="57"/>
      <c r="S168" s="57"/>
      <c r="T168" s="24"/>
      <c r="U168" s="16">
        <f t="shared" si="20"/>
        <v>1440000</v>
      </c>
      <c r="V168" s="23">
        <v>1440000</v>
      </c>
      <c r="W168" s="122">
        <v>42156</v>
      </c>
      <c r="X168" s="17"/>
      <c r="Y168" s="22">
        <f t="shared" si="18"/>
        <v>0</v>
      </c>
      <c r="Z168" s="57"/>
    </row>
    <row r="169" spans="1:27" ht="31.2">
      <c r="A169" s="23" t="s">
        <v>637</v>
      </c>
      <c r="B169" s="17">
        <v>42151</v>
      </c>
      <c r="C169" s="18" t="s">
        <v>638</v>
      </c>
      <c r="D169" s="20">
        <v>39110102</v>
      </c>
      <c r="E169" s="40" t="s">
        <v>361</v>
      </c>
      <c r="F169" s="21" t="s">
        <v>639</v>
      </c>
      <c r="G169" s="22" t="s">
        <v>47</v>
      </c>
      <c r="H169" s="23"/>
      <c r="I169" s="57"/>
      <c r="J169" s="23"/>
      <c r="K169" s="24">
        <v>5000000</v>
      </c>
      <c r="L169" s="57"/>
      <c r="M169" s="57"/>
      <c r="N169" s="57"/>
      <c r="O169" s="57"/>
      <c r="P169" s="57"/>
      <c r="Q169" s="57"/>
      <c r="R169" s="57"/>
      <c r="S169" s="57"/>
      <c r="T169" s="24"/>
      <c r="U169" s="16">
        <f t="shared" si="20"/>
        <v>5000000</v>
      </c>
      <c r="V169" s="23">
        <f>2500000+2500000</f>
        <v>5000000</v>
      </c>
      <c r="W169" s="51" t="s">
        <v>884</v>
      </c>
      <c r="X169" s="40" t="s">
        <v>875</v>
      </c>
      <c r="Y169" s="22">
        <f t="shared" si="18"/>
        <v>0</v>
      </c>
      <c r="Z169" s="57"/>
    </row>
    <row r="170" spans="1:27" ht="15.6">
      <c r="A170" s="27"/>
      <c r="B170" s="17"/>
      <c r="C170" s="18" t="s">
        <v>491</v>
      </c>
      <c r="D170" s="20"/>
      <c r="E170" s="40" t="s">
        <v>101</v>
      </c>
      <c r="F170" s="21" t="s">
        <v>640</v>
      </c>
      <c r="G170" s="22" t="s">
        <v>91</v>
      </c>
      <c r="H170" s="23">
        <v>250000</v>
      </c>
      <c r="I170" s="57"/>
      <c r="J170" s="23"/>
      <c r="K170" s="24"/>
      <c r="L170" s="57"/>
      <c r="M170" s="57"/>
      <c r="N170" s="57"/>
      <c r="O170" s="57"/>
      <c r="P170" s="57"/>
      <c r="Q170" s="57"/>
      <c r="R170" s="57"/>
      <c r="S170" s="57"/>
      <c r="T170" s="24"/>
      <c r="U170" s="16">
        <f t="shared" si="20"/>
        <v>250000</v>
      </c>
      <c r="V170" s="23">
        <v>250000</v>
      </c>
      <c r="W170" s="122">
        <v>42151</v>
      </c>
      <c r="X170" s="57"/>
      <c r="Y170" s="22">
        <f t="shared" si="18"/>
        <v>0</v>
      </c>
      <c r="Z170" s="57"/>
    </row>
    <row r="171" spans="1:27" ht="31.2">
      <c r="A171" s="27" t="s">
        <v>649</v>
      </c>
      <c r="B171" s="17">
        <v>42152</v>
      </c>
      <c r="C171" s="18" t="s">
        <v>650</v>
      </c>
      <c r="D171" s="20"/>
      <c r="E171" s="40" t="s">
        <v>647</v>
      </c>
      <c r="F171" s="21"/>
      <c r="G171" s="22" t="s">
        <v>140</v>
      </c>
      <c r="H171" s="23"/>
      <c r="I171" s="57"/>
      <c r="J171" s="23">
        <v>1440000</v>
      </c>
      <c r="K171" s="24">
        <v>2200000</v>
      </c>
      <c r="L171" s="57"/>
      <c r="M171" s="57"/>
      <c r="N171" s="57"/>
      <c r="O171" s="57"/>
      <c r="P171" s="57"/>
      <c r="Q171" s="57"/>
      <c r="R171" s="57"/>
      <c r="S171" s="57"/>
      <c r="T171" s="24"/>
      <c r="U171" s="16">
        <f t="shared" si="20"/>
        <v>3640000</v>
      </c>
      <c r="V171" s="23">
        <v>500000</v>
      </c>
      <c r="W171" s="122">
        <v>42156</v>
      </c>
      <c r="X171" s="57"/>
      <c r="Y171" s="22">
        <f t="shared" si="18"/>
        <v>3140000</v>
      </c>
      <c r="Z171" s="57"/>
    </row>
    <row r="172" spans="1:27" ht="27.6">
      <c r="A172" s="27"/>
      <c r="B172" s="17"/>
      <c r="C172" s="18" t="s">
        <v>210</v>
      </c>
      <c r="D172" s="20"/>
      <c r="E172" s="40" t="s">
        <v>481</v>
      </c>
      <c r="F172" s="21" t="s">
        <v>212</v>
      </c>
      <c r="G172" s="22" t="s">
        <v>140</v>
      </c>
      <c r="H172" s="23"/>
      <c r="I172" s="57"/>
      <c r="J172" s="23"/>
      <c r="K172" s="24">
        <v>1500000</v>
      </c>
      <c r="L172" s="57"/>
      <c r="M172" s="57"/>
      <c r="N172" s="57"/>
      <c r="O172" s="57"/>
      <c r="P172" s="57"/>
      <c r="Q172" s="57"/>
      <c r="R172" s="57"/>
      <c r="S172" s="57"/>
      <c r="T172" s="24"/>
      <c r="U172" s="16">
        <f t="shared" si="20"/>
        <v>1500000</v>
      </c>
      <c r="V172" s="23">
        <v>1500000</v>
      </c>
      <c r="W172" s="57"/>
      <c r="X172" s="57"/>
      <c r="Y172" s="22">
        <f t="shared" si="18"/>
        <v>0</v>
      </c>
      <c r="Z172" s="40" t="s">
        <v>699</v>
      </c>
    </row>
    <row r="173" spans="1:27" ht="27.6">
      <c r="A173" s="27"/>
      <c r="B173" s="17">
        <v>42154</v>
      </c>
      <c r="C173" s="18" t="s">
        <v>762</v>
      </c>
      <c r="D173" s="20"/>
      <c r="E173" s="40"/>
      <c r="F173" s="21" t="s">
        <v>690</v>
      </c>
      <c r="G173" s="22" t="s">
        <v>602</v>
      </c>
      <c r="H173" s="23">
        <v>350000</v>
      </c>
      <c r="I173" s="57"/>
      <c r="J173" s="23">
        <v>1440000</v>
      </c>
      <c r="K173" s="24"/>
      <c r="L173" s="57"/>
      <c r="M173" s="57"/>
      <c r="N173" s="57"/>
      <c r="O173" s="57"/>
      <c r="P173" s="57"/>
      <c r="Q173" s="57"/>
      <c r="R173" s="57"/>
      <c r="S173" s="57"/>
      <c r="T173" s="24"/>
      <c r="U173" s="16">
        <f t="shared" si="20"/>
        <v>1790000</v>
      </c>
      <c r="V173" s="23">
        <v>1790000</v>
      </c>
      <c r="W173" s="122">
        <v>42185</v>
      </c>
      <c r="X173" s="57"/>
      <c r="Y173" s="22">
        <f t="shared" si="18"/>
        <v>0</v>
      </c>
      <c r="Z173" s="57"/>
    </row>
    <row r="174" spans="1:27" ht="15.6">
      <c r="A174" s="27"/>
      <c r="B174" s="17"/>
      <c r="C174" s="79" t="s">
        <v>107</v>
      </c>
      <c r="D174" s="57"/>
      <c r="E174" s="57"/>
      <c r="F174" s="57"/>
      <c r="G174" s="57"/>
      <c r="H174" s="80">
        <f>SUM(H140:H169)</f>
        <v>8570000</v>
      </c>
      <c r="I174" s="80">
        <f t="shared" ref="I174:X174" si="22">SUM(I140:I169)</f>
        <v>0</v>
      </c>
      <c r="J174" s="80">
        <f t="shared" si="22"/>
        <v>32448000</v>
      </c>
      <c r="K174" s="80">
        <f t="shared" si="22"/>
        <v>29650000</v>
      </c>
      <c r="L174" s="80">
        <f t="shared" si="22"/>
        <v>500000</v>
      </c>
      <c r="M174" s="80">
        <f t="shared" si="22"/>
        <v>0</v>
      </c>
      <c r="N174" s="80">
        <f t="shared" si="22"/>
        <v>0</v>
      </c>
      <c r="O174" s="80">
        <f t="shared" si="22"/>
        <v>0</v>
      </c>
      <c r="P174" s="80">
        <f t="shared" si="22"/>
        <v>0</v>
      </c>
      <c r="Q174" s="80">
        <f t="shared" si="22"/>
        <v>0</v>
      </c>
      <c r="R174" s="80">
        <f t="shared" si="22"/>
        <v>0</v>
      </c>
      <c r="S174" s="80">
        <f t="shared" si="22"/>
        <v>0</v>
      </c>
      <c r="T174" s="80">
        <f t="shared" si="22"/>
        <v>806000</v>
      </c>
      <c r="U174" s="80">
        <f t="shared" si="22"/>
        <v>66474000</v>
      </c>
      <c r="V174" s="80">
        <f t="shared" si="22"/>
        <v>52884000</v>
      </c>
      <c r="W174" s="80"/>
      <c r="X174" s="80">
        <f t="shared" si="22"/>
        <v>0</v>
      </c>
      <c r="Y174" s="22">
        <f t="shared" si="18"/>
        <v>13590000</v>
      </c>
      <c r="Z174" s="57"/>
    </row>
    <row r="175" spans="1:27" ht="15.6">
      <c r="A175" s="16" t="s">
        <v>651</v>
      </c>
      <c r="B175" s="17"/>
      <c r="C175" s="18"/>
      <c r="D175" s="19"/>
      <c r="E175" s="20"/>
      <c r="F175" s="21"/>
      <c r="G175" s="22"/>
      <c r="H175" s="23"/>
      <c r="I175" s="24"/>
      <c r="J175" s="23"/>
      <c r="K175" s="24"/>
      <c r="L175" s="24"/>
      <c r="M175" s="23"/>
      <c r="N175" s="24"/>
      <c r="O175" s="24"/>
      <c r="P175" s="24"/>
      <c r="Q175" s="24"/>
      <c r="R175" s="24"/>
      <c r="S175" s="24"/>
      <c r="T175" s="24"/>
      <c r="U175" s="16">
        <f>+SUM(H175:T175)</f>
        <v>0</v>
      </c>
      <c r="V175" s="23"/>
      <c r="W175" s="17"/>
      <c r="X175" s="17"/>
      <c r="Y175" s="22">
        <f t="shared" si="18"/>
        <v>0</v>
      </c>
      <c r="Z175" s="25"/>
      <c r="AA175" s="26"/>
    </row>
    <row r="176" spans="1:27" ht="31.2">
      <c r="A176" s="27"/>
      <c r="B176" s="17">
        <v>42156</v>
      </c>
      <c r="C176" s="125" t="s">
        <v>819</v>
      </c>
      <c r="D176" s="20"/>
      <c r="E176" s="40" t="s">
        <v>361</v>
      </c>
      <c r="F176" s="21"/>
      <c r="G176" s="22" t="s">
        <v>102</v>
      </c>
      <c r="H176" s="23"/>
      <c r="I176" s="24"/>
      <c r="J176" s="23"/>
      <c r="K176" s="24">
        <v>3500000</v>
      </c>
      <c r="L176" s="24"/>
      <c r="M176" s="23"/>
      <c r="N176" s="24"/>
      <c r="O176" s="24"/>
      <c r="P176" s="24"/>
      <c r="Q176" s="24"/>
      <c r="R176" s="24"/>
      <c r="S176" s="24"/>
      <c r="T176" s="24"/>
      <c r="U176" s="16">
        <f>+SUM(H176:T176)</f>
        <v>3500000</v>
      </c>
      <c r="V176" s="23">
        <v>1750000</v>
      </c>
      <c r="W176" s="17"/>
      <c r="X176" s="17"/>
      <c r="Y176" s="22">
        <f t="shared" si="18"/>
        <v>1750000</v>
      </c>
      <c r="Z176" s="62" t="s">
        <v>761</v>
      </c>
      <c r="AA176" s="29"/>
    </row>
    <row r="177" spans="1:27" ht="31.2">
      <c r="A177" s="27" t="s">
        <v>655</v>
      </c>
      <c r="B177" s="17">
        <v>42159</v>
      </c>
      <c r="C177" s="125" t="s">
        <v>656</v>
      </c>
      <c r="D177" s="20">
        <v>838409861</v>
      </c>
      <c r="E177" s="28" t="s">
        <v>96</v>
      </c>
      <c r="F177" s="21" t="s">
        <v>657</v>
      </c>
      <c r="G177" s="22" t="s">
        <v>91</v>
      </c>
      <c r="H177" s="23">
        <v>258000</v>
      </c>
      <c r="I177" s="24"/>
      <c r="J177" s="23">
        <v>1440000</v>
      </c>
      <c r="K177" s="24"/>
      <c r="L177" s="24"/>
      <c r="M177" s="23"/>
      <c r="N177" s="24"/>
      <c r="O177" s="24"/>
      <c r="P177" s="24"/>
      <c r="Q177" s="24"/>
      <c r="R177" s="24"/>
      <c r="S177" s="24"/>
      <c r="T177" s="24">
        <v>169800</v>
      </c>
      <c r="U177" s="16">
        <f>+SUM(H177:T177)</f>
        <v>1867800</v>
      </c>
      <c r="V177" s="23">
        <v>1867800</v>
      </c>
      <c r="W177" s="17">
        <v>42165</v>
      </c>
      <c r="X177" s="17" t="s">
        <v>658</v>
      </c>
      <c r="Y177" s="22">
        <f t="shared" si="18"/>
        <v>0</v>
      </c>
      <c r="Z177" s="62" t="s">
        <v>528</v>
      </c>
      <c r="AA177" s="29"/>
    </row>
    <row r="178" spans="1:27" ht="31.2">
      <c r="A178" s="27"/>
      <c r="B178" s="17">
        <v>42159</v>
      </c>
      <c r="C178" s="125" t="s">
        <v>659</v>
      </c>
      <c r="D178" s="20">
        <v>838409861</v>
      </c>
      <c r="E178" s="28" t="s">
        <v>661</v>
      </c>
      <c r="F178" s="21" t="s">
        <v>660</v>
      </c>
      <c r="G178" s="22" t="s">
        <v>125</v>
      </c>
      <c r="H178" s="23">
        <v>250000</v>
      </c>
      <c r="I178" s="24"/>
      <c r="J178" s="23">
        <v>660000</v>
      </c>
      <c r="K178" s="24"/>
      <c r="L178" s="24"/>
      <c r="M178" s="23"/>
      <c r="N178" s="24"/>
      <c r="O178" s="24"/>
      <c r="P178" s="24"/>
      <c r="Q178" s="24"/>
      <c r="R178" s="24"/>
      <c r="S178" s="24"/>
      <c r="T178" s="24"/>
      <c r="U178" s="16">
        <f t="shared" ref="U178:U219" si="23">+SUM(H178:T178)</f>
        <v>910000</v>
      </c>
      <c r="V178" s="23">
        <v>910000</v>
      </c>
      <c r="W178" s="17">
        <v>42159</v>
      </c>
      <c r="X178" s="17"/>
      <c r="Y178" s="22">
        <f t="shared" si="18"/>
        <v>0</v>
      </c>
      <c r="Z178" s="62"/>
      <c r="AA178" s="29"/>
    </row>
    <row r="179" spans="1:27" ht="31.2">
      <c r="A179" s="23" t="s">
        <v>669</v>
      </c>
      <c r="B179" s="17">
        <v>42160</v>
      </c>
      <c r="C179" s="18" t="s">
        <v>670</v>
      </c>
      <c r="D179" s="20">
        <v>866742424</v>
      </c>
      <c r="E179" s="28" t="s">
        <v>224</v>
      </c>
      <c r="F179" s="21" t="s">
        <v>783</v>
      </c>
      <c r="G179" s="22" t="s">
        <v>47</v>
      </c>
      <c r="H179" s="23"/>
      <c r="I179" s="57"/>
      <c r="J179" s="23"/>
      <c r="K179" s="24">
        <v>7500000</v>
      </c>
      <c r="L179" s="57"/>
      <c r="M179" s="57"/>
      <c r="N179" s="57"/>
      <c r="O179" s="57"/>
      <c r="P179" s="57"/>
      <c r="Q179" s="57"/>
      <c r="R179" s="76"/>
      <c r="S179" s="24">
        <v>375000</v>
      </c>
      <c r="T179" s="24"/>
      <c r="U179" s="16">
        <f>+SUM(H179:T179)-S179</f>
        <v>7500000</v>
      </c>
      <c r="V179" s="23">
        <v>3750000</v>
      </c>
      <c r="W179" s="17">
        <v>42160</v>
      </c>
      <c r="X179" s="17"/>
      <c r="Y179" s="22">
        <f t="shared" si="18"/>
        <v>3750000</v>
      </c>
      <c r="Z179" s="163" t="s">
        <v>671</v>
      </c>
    </row>
    <row r="180" spans="1:27" s="124" customFormat="1" ht="31.2">
      <c r="A180" s="23" t="s">
        <v>663</v>
      </c>
      <c r="B180" s="17">
        <v>42160</v>
      </c>
      <c r="C180" s="18" t="s">
        <v>664</v>
      </c>
      <c r="D180" s="20">
        <v>866742424</v>
      </c>
      <c r="E180" s="28" t="s">
        <v>224</v>
      </c>
      <c r="F180" s="21" t="s">
        <v>665</v>
      </c>
      <c r="G180" s="23" t="s">
        <v>47</v>
      </c>
      <c r="H180" s="23"/>
      <c r="I180" s="123"/>
      <c r="J180" s="23"/>
      <c r="K180" s="24">
        <v>7500000</v>
      </c>
      <c r="L180" s="123"/>
      <c r="M180" s="123"/>
      <c r="N180" s="27"/>
      <c r="O180" s="27"/>
      <c r="P180" s="27"/>
      <c r="Q180" s="27"/>
      <c r="R180" s="27"/>
      <c r="S180" s="24">
        <v>375000</v>
      </c>
      <c r="T180" s="24"/>
      <c r="U180" s="16">
        <f>+SUM(H180:T180)-S180</f>
        <v>7500000</v>
      </c>
      <c r="V180" s="23">
        <v>3750000</v>
      </c>
      <c r="W180" s="17">
        <v>42160</v>
      </c>
      <c r="X180" s="17"/>
      <c r="Y180" s="22">
        <f t="shared" si="18"/>
        <v>3750000</v>
      </c>
      <c r="Z180" s="163" t="s">
        <v>671</v>
      </c>
    </row>
    <row r="181" spans="1:27" s="124" customFormat="1" ht="31.2">
      <c r="A181" s="23" t="s">
        <v>662</v>
      </c>
      <c r="B181" s="17">
        <v>42160</v>
      </c>
      <c r="C181" s="18" t="s">
        <v>664</v>
      </c>
      <c r="D181" s="20">
        <v>866742424</v>
      </c>
      <c r="E181" s="28" t="s">
        <v>336</v>
      </c>
      <c r="F181" s="21"/>
      <c r="G181" s="23" t="s">
        <v>47</v>
      </c>
      <c r="H181" s="23"/>
      <c r="I181" s="123"/>
      <c r="J181" s="23">
        <v>2160000</v>
      </c>
      <c r="K181" s="24"/>
      <c r="L181" s="123"/>
      <c r="M181" s="123"/>
      <c r="N181" s="27"/>
      <c r="O181" s="27"/>
      <c r="P181" s="27"/>
      <c r="Q181" s="27"/>
      <c r="R181" s="27"/>
      <c r="S181" s="24"/>
      <c r="T181" s="24">
        <v>216000</v>
      </c>
      <c r="U181" s="16">
        <f t="shared" si="23"/>
        <v>2376000</v>
      </c>
      <c r="V181" s="23">
        <v>2376000</v>
      </c>
      <c r="W181" s="17">
        <v>42160</v>
      </c>
      <c r="X181" s="17" t="s">
        <v>687</v>
      </c>
      <c r="Y181" s="22">
        <f t="shared" si="18"/>
        <v>0</v>
      </c>
      <c r="Z181" s="163" t="s">
        <v>671</v>
      </c>
    </row>
    <row r="182" spans="1:27" s="124" customFormat="1" ht="31.2">
      <c r="A182" s="64"/>
      <c r="B182" s="65">
        <v>42160</v>
      </c>
      <c r="C182" s="135" t="s">
        <v>666</v>
      </c>
      <c r="D182" s="77"/>
      <c r="E182" s="77" t="s">
        <v>667</v>
      </c>
      <c r="F182" s="68"/>
      <c r="G182" s="70" t="s">
        <v>953</v>
      </c>
      <c r="H182" s="70"/>
      <c r="I182" s="95"/>
      <c r="J182" s="70">
        <v>1920000</v>
      </c>
      <c r="K182" s="90"/>
      <c r="L182" s="95"/>
      <c r="M182" s="95"/>
      <c r="N182" s="64"/>
      <c r="O182" s="64"/>
      <c r="P182" s="64"/>
      <c r="Q182" s="64"/>
      <c r="R182" s="64"/>
      <c r="S182" s="64"/>
      <c r="T182" s="90">
        <v>192000</v>
      </c>
      <c r="U182" s="72">
        <f t="shared" si="23"/>
        <v>2112000</v>
      </c>
      <c r="V182" s="70">
        <v>2112000</v>
      </c>
      <c r="W182" s="65"/>
      <c r="X182" s="65" t="s">
        <v>668</v>
      </c>
      <c r="Y182" s="22">
        <f t="shared" si="18"/>
        <v>0</v>
      </c>
      <c r="Z182" s="66"/>
    </row>
    <row r="183" spans="1:27" s="124" customFormat="1" ht="15.6">
      <c r="A183" s="27"/>
      <c r="B183" s="128">
        <v>42163</v>
      </c>
      <c r="C183" s="129" t="s">
        <v>681</v>
      </c>
      <c r="D183" s="62"/>
      <c r="E183" s="40" t="s">
        <v>310</v>
      </c>
      <c r="F183" s="21" t="s">
        <v>680</v>
      </c>
      <c r="G183" s="23" t="s">
        <v>91</v>
      </c>
      <c r="H183" s="23">
        <v>480000</v>
      </c>
      <c r="I183" s="123"/>
      <c r="J183" s="23"/>
      <c r="K183" s="24"/>
      <c r="L183" s="123"/>
      <c r="M183" s="123"/>
      <c r="N183" s="27"/>
      <c r="O183" s="27"/>
      <c r="P183" s="27"/>
      <c r="Q183" s="27"/>
      <c r="R183" s="27"/>
      <c r="S183" s="27"/>
      <c r="T183" s="24"/>
      <c r="U183" s="16">
        <f t="shared" si="23"/>
        <v>480000</v>
      </c>
      <c r="V183" s="23">
        <v>480000</v>
      </c>
      <c r="W183" s="17">
        <v>42163</v>
      </c>
      <c r="X183" s="17"/>
      <c r="Y183" s="22">
        <f t="shared" si="18"/>
        <v>0</v>
      </c>
      <c r="Z183" s="18"/>
    </row>
    <row r="184" spans="1:27" s="124" customFormat="1" ht="27.6">
      <c r="A184" s="23"/>
      <c r="B184" s="128">
        <v>42163</v>
      </c>
      <c r="C184" s="129" t="s">
        <v>682</v>
      </c>
      <c r="D184" s="62"/>
      <c r="E184" s="40" t="s">
        <v>101</v>
      </c>
      <c r="F184" s="21" t="s">
        <v>621</v>
      </c>
      <c r="G184" s="23" t="s">
        <v>91</v>
      </c>
      <c r="H184" s="23">
        <v>700000</v>
      </c>
      <c r="I184" s="123"/>
      <c r="J184" s="23"/>
      <c r="K184" s="24"/>
      <c r="L184" s="123"/>
      <c r="M184" s="123"/>
      <c r="N184" s="27"/>
      <c r="O184" s="27"/>
      <c r="P184" s="27"/>
      <c r="Q184" s="27"/>
      <c r="R184" s="27"/>
      <c r="S184" s="27"/>
      <c r="T184" s="24"/>
      <c r="U184" s="16">
        <f t="shared" si="23"/>
        <v>700000</v>
      </c>
      <c r="V184" s="23">
        <v>700000</v>
      </c>
      <c r="W184" s="17">
        <v>42163</v>
      </c>
      <c r="X184" s="17"/>
      <c r="Y184" s="22">
        <f t="shared" si="18"/>
        <v>0</v>
      </c>
      <c r="Z184" s="18"/>
    </row>
    <row r="185" spans="1:27" s="124" customFormat="1" ht="31.2">
      <c r="A185" s="27"/>
      <c r="B185" s="128">
        <v>42163</v>
      </c>
      <c r="C185" s="129" t="s">
        <v>686</v>
      </c>
      <c r="D185" s="62"/>
      <c r="E185" s="40" t="s">
        <v>96</v>
      </c>
      <c r="F185" s="21" t="s">
        <v>684</v>
      </c>
      <c r="G185" s="23" t="s">
        <v>275</v>
      </c>
      <c r="H185" s="23">
        <v>250000</v>
      </c>
      <c r="I185" s="123"/>
      <c r="J185" s="23">
        <v>1440000</v>
      </c>
      <c r="K185" s="24"/>
      <c r="L185" s="123"/>
      <c r="M185" s="123"/>
      <c r="N185" s="27"/>
      <c r="O185" s="27"/>
      <c r="P185" s="27"/>
      <c r="Q185" s="27"/>
      <c r="R185" s="27"/>
      <c r="S185" s="27"/>
      <c r="T185" s="24"/>
      <c r="U185" s="16">
        <f t="shared" si="23"/>
        <v>1690000</v>
      </c>
      <c r="V185" s="23">
        <v>1690000</v>
      </c>
      <c r="W185" s="17">
        <v>42163</v>
      </c>
      <c r="X185" s="17"/>
      <c r="Y185" s="22">
        <f t="shared" si="18"/>
        <v>0</v>
      </c>
      <c r="Z185" s="18"/>
    </row>
    <row r="186" spans="1:27" s="124" customFormat="1" ht="31.2">
      <c r="A186" s="23"/>
      <c r="B186" s="128">
        <v>42163</v>
      </c>
      <c r="C186" s="160" t="s">
        <v>691</v>
      </c>
      <c r="D186" s="62"/>
      <c r="E186" s="40" t="s">
        <v>96</v>
      </c>
      <c r="F186" s="21" t="s">
        <v>482</v>
      </c>
      <c r="G186" s="23" t="s">
        <v>140</v>
      </c>
      <c r="H186" s="23">
        <v>250000</v>
      </c>
      <c r="I186" s="123"/>
      <c r="J186" s="23">
        <v>1440000</v>
      </c>
      <c r="K186" s="24"/>
      <c r="L186" s="123"/>
      <c r="M186" s="123"/>
      <c r="N186" s="27"/>
      <c r="O186" s="27"/>
      <c r="P186" s="27"/>
      <c r="Q186" s="27"/>
      <c r="R186" s="27"/>
      <c r="S186" s="27"/>
      <c r="T186" s="24">
        <v>169000</v>
      </c>
      <c r="U186" s="16">
        <f t="shared" si="23"/>
        <v>1859000</v>
      </c>
      <c r="V186" s="23">
        <v>1859000</v>
      </c>
      <c r="W186" s="17">
        <v>42163</v>
      </c>
      <c r="X186" s="17"/>
      <c r="Y186" s="22">
        <f t="shared" si="18"/>
        <v>0</v>
      </c>
      <c r="Z186" s="18"/>
    </row>
    <row r="187" spans="1:27" s="124" customFormat="1" ht="15.6">
      <c r="A187" s="23"/>
      <c r="B187" s="128">
        <v>42163</v>
      </c>
      <c r="C187" s="129" t="s">
        <v>692</v>
      </c>
      <c r="D187" s="62"/>
      <c r="E187" s="40" t="s">
        <v>600</v>
      </c>
      <c r="F187" s="21"/>
      <c r="G187" s="23" t="s">
        <v>91</v>
      </c>
      <c r="H187" s="23"/>
      <c r="I187" s="123"/>
      <c r="J187" s="23">
        <v>900000</v>
      </c>
      <c r="K187" s="24"/>
      <c r="L187" s="123"/>
      <c r="M187" s="123"/>
      <c r="N187" s="27"/>
      <c r="O187" s="27"/>
      <c r="P187" s="27"/>
      <c r="Q187" s="27"/>
      <c r="R187" s="27"/>
      <c r="S187" s="27"/>
      <c r="T187" s="24">
        <v>90000</v>
      </c>
      <c r="U187" s="16">
        <f t="shared" si="23"/>
        <v>990000</v>
      </c>
      <c r="V187" s="23">
        <v>990000</v>
      </c>
      <c r="W187" s="17">
        <v>42163</v>
      </c>
      <c r="X187" s="17"/>
      <c r="Y187" s="22">
        <f t="shared" si="18"/>
        <v>0</v>
      </c>
      <c r="Z187" s="18"/>
    </row>
    <row r="188" spans="1:27" s="124" customFormat="1" ht="31.2">
      <c r="A188" s="27" t="s">
        <v>693</v>
      </c>
      <c r="B188" s="128">
        <v>42164</v>
      </c>
      <c r="C188" s="129" t="s">
        <v>694</v>
      </c>
      <c r="D188" s="62">
        <v>909205656</v>
      </c>
      <c r="E188" s="40" t="s">
        <v>361</v>
      </c>
      <c r="F188" s="21" t="s">
        <v>894</v>
      </c>
      <c r="G188" s="23" t="s">
        <v>140</v>
      </c>
      <c r="H188" s="23"/>
      <c r="I188" s="123"/>
      <c r="J188" s="23"/>
      <c r="K188" s="24">
        <v>6000000</v>
      </c>
      <c r="L188" s="23"/>
      <c r="M188" s="123"/>
      <c r="N188" s="27"/>
      <c r="O188" s="27"/>
      <c r="P188" s="27"/>
      <c r="Q188" s="27"/>
      <c r="R188" s="27"/>
      <c r="S188" s="27"/>
      <c r="T188" s="24"/>
      <c r="U188" s="16">
        <f t="shared" si="23"/>
        <v>6000000</v>
      </c>
      <c r="V188" s="23">
        <v>3000000</v>
      </c>
      <c r="W188" s="17">
        <v>42165</v>
      </c>
      <c r="X188" s="17"/>
      <c r="Y188" s="22">
        <f t="shared" si="18"/>
        <v>3000000</v>
      </c>
      <c r="Z188" s="18"/>
    </row>
    <row r="189" spans="1:27" s="124" customFormat="1" ht="31.2">
      <c r="A189" s="27" t="s">
        <v>695</v>
      </c>
      <c r="B189" s="128">
        <v>42165</v>
      </c>
      <c r="C189" s="129" t="s">
        <v>696</v>
      </c>
      <c r="D189" s="62">
        <v>6513632161</v>
      </c>
      <c r="E189" s="40" t="s">
        <v>697</v>
      </c>
      <c r="F189" s="21"/>
      <c r="G189" s="23" t="s">
        <v>91</v>
      </c>
      <c r="H189" s="23"/>
      <c r="I189" s="123"/>
      <c r="J189" s="23"/>
      <c r="K189" s="24"/>
      <c r="L189" s="123"/>
      <c r="M189" s="123"/>
      <c r="N189" s="27"/>
      <c r="O189" s="27"/>
      <c r="P189" s="27"/>
      <c r="Q189" s="23">
        <v>16500000</v>
      </c>
      <c r="R189" s="23"/>
      <c r="S189" s="27"/>
      <c r="T189" s="24">
        <v>1650000</v>
      </c>
      <c r="U189" s="16">
        <f t="shared" si="23"/>
        <v>18150000</v>
      </c>
      <c r="V189" s="23">
        <v>18150000</v>
      </c>
      <c r="W189" s="17">
        <v>42171</v>
      </c>
      <c r="X189" s="17" t="s">
        <v>698</v>
      </c>
      <c r="Y189" s="22">
        <f t="shared" si="18"/>
        <v>0</v>
      </c>
      <c r="Z189" s="18" t="s">
        <v>734</v>
      </c>
    </row>
    <row r="190" spans="1:27" s="124" customFormat="1" ht="31.2">
      <c r="A190" s="27" t="s">
        <v>700</v>
      </c>
      <c r="B190" s="128">
        <v>42165</v>
      </c>
      <c r="C190" s="129" t="s">
        <v>701</v>
      </c>
      <c r="D190" s="62">
        <v>916285168</v>
      </c>
      <c r="E190" s="40" t="s">
        <v>361</v>
      </c>
      <c r="F190" s="21" t="s">
        <v>702</v>
      </c>
      <c r="G190" s="23" t="s">
        <v>91</v>
      </c>
      <c r="H190" s="23">
        <v>250000</v>
      </c>
      <c r="I190" s="123"/>
      <c r="J190" s="23">
        <v>1440000</v>
      </c>
      <c r="K190" s="24"/>
      <c r="L190" s="123"/>
      <c r="M190" s="123"/>
      <c r="N190" s="27"/>
      <c r="O190" s="27"/>
      <c r="P190" s="27"/>
      <c r="Q190" s="27"/>
      <c r="R190" s="27"/>
      <c r="S190" s="27"/>
      <c r="T190" s="24"/>
      <c r="U190" s="16">
        <f t="shared" si="23"/>
        <v>1690000</v>
      </c>
      <c r="V190" s="23">
        <v>1690000</v>
      </c>
      <c r="W190" s="17">
        <v>42171</v>
      </c>
      <c r="X190" s="17"/>
      <c r="Y190" s="22">
        <f t="shared" si="18"/>
        <v>0</v>
      </c>
      <c r="Z190" s="82"/>
    </row>
    <row r="191" spans="1:27" s="63" customFormat="1" ht="31.2">
      <c r="A191" s="164" t="s">
        <v>703</v>
      </c>
      <c r="B191" s="165">
        <v>42166</v>
      </c>
      <c r="C191" s="166" t="s">
        <v>704</v>
      </c>
      <c r="D191" s="167" t="s">
        <v>705</v>
      </c>
      <c r="E191" s="168" t="s">
        <v>706</v>
      </c>
      <c r="F191" s="169"/>
      <c r="G191" s="170" t="s">
        <v>28</v>
      </c>
      <c r="H191" s="164"/>
      <c r="I191" s="171"/>
      <c r="J191" s="164"/>
      <c r="K191" s="171">
        <v>3000000</v>
      </c>
      <c r="L191" s="171"/>
      <c r="M191" s="164"/>
      <c r="N191" s="171"/>
      <c r="O191" s="171"/>
      <c r="P191" s="171"/>
      <c r="Q191" s="171"/>
      <c r="R191" s="171"/>
      <c r="S191" s="171"/>
      <c r="T191" s="171"/>
      <c r="U191" s="172">
        <f t="shared" si="23"/>
        <v>3000000</v>
      </c>
      <c r="V191" s="164">
        <v>3000000</v>
      </c>
      <c r="W191" s="165">
        <v>42166</v>
      </c>
      <c r="X191" s="165"/>
      <c r="Y191" s="22">
        <f t="shared" si="18"/>
        <v>0</v>
      </c>
      <c r="Z191" s="173"/>
      <c r="AA191" s="29"/>
    </row>
    <row r="192" spans="1:27" s="124" customFormat="1" ht="46.8">
      <c r="A192" s="27"/>
      <c r="B192" s="128">
        <v>42167</v>
      </c>
      <c r="C192" s="129" t="s">
        <v>633</v>
      </c>
      <c r="D192" s="62"/>
      <c r="E192" s="28" t="s">
        <v>101</v>
      </c>
      <c r="F192" s="21" t="s">
        <v>707</v>
      </c>
      <c r="G192" s="23" t="s">
        <v>28</v>
      </c>
      <c r="H192" s="23">
        <v>750000</v>
      </c>
      <c r="I192" s="123"/>
      <c r="J192" s="23"/>
      <c r="K192" s="24"/>
      <c r="L192" s="123"/>
      <c r="M192" s="123"/>
      <c r="N192" s="27"/>
      <c r="O192" s="27"/>
      <c r="P192" s="27"/>
      <c r="Q192" s="27"/>
      <c r="R192" s="27"/>
      <c r="S192" s="27"/>
      <c r="T192" s="24"/>
      <c r="U192" s="16">
        <f t="shared" si="23"/>
        <v>750000</v>
      </c>
      <c r="V192" s="23">
        <v>750000</v>
      </c>
      <c r="W192" s="17">
        <v>42167</v>
      </c>
      <c r="X192" s="17"/>
      <c r="Y192" s="22">
        <f t="shared" si="18"/>
        <v>0</v>
      </c>
      <c r="Z192" s="18"/>
    </row>
    <row r="193" spans="1:27" s="124" customFormat="1" ht="46.8">
      <c r="A193" s="23" t="s">
        <v>708</v>
      </c>
      <c r="B193" s="42">
        <v>42170</v>
      </c>
      <c r="C193" s="129" t="s">
        <v>709</v>
      </c>
      <c r="D193" s="62" t="s">
        <v>710</v>
      </c>
      <c r="E193" s="28" t="s">
        <v>600</v>
      </c>
      <c r="F193" s="21" t="s">
        <v>711</v>
      </c>
      <c r="G193" s="23" t="s">
        <v>28</v>
      </c>
      <c r="H193" s="23"/>
      <c r="I193" s="123"/>
      <c r="J193" s="23">
        <v>1440000</v>
      </c>
      <c r="K193" s="24"/>
      <c r="L193" s="123"/>
      <c r="M193" s="123"/>
      <c r="N193" s="27"/>
      <c r="O193" s="27"/>
      <c r="P193" s="27"/>
      <c r="Q193" s="27"/>
      <c r="R193" s="27"/>
      <c r="S193" s="27"/>
      <c r="T193" s="24">
        <v>144000</v>
      </c>
      <c r="U193" s="16">
        <f t="shared" si="23"/>
        <v>1584000</v>
      </c>
      <c r="V193" s="23">
        <v>1584000</v>
      </c>
      <c r="W193" s="17">
        <v>42172</v>
      </c>
      <c r="X193" s="17" t="s">
        <v>716</v>
      </c>
      <c r="Y193" s="22">
        <f t="shared" si="18"/>
        <v>0</v>
      </c>
      <c r="Z193" s="82"/>
    </row>
    <row r="194" spans="1:27" s="63" customFormat="1" ht="31.2">
      <c r="A194" s="27" t="s">
        <v>712</v>
      </c>
      <c r="B194" s="42">
        <v>42170</v>
      </c>
      <c r="C194" s="125" t="s">
        <v>713</v>
      </c>
      <c r="D194" s="20" t="s">
        <v>714</v>
      </c>
      <c r="E194" s="40" t="s">
        <v>96</v>
      </c>
      <c r="F194" s="21" t="s">
        <v>715</v>
      </c>
      <c r="G194" s="23" t="s">
        <v>28</v>
      </c>
      <c r="H194" s="23">
        <v>250000</v>
      </c>
      <c r="I194" s="121"/>
      <c r="J194" s="23">
        <v>1440000</v>
      </c>
      <c r="K194" s="24"/>
      <c r="L194" s="121"/>
      <c r="M194" s="121"/>
      <c r="N194" s="121"/>
      <c r="O194" s="121"/>
      <c r="P194" s="24"/>
      <c r="Q194" s="24"/>
      <c r="R194" s="121"/>
      <c r="S194" s="121"/>
      <c r="T194" s="24">
        <v>169000</v>
      </c>
      <c r="U194" s="16">
        <f t="shared" si="23"/>
        <v>1859000</v>
      </c>
      <c r="V194" s="23">
        <v>1859000</v>
      </c>
      <c r="W194" s="122">
        <v>42177</v>
      </c>
      <c r="X194" s="17" t="s">
        <v>717</v>
      </c>
      <c r="Y194" s="22">
        <f t="shared" si="18"/>
        <v>0</v>
      </c>
      <c r="Z194" s="33"/>
      <c r="AA194" s="158"/>
    </row>
    <row r="195" spans="1:27" s="63" customFormat="1" ht="31.2">
      <c r="A195" s="23" t="s">
        <v>708</v>
      </c>
      <c r="B195" s="42">
        <v>42170</v>
      </c>
      <c r="C195" s="125" t="s">
        <v>719</v>
      </c>
      <c r="D195" s="52" t="s">
        <v>796</v>
      </c>
      <c r="E195" s="40" t="s">
        <v>347</v>
      </c>
      <c r="F195" s="21" t="s">
        <v>718</v>
      </c>
      <c r="G195" s="22" t="s">
        <v>91</v>
      </c>
      <c r="H195" s="23">
        <v>500000</v>
      </c>
      <c r="I195" s="121"/>
      <c r="J195" s="23">
        <v>1440000</v>
      </c>
      <c r="K195" s="24">
        <v>1000000</v>
      </c>
      <c r="L195" s="121"/>
      <c r="M195" s="121"/>
      <c r="N195" s="121"/>
      <c r="O195" s="121"/>
      <c r="P195" s="24"/>
      <c r="Q195" s="24"/>
      <c r="R195" s="121"/>
      <c r="S195" s="121"/>
      <c r="T195" s="24"/>
      <c r="U195" s="16">
        <f t="shared" si="23"/>
        <v>2940000</v>
      </c>
      <c r="V195" s="23">
        <f>2440000</f>
        <v>2440000</v>
      </c>
      <c r="W195" s="122">
        <v>42170</v>
      </c>
      <c r="X195" s="17"/>
      <c r="Y195" s="22">
        <f t="shared" si="18"/>
        <v>500000</v>
      </c>
      <c r="Z195" s="33"/>
      <c r="AA195" s="158"/>
    </row>
    <row r="196" spans="1:27" s="63" customFormat="1" ht="31.2">
      <c r="A196" s="27" t="s">
        <v>720</v>
      </c>
      <c r="B196" s="42">
        <v>42170</v>
      </c>
      <c r="C196" s="125" t="s">
        <v>721</v>
      </c>
      <c r="D196" s="20" t="s">
        <v>722</v>
      </c>
      <c r="E196" s="40" t="s">
        <v>347</v>
      </c>
      <c r="F196" s="21" t="s">
        <v>723</v>
      </c>
      <c r="G196" s="22" t="s">
        <v>28</v>
      </c>
      <c r="H196" s="23">
        <v>250000</v>
      </c>
      <c r="I196" s="121"/>
      <c r="J196" s="23">
        <v>1440000</v>
      </c>
      <c r="K196" s="24"/>
      <c r="L196" s="121"/>
      <c r="M196" s="121"/>
      <c r="N196" s="121"/>
      <c r="O196" s="121"/>
      <c r="P196" s="24"/>
      <c r="Q196" s="24"/>
      <c r="R196" s="121"/>
      <c r="S196" s="121"/>
      <c r="T196" s="24"/>
      <c r="U196" s="16">
        <f t="shared" si="23"/>
        <v>1690000</v>
      </c>
      <c r="V196" s="23">
        <v>1690000</v>
      </c>
      <c r="W196" s="122">
        <v>42174</v>
      </c>
      <c r="X196" s="17"/>
      <c r="Y196" s="22">
        <f t="shared" si="18"/>
        <v>0</v>
      </c>
      <c r="Z196" s="33"/>
      <c r="AA196" s="158"/>
    </row>
    <row r="197" spans="1:27" s="63" customFormat="1" ht="62.4">
      <c r="A197" s="27"/>
      <c r="B197" s="42">
        <v>42170</v>
      </c>
      <c r="C197" s="18" t="s">
        <v>179</v>
      </c>
      <c r="D197" s="52"/>
      <c r="E197" s="40" t="s">
        <v>724</v>
      </c>
      <c r="F197" s="21" t="s">
        <v>725</v>
      </c>
      <c r="G197" s="22" t="s">
        <v>91</v>
      </c>
      <c r="H197" s="23"/>
      <c r="I197" s="121"/>
      <c r="J197" s="23">
        <v>4360000</v>
      </c>
      <c r="K197" s="24"/>
      <c r="L197" s="121"/>
      <c r="M197" s="121"/>
      <c r="N197" s="121"/>
      <c r="O197" s="121"/>
      <c r="P197" s="24"/>
      <c r="Q197" s="24"/>
      <c r="R197" s="121"/>
      <c r="S197" s="121"/>
      <c r="T197" s="24">
        <v>436000</v>
      </c>
      <c r="U197" s="16">
        <f t="shared" si="23"/>
        <v>4796000</v>
      </c>
      <c r="V197" s="23">
        <v>4796000</v>
      </c>
      <c r="W197" s="122">
        <v>42193</v>
      </c>
      <c r="X197" s="17" t="s">
        <v>726</v>
      </c>
      <c r="Y197" s="22">
        <f t="shared" si="18"/>
        <v>0</v>
      </c>
      <c r="Z197" s="33"/>
      <c r="AA197" s="158"/>
    </row>
    <row r="198" spans="1:27" s="63" customFormat="1" ht="27.6">
      <c r="A198" s="27"/>
      <c r="B198" s="42">
        <v>42170</v>
      </c>
      <c r="C198" s="125" t="s">
        <v>727</v>
      </c>
      <c r="D198" s="22"/>
      <c r="E198" s="40" t="s">
        <v>728</v>
      </c>
      <c r="F198" s="21" t="s">
        <v>729</v>
      </c>
      <c r="G198" s="22" t="s">
        <v>91</v>
      </c>
      <c r="H198" s="23"/>
      <c r="I198" s="121"/>
      <c r="J198" s="23">
        <v>2160000</v>
      </c>
      <c r="K198" s="24"/>
      <c r="L198" s="121"/>
      <c r="M198" s="121"/>
      <c r="N198" s="121"/>
      <c r="O198" s="121"/>
      <c r="P198" s="24"/>
      <c r="Q198" s="24"/>
      <c r="R198" s="121"/>
      <c r="S198" s="121"/>
      <c r="T198" s="24">
        <v>216000</v>
      </c>
      <c r="U198" s="16">
        <f t="shared" si="23"/>
        <v>2376000</v>
      </c>
      <c r="V198" s="23">
        <v>2376000</v>
      </c>
      <c r="W198" s="122">
        <v>42171</v>
      </c>
      <c r="X198" s="17" t="s">
        <v>730</v>
      </c>
      <c r="Y198" s="22">
        <f t="shared" ref="Y198:Y259" si="24">U198-V198</f>
        <v>0</v>
      </c>
      <c r="Z198" s="33"/>
      <c r="AA198" s="158"/>
    </row>
    <row r="199" spans="1:27" s="63" customFormat="1" ht="31.2">
      <c r="A199" s="27"/>
      <c r="B199" s="42">
        <v>42171</v>
      </c>
      <c r="C199" s="125" t="s">
        <v>731</v>
      </c>
      <c r="D199" s="174" t="s">
        <v>733</v>
      </c>
      <c r="E199" s="40" t="s">
        <v>96</v>
      </c>
      <c r="F199" s="21" t="s">
        <v>732</v>
      </c>
      <c r="G199" s="22" t="s">
        <v>602</v>
      </c>
      <c r="H199" s="23">
        <v>250000</v>
      </c>
      <c r="I199" s="121"/>
      <c r="J199" s="23">
        <v>660000</v>
      </c>
      <c r="K199" s="24"/>
      <c r="L199" s="121"/>
      <c r="M199" s="121"/>
      <c r="N199" s="121"/>
      <c r="O199" s="121"/>
      <c r="P199" s="24"/>
      <c r="Q199" s="24"/>
      <c r="R199" s="121"/>
      <c r="S199" s="121"/>
      <c r="T199" s="24"/>
      <c r="U199" s="16">
        <f t="shared" si="23"/>
        <v>910000</v>
      </c>
      <c r="V199" s="23">
        <v>910000</v>
      </c>
      <c r="W199" s="122">
        <v>42174</v>
      </c>
      <c r="X199" s="17"/>
      <c r="Y199" s="22">
        <f t="shared" si="24"/>
        <v>0</v>
      </c>
      <c r="Z199" s="33"/>
      <c r="AA199" s="158"/>
    </row>
    <row r="200" spans="1:27" s="63" customFormat="1" ht="31.2">
      <c r="A200" s="23" t="s">
        <v>735</v>
      </c>
      <c r="B200" s="42">
        <v>42172</v>
      </c>
      <c r="C200" s="125" t="s">
        <v>736</v>
      </c>
      <c r="D200" s="20" t="s">
        <v>737</v>
      </c>
      <c r="E200" s="40" t="s">
        <v>347</v>
      </c>
      <c r="F200" s="21" t="s">
        <v>738</v>
      </c>
      <c r="G200" s="22" t="s">
        <v>739</v>
      </c>
      <c r="H200" s="23">
        <v>250000</v>
      </c>
      <c r="I200" s="121"/>
      <c r="J200" s="23">
        <v>1440000</v>
      </c>
      <c r="K200" s="24"/>
      <c r="L200" s="121"/>
      <c r="M200" s="121"/>
      <c r="N200" s="121"/>
      <c r="O200" s="121"/>
      <c r="P200" s="24"/>
      <c r="Q200" s="24"/>
      <c r="R200" s="121"/>
      <c r="S200" s="121"/>
      <c r="T200" s="24"/>
      <c r="U200" s="16">
        <f t="shared" si="23"/>
        <v>1690000</v>
      </c>
      <c r="V200" s="23">
        <v>1690000</v>
      </c>
      <c r="W200" s="122">
        <v>42178</v>
      </c>
      <c r="X200" s="17"/>
      <c r="Y200" s="22">
        <f t="shared" si="24"/>
        <v>0</v>
      </c>
      <c r="Z200" s="33" t="s">
        <v>866</v>
      </c>
      <c r="AA200" s="158"/>
    </row>
    <row r="201" spans="1:27" ht="31.2">
      <c r="A201" s="27" t="s">
        <v>741</v>
      </c>
      <c r="B201" s="42">
        <v>42172</v>
      </c>
      <c r="C201" s="125" t="s">
        <v>742</v>
      </c>
      <c r="D201" s="20" t="s">
        <v>743</v>
      </c>
      <c r="E201" s="40" t="s">
        <v>347</v>
      </c>
      <c r="F201" s="21" t="s">
        <v>1081</v>
      </c>
      <c r="G201" s="22" t="s">
        <v>140</v>
      </c>
      <c r="H201" s="23">
        <v>250000</v>
      </c>
      <c r="I201" s="57"/>
      <c r="J201" s="23">
        <v>1440000</v>
      </c>
      <c r="K201" s="24">
        <v>1500000</v>
      </c>
      <c r="L201" s="57"/>
      <c r="M201" s="57"/>
      <c r="N201" s="57"/>
      <c r="O201" s="57"/>
      <c r="P201" s="57"/>
      <c r="Q201" s="57"/>
      <c r="R201" s="57"/>
      <c r="S201" s="57"/>
      <c r="T201" s="24">
        <v>169000</v>
      </c>
      <c r="U201" s="16">
        <f t="shared" si="23"/>
        <v>3359000</v>
      </c>
      <c r="V201" s="23">
        <v>3359000</v>
      </c>
      <c r="W201" s="122">
        <v>42173</v>
      </c>
      <c r="X201" s="17" t="s">
        <v>744</v>
      </c>
      <c r="Y201" s="22">
        <f t="shared" si="24"/>
        <v>0</v>
      </c>
      <c r="Z201" s="57"/>
    </row>
    <row r="202" spans="1:27" ht="31.2">
      <c r="A202" s="27" t="s">
        <v>745</v>
      </c>
      <c r="B202" s="42">
        <v>42173</v>
      </c>
      <c r="C202" s="125" t="s">
        <v>746</v>
      </c>
      <c r="D202" s="20"/>
      <c r="E202" s="40" t="s">
        <v>757</v>
      </c>
      <c r="F202" s="21" t="s">
        <v>747</v>
      </c>
      <c r="G202" s="22" t="s">
        <v>91</v>
      </c>
      <c r="H202" s="23"/>
      <c r="I202" s="23">
        <v>1200000</v>
      </c>
      <c r="J202" s="23">
        <v>1440000</v>
      </c>
      <c r="K202" s="24"/>
      <c r="L202" s="57"/>
      <c r="M202" s="57"/>
      <c r="N202" s="57"/>
      <c r="O202" s="57"/>
      <c r="P202" s="57"/>
      <c r="Q202" s="57"/>
      <c r="R202" s="57"/>
      <c r="S202" s="57"/>
      <c r="T202" s="24">
        <v>264000</v>
      </c>
      <c r="U202" s="16">
        <f t="shared" si="23"/>
        <v>2904000</v>
      </c>
      <c r="V202" s="23">
        <v>2904000</v>
      </c>
      <c r="W202" s="122">
        <v>42193</v>
      </c>
      <c r="X202" s="17" t="s">
        <v>763</v>
      </c>
      <c r="Y202" s="22">
        <f t="shared" si="24"/>
        <v>0</v>
      </c>
      <c r="Z202" s="57"/>
    </row>
    <row r="203" spans="1:27" ht="31.2">
      <c r="A203" s="27" t="s">
        <v>750</v>
      </c>
      <c r="B203" s="42">
        <v>42173</v>
      </c>
      <c r="C203" s="125" t="s">
        <v>749</v>
      </c>
      <c r="D203" s="20">
        <v>906642729</v>
      </c>
      <c r="E203" s="40" t="s">
        <v>347</v>
      </c>
      <c r="F203" s="21" t="s">
        <v>751</v>
      </c>
      <c r="G203" s="22" t="s">
        <v>752</v>
      </c>
      <c r="H203" s="23">
        <v>250000</v>
      </c>
      <c r="I203" s="57"/>
      <c r="J203" s="23">
        <v>1440000</v>
      </c>
      <c r="K203" s="24"/>
      <c r="L203" s="57"/>
      <c r="M203" s="57"/>
      <c r="N203" s="57"/>
      <c r="O203" s="57"/>
      <c r="P203" s="57"/>
      <c r="Q203" s="57"/>
      <c r="R203" s="57"/>
      <c r="S203" s="57"/>
      <c r="T203" s="24"/>
      <c r="U203" s="16">
        <f t="shared" si="23"/>
        <v>1690000</v>
      </c>
      <c r="V203" s="23">
        <v>1690000</v>
      </c>
      <c r="W203" s="122">
        <v>42173</v>
      </c>
      <c r="X203" s="17"/>
      <c r="Y203" s="22">
        <f t="shared" si="24"/>
        <v>0</v>
      </c>
      <c r="Z203" s="125" t="s">
        <v>528</v>
      </c>
    </row>
    <row r="204" spans="1:27" ht="31.2">
      <c r="A204" s="23" t="s">
        <v>755</v>
      </c>
      <c r="B204" s="42">
        <v>42175</v>
      </c>
      <c r="C204" s="125" t="s">
        <v>756</v>
      </c>
      <c r="D204" s="20">
        <v>945506070</v>
      </c>
      <c r="E204" s="40" t="s">
        <v>347</v>
      </c>
      <c r="F204" s="21" t="s">
        <v>758</v>
      </c>
      <c r="G204" s="22" t="s">
        <v>759</v>
      </c>
      <c r="H204" s="23">
        <v>250000</v>
      </c>
      <c r="I204" s="57"/>
      <c r="J204" s="23">
        <v>1440000</v>
      </c>
      <c r="K204" s="24"/>
      <c r="L204" s="57"/>
      <c r="M204" s="57"/>
      <c r="N204" s="57"/>
      <c r="O204" s="57"/>
      <c r="P204" s="57"/>
      <c r="Q204" s="57"/>
      <c r="R204" s="57"/>
      <c r="S204" s="57"/>
      <c r="T204" s="24"/>
      <c r="U204" s="16">
        <f t="shared" si="23"/>
        <v>1690000</v>
      </c>
      <c r="V204" s="23">
        <v>1690000</v>
      </c>
      <c r="W204" s="122">
        <v>42177</v>
      </c>
      <c r="X204" s="17" t="s">
        <v>95</v>
      </c>
      <c r="Y204" s="22">
        <f t="shared" si="24"/>
        <v>0</v>
      </c>
      <c r="Z204" s="125"/>
    </row>
    <row r="205" spans="1:27" ht="46.8">
      <c r="A205" s="27" t="s">
        <v>767</v>
      </c>
      <c r="B205" s="42">
        <v>42177</v>
      </c>
      <c r="C205" s="125" t="s">
        <v>764</v>
      </c>
      <c r="D205" s="20" t="s">
        <v>765</v>
      </c>
      <c r="E205" s="40" t="s">
        <v>347</v>
      </c>
      <c r="F205" s="21" t="s">
        <v>766</v>
      </c>
      <c r="G205" s="22" t="s">
        <v>28</v>
      </c>
      <c r="H205" s="23">
        <v>830000</v>
      </c>
      <c r="I205" s="57"/>
      <c r="J205" s="23">
        <v>1440000</v>
      </c>
      <c r="K205" s="24"/>
      <c r="L205" s="57"/>
      <c r="M205" s="57"/>
      <c r="N205" s="57"/>
      <c r="O205" s="57"/>
      <c r="P205" s="57"/>
      <c r="Q205" s="57"/>
      <c r="R205" s="57"/>
      <c r="S205" s="57"/>
      <c r="T205" s="24">
        <v>144000</v>
      </c>
      <c r="U205" s="16">
        <f t="shared" si="23"/>
        <v>2414000</v>
      </c>
      <c r="V205" s="23">
        <v>2414000</v>
      </c>
      <c r="W205" s="122">
        <v>42177</v>
      </c>
      <c r="X205" s="17"/>
      <c r="Y205" s="22">
        <f t="shared" si="24"/>
        <v>0</v>
      </c>
      <c r="Z205" s="125" t="s">
        <v>528</v>
      </c>
    </row>
    <row r="206" spans="1:27" ht="31.2">
      <c r="A206" s="23" t="s">
        <v>774</v>
      </c>
      <c r="B206" s="42">
        <v>42179</v>
      </c>
      <c r="C206" s="125" t="s">
        <v>775</v>
      </c>
      <c r="D206" s="52" t="s">
        <v>776</v>
      </c>
      <c r="E206" s="40" t="s">
        <v>51</v>
      </c>
      <c r="F206" s="21" t="s">
        <v>777</v>
      </c>
      <c r="G206" s="22" t="s">
        <v>91</v>
      </c>
      <c r="H206" s="23"/>
      <c r="I206" s="57"/>
      <c r="J206" s="23">
        <v>3000000</v>
      </c>
      <c r="K206" s="24"/>
      <c r="L206" s="57"/>
      <c r="M206" s="57"/>
      <c r="N206" s="57"/>
      <c r="O206" s="57"/>
      <c r="P206" s="57"/>
      <c r="Q206" s="57"/>
      <c r="R206" s="57"/>
      <c r="S206" s="57"/>
      <c r="T206" s="24"/>
      <c r="U206" s="16">
        <f t="shared" si="23"/>
        <v>3000000</v>
      </c>
      <c r="V206" s="23">
        <f>1500000+1500000</f>
        <v>3000000</v>
      </c>
      <c r="W206" s="51" t="s">
        <v>900</v>
      </c>
      <c r="X206" s="17"/>
      <c r="Y206" s="22">
        <f t="shared" si="24"/>
        <v>0</v>
      </c>
      <c r="Z206" s="125"/>
    </row>
    <row r="207" spans="1:27" ht="46.8">
      <c r="A207" s="27"/>
      <c r="B207" s="42">
        <v>42180</v>
      </c>
      <c r="C207" s="125" t="s">
        <v>768</v>
      </c>
      <c r="D207" s="176" t="s">
        <v>770</v>
      </c>
      <c r="E207" s="40" t="s">
        <v>134</v>
      </c>
      <c r="F207" s="21" t="s">
        <v>769</v>
      </c>
      <c r="G207" s="22" t="s">
        <v>47</v>
      </c>
      <c r="H207" s="23">
        <v>500000</v>
      </c>
      <c r="I207" s="57"/>
      <c r="J207" s="23">
        <v>2880000</v>
      </c>
      <c r="K207" s="24"/>
      <c r="L207" s="57"/>
      <c r="M207" s="57"/>
      <c r="N207" s="57"/>
      <c r="O207" s="57"/>
      <c r="P207" s="57"/>
      <c r="Q207" s="57"/>
      <c r="R207" s="57"/>
      <c r="S207" s="57"/>
      <c r="T207" s="24"/>
      <c r="U207" s="16">
        <f t="shared" si="23"/>
        <v>3380000</v>
      </c>
      <c r="V207" s="23">
        <v>3380000</v>
      </c>
      <c r="W207" s="122">
        <v>42180</v>
      </c>
      <c r="X207" s="17"/>
      <c r="Y207" s="22">
        <f t="shared" si="24"/>
        <v>0</v>
      </c>
      <c r="Z207" s="57"/>
    </row>
    <row r="208" spans="1:27" ht="31.2">
      <c r="A208" s="23" t="s">
        <v>771</v>
      </c>
      <c r="B208" s="42">
        <v>42180</v>
      </c>
      <c r="C208" s="125" t="s">
        <v>772</v>
      </c>
      <c r="D208" s="20" t="s">
        <v>153</v>
      </c>
      <c r="E208" s="40" t="s">
        <v>462</v>
      </c>
      <c r="F208" s="21" t="s">
        <v>773</v>
      </c>
      <c r="G208" s="22" t="s">
        <v>91</v>
      </c>
      <c r="H208" s="23">
        <f>250000+830000</f>
        <v>1080000</v>
      </c>
      <c r="I208" s="57"/>
      <c r="J208" s="23">
        <v>1440000</v>
      </c>
      <c r="K208" s="24"/>
      <c r="L208" s="57"/>
      <c r="M208" s="57"/>
      <c r="N208" s="57"/>
      <c r="O208" s="57"/>
      <c r="P208" s="57"/>
      <c r="Q208" s="57"/>
      <c r="R208" s="57"/>
      <c r="S208" s="57"/>
      <c r="T208" s="24">
        <v>169000</v>
      </c>
      <c r="U208" s="16">
        <f t="shared" si="23"/>
        <v>2689000</v>
      </c>
      <c r="V208" s="23">
        <v>2689000</v>
      </c>
      <c r="W208" s="122">
        <v>42180</v>
      </c>
      <c r="X208" s="17" t="s">
        <v>788</v>
      </c>
      <c r="Y208" s="22">
        <f t="shared" si="24"/>
        <v>0</v>
      </c>
      <c r="Z208" s="57"/>
    </row>
    <row r="209" spans="1:26" ht="31.2">
      <c r="A209" s="23" t="s">
        <v>778</v>
      </c>
      <c r="B209" s="42">
        <v>42180</v>
      </c>
      <c r="C209" s="125" t="s">
        <v>779</v>
      </c>
      <c r="D209" s="20" t="s">
        <v>780</v>
      </c>
      <c r="E209" s="40" t="s">
        <v>600</v>
      </c>
      <c r="F209" s="21" t="s">
        <v>781</v>
      </c>
      <c r="G209" s="22" t="s">
        <v>28</v>
      </c>
      <c r="H209" s="23"/>
      <c r="I209" s="57"/>
      <c r="J209" s="23">
        <v>1440000</v>
      </c>
      <c r="K209" s="24"/>
      <c r="L209" s="57"/>
      <c r="M209" s="57"/>
      <c r="N209" s="57"/>
      <c r="O209" s="57"/>
      <c r="P209" s="57"/>
      <c r="Q209" s="57"/>
      <c r="R209" s="57"/>
      <c r="S209" s="57"/>
      <c r="T209" s="24"/>
      <c r="U209" s="16">
        <f t="shared" si="23"/>
        <v>1440000</v>
      </c>
      <c r="V209" s="23">
        <v>1440000</v>
      </c>
      <c r="W209" s="122">
        <v>42180</v>
      </c>
      <c r="X209" s="17"/>
      <c r="Y209" s="22">
        <f t="shared" si="24"/>
        <v>0</v>
      </c>
      <c r="Z209" s="57"/>
    </row>
    <row r="210" spans="1:26" ht="31.2">
      <c r="A210" s="27"/>
      <c r="B210" s="42">
        <v>42180</v>
      </c>
      <c r="C210" s="125" t="s">
        <v>782</v>
      </c>
      <c r="D210" s="20" t="s">
        <v>855</v>
      </c>
      <c r="E210" s="40" t="s">
        <v>347</v>
      </c>
      <c r="F210" s="21" t="s">
        <v>740</v>
      </c>
      <c r="G210" s="22" t="s">
        <v>102</v>
      </c>
      <c r="H210" s="23">
        <v>830000</v>
      </c>
      <c r="I210" s="57"/>
      <c r="J210" s="23">
        <v>1440000</v>
      </c>
      <c r="K210" s="24">
        <v>6000000</v>
      </c>
      <c r="L210" s="57"/>
      <c r="M210" s="57"/>
      <c r="N210" s="57"/>
      <c r="O210" s="57"/>
      <c r="P210" s="57"/>
      <c r="Q210" s="57"/>
      <c r="R210" s="57"/>
      <c r="S210" s="57"/>
      <c r="T210" s="24"/>
      <c r="U210" s="16">
        <f t="shared" si="23"/>
        <v>8270000</v>
      </c>
      <c r="V210" s="23">
        <f>4000000</f>
        <v>4000000</v>
      </c>
      <c r="W210" s="122">
        <v>42178</v>
      </c>
      <c r="X210" s="17" t="s">
        <v>988</v>
      </c>
      <c r="Y210" s="22">
        <f t="shared" si="24"/>
        <v>4270000</v>
      </c>
      <c r="Z210" s="57"/>
    </row>
    <row r="211" spans="1:26" ht="31.2">
      <c r="A211" s="23" t="s">
        <v>786</v>
      </c>
      <c r="B211" s="42">
        <v>42180</v>
      </c>
      <c r="C211" s="125" t="s">
        <v>784</v>
      </c>
      <c r="D211" s="177" t="s">
        <v>785</v>
      </c>
      <c r="E211" s="40" t="s">
        <v>134</v>
      </c>
      <c r="F211" s="21" t="s">
        <v>787</v>
      </c>
      <c r="G211" s="22" t="s">
        <v>140</v>
      </c>
      <c r="H211" s="23">
        <v>250000</v>
      </c>
      <c r="I211" s="57"/>
      <c r="J211" s="23">
        <v>1080000</v>
      </c>
      <c r="K211" s="24"/>
      <c r="L211" s="57"/>
      <c r="M211" s="57"/>
      <c r="N211" s="57"/>
      <c r="O211" s="57"/>
      <c r="P211" s="57"/>
      <c r="Q211" s="57"/>
      <c r="R211" s="57"/>
      <c r="S211" s="57"/>
      <c r="T211" s="24">
        <v>133000</v>
      </c>
      <c r="U211" s="16">
        <f t="shared" si="23"/>
        <v>1463000</v>
      </c>
      <c r="V211" s="23">
        <v>1463000</v>
      </c>
      <c r="W211" s="122">
        <v>42180</v>
      </c>
      <c r="X211" s="81" t="s">
        <v>803</v>
      </c>
      <c r="Y211" s="22">
        <f t="shared" si="24"/>
        <v>0</v>
      </c>
      <c r="Z211" s="57"/>
    </row>
    <row r="212" spans="1:26" ht="31.2">
      <c r="A212" s="23" t="s">
        <v>794</v>
      </c>
      <c r="B212" s="42">
        <v>42181</v>
      </c>
      <c r="C212" s="125" t="s">
        <v>790</v>
      </c>
      <c r="D212" s="20" t="s">
        <v>793</v>
      </c>
      <c r="E212" s="40" t="s">
        <v>347</v>
      </c>
      <c r="F212" s="21" t="s">
        <v>791</v>
      </c>
      <c r="G212" s="22" t="s">
        <v>28</v>
      </c>
      <c r="H212" s="23">
        <v>250000</v>
      </c>
      <c r="I212" s="57"/>
      <c r="J212" s="23">
        <v>1440000</v>
      </c>
      <c r="K212" s="24"/>
      <c r="L212" s="57"/>
      <c r="M212" s="57"/>
      <c r="N212" s="57"/>
      <c r="O212" s="57"/>
      <c r="P212" s="57"/>
      <c r="Q212" s="57"/>
      <c r="R212" s="57"/>
      <c r="S212" s="57"/>
      <c r="T212" s="24">
        <v>169000</v>
      </c>
      <c r="U212" s="16">
        <f t="shared" si="23"/>
        <v>1859000</v>
      </c>
      <c r="V212" s="23">
        <v>1859000</v>
      </c>
      <c r="W212" s="122">
        <v>42181</v>
      </c>
      <c r="X212" s="17" t="s">
        <v>789</v>
      </c>
      <c r="Y212" s="22">
        <f t="shared" si="24"/>
        <v>0</v>
      </c>
      <c r="Z212" s="57"/>
    </row>
    <row r="213" spans="1:26" ht="31.2">
      <c r="A213" s="27"/>
      <c r="B213" s="42">
        <v>42181</v>
      </c>
      <c r="C213" s="125" t="s">
        <v>795</v>
      </c>
      <c r="D213" s="20"/>
      <c r="E213" s="40" t="s">
        <v>101</v>
      </c>
      <c r="F213" s="21" t="s">
        <v>801</v>
      </c>
      <c r="G213" s="22" t="s">
        <v>28</v>
      </c>
      <c r="H213" s="23">
        <v>500000</v>
      </c>
      <c r="I213" s="57"/>
      <c r="J213" s="23"/>
      <c r="K213" s="24"/>
      <c r="L213" s="57"/>
      <c r="M213" s="57"/>
      <c r="N213" s="57"/>
      <c r="O213" s="57"/>
      <c r="P213" s="57"/>
      <c r="Q213" s="57"/>
      <c r="R213" s="57"/>
      <c r="S213" s="57"/>
      <c r="T213" s="24"/>
      <c r="U213" s="16">
        <f t="shared" si="23"/>
        <v>500000</v>
      </c>
      <c r="V213" s="23">
        <f>250000+250000</f>
        <v>500000</v>
      </c>
      <c r="W213" s="51" t="s">
        <v>802</v>
      </c>
      <c r="X213" s="17"/>
      <c r="Y213" s="22">
        <f t="shared" si="24"/>
        <v>0</v>
      </c>
      <c r="Z213" s="57"/>
    </row>
    <row r="214" spans="1:26" ht="31.2">
      <c r="A214" s="27"/>
      <c r="B214" s="42">
        <v>42182</v>
      </c>
      <c r="C214" s="125" t="s">
        <v>798</v>
      </c>
      <c r="D214" s="177">
        <v>919678322</v>
      </c>
      <c r="E214" s="40" t="s">
        <v>134</v>
      </c>
      <c r="F214" s="21" t="s">
        <v>799</v>
      </c>
      <c r="G214" s="22" t="s">
        <v>94</v>
      </c>
      <c r="H214" s="23">
        <v>480000</v>
      </c>
      <c r="I214" s="57"/>
      <c r="J214" s="23">
        <v>1440000</v>
      </c>
      <c r="K214" s="24"/>
      <c r="L214" s="57"/>
      <c r="M214" s="57"/>
      <c r="N214" s="57"/>
      <c r="O214" s="57"/>
      <c r="P214" s="57"/>
      <c r="Q214" s="57"/>
      <c r="R214" s="57"/>
      <c r="S214" s="57"/>
      <c r="T214" s="24">
        <v>144000</v>
      </c>
      <c r="U214" s="16">
        <f t="shared" si="23"/>
        <v>2064000</v>
      </c>
      <c r="V214" s="23">
        <v>2064000</v>
      </c>
      <c r="W214" s="122">
        <v>42184</v>
      </c>
      <c r="X214" s="17" t="s">
        <v>800</v>
      </c>
      <c r="Y214" s="22">
        <f t="shared" si="24"/>
        <v>0</v>
      </c>
      <c r="Z214" s="57"/>
    </row>
    <row r="215" spans="1:26" ht="31.2">
      <c r="A215" s="23" t="s">
        <v>812</v>
      </c>
      <c r="B215" s="42">
        <v>42185</v>
      </c>
      <c r="C215" s="125" t="s">
        <v>806</v>
      </c>
      <c r="D215" s="52" t="s">
        <v>807</v>
      </c>
      <c r="E215" s="40" t="s">
        <v>134</v>
      </c>
      <c r="F215" s="21" t="s">
        <v>808</v>
      </c>
      <c r="G215" s="22" t="s">
        <v>28</v>
      </c>
      <c r="H215" s="23">
        <v>480000</v>
      </c>
      <c r="I215" s="57"/>
      <c r="J215" s="23">
        <v>1440000</v>
      </c>
      <c r="K215" s="24"/>
      <c r="L215" s="57"/>
      <c r="M215" s="57"/>
      <c r="N215" s="57"/>
      <c r="O215" s="57"/>
      <c r="P215" s="57"/>
      <c r="Q215" s="57"/>
      <c r="R215" s="57"/>
      <c r="S215" s="57"/>
      <c r="T215" s="24">
        <v>144000</v>
      </c>
      <c r="U215" s="16">
        <f t="shared" si="23"/>
        <v>2064000</v>
      </c>
      <c r="V215" s="23">
        <v>2064000</v>
      </c>
      <c r="W215" s="122">
        <v>42185</v>
      </c>
      <c r="X215" s="17" t="s">
        <v>809</v>
      </c>
      <c r="Y215" s="22">
        <f t="shared" si="24"/>
        <v>0</v>
      </c>
      <c r="Z215" s="57"/>
    </row>
    <row r="216" spans="1:26" ht="31.2">
      <c r="A216" s="23" t="s">
        <v>811</v>
      </c>
      <c r="B216" s="42">
        <v>42185</v>
      </c>
      <c r="C216" s="125" t="s">
        <v>810</v>
      </c>
      <c r="D216" s="52" t="s">
        <v>813</v>
      </c>
      <c r="E216" s="40" t="s">
        <v>600</v>
      </c>
      <c r="F216" s="21" t="s">
        <v>814</v>
      </c>
      <c r="G216" s="22" t="s">
        <v>28</v>
      </c>
      <c r="H216" s="23"/>
      <c r="I216" s="57"/>
      <c r="J216" s="23">
        <f>900000*2</f>
        <v>1800000</v>
      </c>
      <c r="K216" s="24"/>
      <c r="L216" s="57"/>
      <c r="M216" s="57"/>
      <c r="N216" s="57"/>
      <c r="O216" s="57"/>
      <c r="P216" s="57"/>
      <c r="Q216" s="57"/>
      <c r="R216" s="57"/>
      <c r="S216" s="57"/>
      <c r="T216" s="24"/>
      <c r="U216" s="16">
        <f t="shared" si="23"/>
        <v>1800000</v>
      </c>
      <c r="V216" s="23">
        <v>1800000</v>
      </c>
      <c r="W216" s="122">
        <v>42185</v>
      </c>
      <c r="X216" s="17"/>
      <c r="Y216" s="22">
        <f t="shared" si="24"/>
        <v>0</v>
      </c>
      <c r="Z216" s="57"/>
    </row>
    <row r="217" spans="1:26" ht="31.2">
      <c r="A217" s="23" t="s">
        <v>816</v>
      </c>
      <c r="B217" s="42">
        <v>42185</v>
      </c>
      <c r="C217" s="18" t="s">
        <v>815</v>
      </c>
      <c r="D217" s="52" t="s">
        <v>817</v>
      </c>
      <c r="E217" s="40" t="s">
        <v>600</v>
      </c>
      <c r="F217" s="21" t="s">
        <v>818</v>
      </c>
      <c r="G217" s="22" t="s">
        <v>28</v>
      </c>
      <c r="H217" s="23"/>
      <c r="I217" s="57"/>
      <c r="J217" s="23">
        <v>1440000</v>
      </c>
      <c r="K217" s="24"/>
      <c r="L217" s="57"/>
      <c r="M217" s="57"/>
      <c r="N217" s="57"/>
      <c r="O217" s="57"/>
      <c r="P217" s="57"/>
      <c r="Q217" s="57"/>
      <c r="R217" s="57"/>
      <c r="S217" s="57"/>
      <c r="T217" s="24"/>
      <c r="U217" s="16">
        <f t="shared" si="23"/>
        <v>1440000</v>
      </c>
      <c r="V217" s="23">
        <v>1440000</v>
      </c>
      <c r="W217" s="122">
        <v>42185</v>
      </c>
      <c r="X217" s="57"/>
      <c r="Y217" s="22">
        <f t="shared" si="24"/>
        <v>0</v>
      </c>
      <c r="Z217" s="57"/>
    </row>
    <row r="218" spans="1:26" ht="31.2">
      <c r="A218" s="27"/>
      <c r="B218" s="17">
        <v>42185</v>
      </c>
      <c r="C218" s="18" t="s">
        <v>491</v>
      </c>
      <c r="D218" s="20"/>
      <c r="E218" s="40" t="s">
        <v>101</v>
      </c>
      <c r="F218" s="21" t="s">
        <v>824</v>
      </c>
      <c r="G218" s="22" t="s">
        <v>91</v>
      </c>
      <c r="H218" s="23">
        <v>950000</v>
      </c>
      <c r="I218" s="57"/>
      <c r="J218" s="23"/>
      <c r="K218" s="24"/>
      <c r="L218" s="57"/>
      <c r="M218" s="57"/>
      <c r="N218" s="57"/>
      <c r="O218" s="57"/>
      <c r="P218" s="57"/>
      <c r="Q218" s="57"/>
      <c r="R218" s="57"/>
      <c r="S218" s="57"/>
      <c r="T218" s="24"/>
      <c r="U218" s="16">
        <f t="shared" si="23"/>
        <v>950000</v>
      </c>
      <c r="V218" s="23">
        <v>950000</v>
      </c>
      <c r="W218" s="122">
        <v>42187</v>
      </c>
      <c r="X218" s="57"/>
      <c r="Y218" s="22">
        <f t="shared" si="24"/>
        <v>0</v>
      </c>
      <c r="Z218" s="57"/>
    </row>
    <row r="219" spans="1:26" ht="15.6">
      <c r="A219" s="27"/>
      <c r="B219" s="17">
        <v>42185</v>
      </c>
      <c r="C219" s="18" t="s">
        <v>956</v>
      </c>
      <c r="D219" s="20"/>
      <c r="E219" s="40" t="s">
        <v>310</v>
      </c>
      <c r="F219" s="21" t="s">
        <v>825</v>
      </c>
      <c r="G219" s="22"/>
      <c r="H219" s="23">
        <v>250000</v>
      </c>
      <c r="I219" s="57"/>
      <c r="J219" s="23"/>
      <c r="K219" s="24"/>
      <c r="L219" s="57"/>
      <c r="M219" s="57"/>
      <c r="N219" s="57"/>
      <c r="O219" s="57"/>
      <c r="P219" s="57"/>
      <c r="Q219" s="57"/>
      <c r="R219" s="57"/>
      <c r="S219" s="57"/>
      <c r="T219" s="24"/>
      <c r="U219" s="16">
        <f t="shared" si="23"/>
        <v>250000</v>
      </c>
      <c r="V219" s="57"/>
      <c r="W219" s="57"/>
      <c r="X219" s="57"/>
      <c r="Y219" s="22">
        <f t="shared" si="24"/>
        <v>250000</v>
      </c>
      <c r="Z219" s="57"/>
    </row>
    <row r="220" spans="1:26" s="124" customFormat="1" ht="46.8">
      <c r="A220" s="23" t="s">
        <v>925</v>
      </c>
      <c r="B220" s="128">
        <v>42163</v>
      </c>
      <c r="C220" s="129" t="s">
        <v>926</v>
      </c>
      <c r="D220" s="62" t="s">
        <v>927</v>
      </c>
      <c r="E220" s="62" t="s">
        <v>361</v>
      </c>
      <c r="F220" s="21"/>
      <c r="G220" s="23" t="s">
        <v>953</v>
      </c>
      <c r="H220" s="23">
        <v>275000</v>
      </c>
      <c r="I220" s="123"/>
      <c r="J220" s="23">
        <v>1584000</v>
      </c>
      <c r="K220" s="24">
        <v>0</v>
      </c>
      <c r="L220" s="123"/>
      <c r="M220" s="123"/>
      <c r="N220" s="27"/>
      <c r="O220" s="27"/>
      <c r="P220" s="27"/>
      <c r="Q220" s="27"/>
      <c r="R220" s="27"/>
      <c r="S220" s="27"/>
      <c r="T220" s="24"/>
      <c r="U220" s="16">
        <f t="shared" ref="U220:U226" si="25">+SUM(H220:T220)</f>
        <v>1859000</v>
      </c>
      <c r="V220" s="23"/>
      <c r="W220" s="17"/>
      <c r="X220" s="17" t="s">
        <v>928</v>
      </c>
      <c r="Y220" s="22">
        <f t="shared" si="24"/>
        <v>1859000</v>
      </c>
      <c r="Z220" s="18"/>
    </row>
    <row r="221" spans="1:26" s="124" customFormat="1" ht="46.8">
      <c r="A221" s="23" t="s">
        <v>929</v>
      </c>
      <c r="B221" s="128">
        <v>42158</v>
      </c>
      <c r="C221" s="129" t="s">
        <v>930</v>
      </c>
      <c r="D221" s="136" t="s">
        <v>931</v>
      </c>
      <c r="E221" s="40" t="s">
        <v>932</v>
      </c>
      <c r="F221" s="21"/>
      <c r="G221" s="23" t="s">
        <v>954</v>
      </c>
      <c r="H221" s="23"/>
      <c r="I221" s="123"/>
      <c r="J221" s="23"/>
      <c r="K221" s="24"/>
      <c r="L221" s="23"/>
      <c r="M221" s="123"/>
      <c r="N221" s="27"/>
      <c r="O221" s="27"/>
      <c r="P221" s="27"/>
      <c r="Q221" s="23">
        <v>2500000</v>
      </c>
      <c r="R221" s="27"/>
      <c r="S221" s="27"/>
      <c r="T221" s="24"/>
      <c r="U221" s="16">
        <f t="shared" si="25"/>
        <v>2500000</v>
      </c>
      <c r="V221" s="23">
        <v>2500000</v>
      </c>
      <c r="W221" s="17"/>
      <c r="X221" s="17"/>
      <c r="Y221" s="22">
        <f t="shared" si="24"/>
        <v>0</v>
      </c>
      <c r="Z221" s="18"/>
    </row>
    <row r="222" spans="1:26" s="124" customFormat="1" ht="46.8">
      <c r="A222" s="23" t="s">
        <v>933</v>
      </c>
      <c r="B222" s="128">
        <v>42157</v>
      </c>
      <c r="C222" s="129" t="s">
        <v>930</v>
      </c>
      <c r="D222" s="136" t="s">
        <v>931</v>
      </c>
      <c r="E222" s="62" t="s">
        <v>361</v>
      </c>
      <c r="F222" s="21" t="s">
        <v>934</v>
      </c>
      <c r="G222" s="23" t="s">
        <v>954</v>
      </c>
      <c r="H222" s="23">
        <v>275000</v>
      </c>
      <c r="I222" s="123"/>
      <c r="J222" s="23">
        <v>1584000</v>
      </c>
      <c r="K222" s="24">
        <v>1431000</v>
      </c>
      <c r="L222" s="123"/>
      <c r="M222" s="123"/>
      <c r="N222" s="27"/>
      <c r="O222" s="27"/>
      <c r="P222" s="27"/>
      <c r="Q222" s="23"/>
      <c r="R222" s="23"/>
      <c r="S222" s="27"/>
      <c r="T222" s="24"/>
      <c r="U222" s="16">
        <f t="shared" si="25"/>
        <v>3290000</v>
      </c>
      <c r="V222" s="23">
        <v>3290000</v>
      </c>
      <c r="W222" s="17"/>
      <c r="X222" s="17"/>
      <c r="Y222" s="22">
        <f t="shared" si="24"/>
        <v>0</v>
      </c>
      <c r="Z222" s="18"/>
    </row>
    <row r="223" spans="1:26" s="124" customFormat="1" ht="46.8">
      <c r="A223" s="23" t="s">
        <v>935</v>
      </c>
      <c r="B223" s="128">
        <v>42131</v>
      </c>
      <c r="C223" s="129" t="s">
        <v>936</v>
      </c>
      <c r="D223" s="136" t="s">
        <v>937</v>
      </c>
      <c r="E223" s="62" t="s">
        <v>361</v>
      </c>
      <c r="F223" s="21" t="s">
        <v>938</v>
      </c>
      <c r="G223" s="23" t="s">
        <v>955</v>
      </c>
      <c r="H223" s="23">
        <v>770000</v>
      </c>
      <c r="I223" s="123"/>
      <c r="J223" s="23">
        <v>1584000</v>
      </c>
      <c r="K223" s="24">
        <v>0</v>
      </c>
      <c r="L223" s="123"/>
      <c r="M223" s="123"/>
      <c r="N223" s="27"/>
      <c r="O223" s="27"/>
      <c r="P223" s="27"/>
      <c r="Q223" s="27"/>
      <c r="R223" s="27"/>
      <c r="S223" s="27"/>
      <c r="T223" s="24"/>
      <c r="U223" s="16">
        <f t="shared" si="25"/>
        <v>2354000</v>
      </c>
      <c r="V223" s="23">
        <v>2354000</v>
      </c>
      <c r="W223" s="17"/>
      <c r="X223" s="17" t="s">
        <v>939</v>
      </c>
      <c r="Y223" s="22">
        <f t="shared" si="24"/>
        <v>0</v>
      </c>
      <c r="Z223" s="82"/>
    </row>
    <row r="224" spans="1:26" s="124" customFormat="1" ht="46.8">
      <c r="A224" s="23" t="s">
        <v>940</v>
      </c>
      <c r="B224" s="128">
        <v>42165</v>
      </c>
      <c r="C224" s="129" t="s">
        <v>941</v>
      </c>
      <c r="D224" s="136" t="s">
        <v>942</v>
      </c>
      <c r="E224" s="62" t="s">
        <v>361</v>
      </c>
      <c r="F224" s="21" t="s">
        <v>943</v>
      </c>
      <c r="G224" s="23" t="s">
        <v>955</v>
      </c>
      <c r="H224" s="23"/>
      <c r="I224" s="123"/>
      <c r="J224" s="23"/>
      <c r="K224" s="24">
        <v>7997000</v>
      </c>
      <c r="L224" s="123"/>
      <c r="M224" s="123"/>
      <c r="N224" s="27"/>
      <c r="O224" s="27"/>
      <c r="P224" s="27"/>
      <c r="Q224" s="27"/>
      <c r="R224" s="27"/>
      <c r="S224" s="27"/>
      <c r="T224" s="24"/>
      <c r="U224" s="16">
        <f t="shared" si="25"/>
        <v>7997000</v>
      </c>
      <c r="V224" s="23">
        <v>7997000</v>
      </c>
      <c r="W224" s="17"/>
      <c r="X224" s="17" t="s">
        <v>944</v>
      </c>
      <c r="Y224" s="22">
        <f t="shared" si="24"/>
        <v>0</v>
      </c>
      <c r="Z224" s="18"/>
    </row>
    <row r="225" spans="1:27" s="124" customFormat="1" ht="31.2">
      <c r="A225" s="23" t="s">
        <v>945</v>
      </c>
      <c r="B225" s="128">
        <v>42185</v>
      </c>
      <c r="C225" s="129" t="s">
        <v>946</v>
      </c>
      <c r="D225" s="136" t="s">
        <v>947</v>
      </c>
      <c r="E225" s="62" t="s">
        <v>361</v>
      </c>
      <c r="F225" s="21" t="s">
        <v>948</v>
      </c>
      <c r="G225" s="23" t="s">
        <v>955</v>
      </c>
      <c r="H225" s="23">
        <v>275000</v>
      </c>
      <c r="I225" s="123"/>
      <c r="J225" s="23">
        <v>1584000</v>
      </c>
      <c r="K225" s="24">
        <v>4500000</v>
      </c>
      <c r="L225" s="123"/>
      <c r="M225" s="123"/>
      <c r="N225" s="27"/>
      <c r="O225" s="27"/>
      <c r="P225" s="27"/>
      <c r="Q225" s="27"/>
      <c r="R225" s="27"/>
      <c r="S225" s="27"/>
      <c r="T225" s="24"/>
      <c r="U225" s="16">
        <f t="shared" si="25"/>
        <v>6359000</v>
      </c>
      <c r="V225" s="23">
        <v>2859000</v>
      </c>
      <c r="W225" s="17"/>
      <c r="X225" s="17"/>
      <c r="Y225" s="22">
        <f t="shared" si="24"/>
        <v>3500000</v>
      </c>
      <c r="Z225" s="18"/>
    </row>
    <row r="226" spans="1:27" s="124" customFormat="1" ht="31.2">
      <c r="A226" s="27"/>
      <c r="B226" s="42"/>
      <c r="C226" s="129" t="s">
        <v>949</v>
      </c>
      <c r="D226" s="62"/>
      <c r="E226" s="28" t="s">
        <v>950</v>
      </c>
      <c r="F226" s="21" t="s">
        <v>951</v>
      </c>
      <c r="G226" s="23" t="s">
        <v>953</v>
      </c>
      <c r="H226" s="23">
        <v>200000</v>
      </c>
      <c r="I226" s="123"/>
      <c r="J226" s="23">
        <v>900000</v>
      </c>
      <c r="K226" s="24"/>
      <c r="L226" s="123"/>
      <c r="M226" s="123"/>
      <c r="N226" s="27"/>
      <c r="O226" s="27"/>
      <c r="P226" s="27"/>
      <c r="Q226" s="27"/>
      <c r="R226" s="27"/>
      <c r="S226" s="27"/>
      <c r="T226" s="24">
        <v>90000</v>
      </c>
      <c r="U226" s="16">
        <f t="shared" si="25"/>
        <v>1190000</v>
      </c>
      <c r="V226" s="23">
        <v>1190000</v>
      </c>
      <c r="W226" s="17"/>
      <c r="X226" s="17" t="s">
        <v>952</v>
      </c>
      <c r="Y226" s="22">
        <f t="shared" si="24"/>
        <v>0</v>
      </c>
      <c r="Z226" s="82"/>
    </row>
    <row r="227" spans="1:27" ht="15.6">
      <c r="A227" s="27"/>
      <c r="B227" s="17"/>
      <c r="C227" s="18"/>
      <c r="D227" s="20"/>
      <c r="E227" s="40"/>
      <c r="F227" s="21"/>
      <c r="G227" s="22"/>
      <c r="H227" s="23"/>
      <c r="I227" s="57"/>
      <c r="J227" s="23"/>
      <c r="K227" s="24"/>
      <c r="L227" s="57"/>
      <c r="M227" s="57"/>
      <c r="N227" s="57"/>
      <c r="O227" s="57"/>
      <c r="P227" s="57"/>
      <c r="Q227" s="57"/>
      <c r="R227" s="57"/>
      <c r="S227" s="57"/>
      <c r="T227" s="24"/>
      <c r="U227" s="16"/>
      <c r="V227" s="57"/>
      <c r="W227" s="57"/>
      <c r="X227" s="57"/>
      <c r="Y227" s="22">
        <f t="shared" si="24"/>
        <v>0</v>
      </c>
      <c r="Z227" s="57"/>
    </row>
    <row r="228" spans="1:27" ht="15.6">
      <c r="A228" s="27"/>
      <c r="B228" s="17"/>
      <c r="C228" s="79" t="s">
        <v>107</v>
      </c>
      <c r="D228" s="57"/>
      <c r="E228" s="57"/>
      <c r="F228" s="57"/>
      <c r="G228" s="57"/>
      <c r="H228" s="80">
        <f>SUM(H176:H201)</f>
        <v>4938000</v>
      </c>
      <c r="I228" s="80">
        <f>SUM(I176:I201)</f>
        <v>0</v>
      </c>
      <c r="J228" s="80">
        <f>SUM(J176:J212)</f>
        <v>45700000</v>
      </c>
      <c r="K228" s="80">
        <f t="shared" ref="K228:V228" si="26">SUM(K176:K201)</f>
        <v>30000000</v>
      </c>
      <c r="L228" s="80">
        <f t="shared" si="26"/>
        <v>0</v>
      </c>
      <c r="M228" s="80">
        <f t="shared" si="26"/>
        <v>0</v>
      </c>
      <c r="N228" s="80">
        <f t="shared" si="26"/>
        <v>0</v>
      </c>
      <c r="O228" s="80">
        <f t="shared" si="26"/>
        <v>0</v>
      </c>
      <c r="P228" s="80">
        <f t="shared" si="26"/>
        <v>0</v>
      </c>
      <c r="Q228" s="80">
        <f t="shared" si="26"/>
        <v>16500000</v>
      </c>
      <c r="R228" s="80">
        <f t="shared" si="26"/>
        <v>0</v>
      </c>
      <c r="S228" s="80">
        <f t="shared" si="26"/>
        <v>750000</v>
      </c>
      <c r="T228" s="80">
        <f t="shared" si="26"/>
        <v>3620800</v>
      </c>
      <c r="U228" s="80">
        <f t="shared" si="26"/>
        <v>82278800</v>
      </c>
      <c r="V228" s="80">
        <f t="shared" si="26"/>
        <v>69528800</v>
      </c>
      <c r="W228" s="80"/>
      <c r="X228" s="80">
        <f>SUM(X176:X201)</f>
        <v>0</v>
      </c>
      <c r="Y228" s="22">
        <f t="shared" si="24"/>
        <v>12750000</v>
      </c>
      <c r="Z228" s="57"/>
    </row>
    <row r="229" spans="1:27" ht="15.6">
      <c r="A229" s="16" t="s">
        <v>820</v>
      </c>
      <c r="B229" s="17"/>
      <c r="C229" s="18"/>
      <c r="D229" s="19"/>
      <c r="E229" s="20"/>
      <c r="F229" s="21"/>
      <c r="G229" s="22"/>
      <c r="H229" s="23"/>
      <c r="I229" s="24"/>
      <c r="J229" s="23"/>
      <c r="K229" s="24"/>
      <c r="L229" s="24"/>
      <c r="M229" s="23"/>
      <c r="N229" s="24"/>
      <c r="O229" s="24"/>
      <c r="P229" s="24"/>
      <c r="Q229" s="24"/>
      <c r="R229" s="24"/>
      <c r="S229" s="24"/>
      <c r="T229" s="24"/>
      <c r="U229" s="16">
        <f t="shared" ref="U229:U326" si="27">+SUM(H229:T229)</f>
        <v>0</v>
      </c>
      <c r="V229" s="23"/>
      <c r="W229" s="17"/>
      <c r="X229" s="17"/>
      <c r="Y229" s="22">
        <f t="shared" si="24"/>
        <v>0</v>
      </c>
      <c r="Z229" s="25"/>
      <c r="AA229" s="26"/>
    </row>
    <row r="230" spans="1:27" ht="31.2">
      <c r="A230" s="23"/>
      <c r="B230" s="17">
        <v>42188</v>
      </c>
      <c r="C230" s="125" t="s">
        <v>827</v>
      </c>
      <c r="D230" s="183"/>
      <c r="E230" s="28" t="s">
        <v>96</v>
      </c>
      <c r="F230" s="184" t="s">
        <v>828</v>
      </c>
      <c r="G230" s="22" t="s">
        <v>125</v>
      </c>
      <c r="H230" s="23">
        <v>250000</v>
      </c>
      <c r="I230" s="57"/>
      <c r="J230" s="23">
        <v>900000</v>
      </c>
      <c r="K230" s="24"/>
      <c r="L230" s="57"/>
      <c r="M230" s="57"/>
      <c r="N230" s="57"/>
      <c r="O230" s="57"/>
      <c r="P230" s="57"/>
      <c r="Q230" s="57"/>
      <c r="R230" s="76"/>
      <c r="S230" s="24"/>
      <c r="T230" s="24"/>
      <c r="U230" s="16">
        <f t="shared" si="27"/>
        <v>1150000</v>
      </c>
      <c r="V230" s="23">
        <v>1150000</v>
      </c>
      <c r="W230" s="17">
        <v>42188</v>
      </c>
      <c r="X230" s="17"/>
      <c r="Y230" s="22">
        <f t="shared" si="24"/>
        <v>0</v>
      </c>
      <c r="Z230" s="82" t="s">
        <v>871</v>
      </c>
    </row>
    <row r="231" spans="1:27" s="124" customFormat="1" ht="31.2">
      <c r="A231" s="27" t="s">
        <v>840</v>
      </c>
      <c r="B231" s="17">
        <v>42191</v>
      </c>
      <c r="C231" s="18" t="s">
        <v>838</v>
      </c>
      <c r="D231" s="52" t="s">
        <v>839</v>
      </c>
      <c r="E231" s="40" t="s">
        <v>347</v>
      </c>
      <c r="F231" s="21" t="s">
        <v>1009</v>
      </c>
      <c r="G231" s="23" t="s">
        <v>833</v>
      </c>
      <c r="H231" s="23">
        <v>830000</v>
      </c>
      <c r="I231" s="123"/>
      <c r="J231" s="23">
        <v>0</v>
      </c>
      <c r="K231" s="24">
        <v>1500000</v>
      </c>
      <c r="L231" s="123"/>
      <c r="M231" s="123"/>
      <c r="N231" s="27"/>
      <c r="O231" s="27"/>
      <c r="P231" s="27"/>
      <c r="Q231" s="27"/>
      <c r="R231" s="27"/>
      <c r="S231" s="24"/>
      <c r="T231" s="24">
        <v>120000</v>
      </c>
      <c r="U231" s="16">
        <f t="shared" si="27"/>
        <v>2450000</v>
      </c>
      <c r="V231" s="23">
        <f>750000+830000+870000</f>
        <v>2450000</v>
      </c>
      <c r="W231" s="17" t="s">
        <v>1104</v>
      </c>
      <c r="X231" s="17" t="s">
        <v>1047</v>
      </c>
      <c r="Y231" s="22">
        <f t="shared" si="24"/>
        <v>0</v>
      </c>
      <c r="Z231" s="82" t="s">
        <v>1105</v>
      </c>
    </row>
    <row r="232" spans="1:27" s="124" customFormat="1" ht="31.2">
      <c r="A232" s="27"/>
      <c r="B232" s="17">
        <v>42191</v>
      </c>
      <c r="C232" s="18" t="s">
        <v>845</v>
      </c>
      <c r="D232" s="52"/>
      <c r="E232" s="40" t="s">
        <v>347</v>
      </c>
      <c r="F232" s="21" t="s">
        <v>974</v>
      </c>
      <c r="G232" s="23" t="s">
        <v>91</v>
      </c>
      <c r="H232" s="23"/>
      <c r="I232" s="123"/>
      <c r="J232" s="23"/>
      <c r="K232" s="24">
        <v>5000000</v>
      </c>
      <c r="L232" s="123"/>
      <c r="M232" s="123"/>
      <c r="N232" s="27"/>
      <c r="O232" s="27"/>
      <c r="P232" s="27"/>
      <c r="Q232" s="27"/>
      <c r="R232" s="27"/>
      <c r="S232" s="24"/>
      <c r="T232" s="24"/>
      <c r="U232" s="16">
        <f t="shared" si="27"/>
        <v>5000000</v>
      </c>
      <c r="V232" s="23">
        <v>5000000</v>
      </c>
      <c r="W232" s="17" t="s">
        <v>975</v>
      </c>
      <c r="X232" s="17"/>
      <c r="Y232" s="22">
        <f t="shared" si="24"/>
        <v>0</v>
      </c>
      <c r="Z232" s="82"/>
    </row>
    <row r="233" spans="1:27" s="124" customFormat="1" ht="31.2">
      <c r="A233" s="23" t="s">
        <v>835</v>
      </c>
      <c r="B233" s="17">
        <v>42192</v>
      </c>
      <c r="C233" s="18" t="s">
        <v>836</v>
      </c>
      <c r="D233" s="52" t="s">
        <v>837</v>
      </c>
      <c r="E233" s="40" t="s">
        <v>347</v>
      </c>
      <c r="F233" s="21" t="s">
        <v>854</v>
      </c>
      <c r="G233" s="23" t="s">
        <v>739</v>
      </c>
      <c r="H233" s="23">
        <v>830000</v>
      </c>
      <c r="I233" s="123"/>
      <c r="J233" s="23">
        <v>1440000</v>
      </c>
      <c r="K233" s="24">
        <v>2800000</v>
      </c>
      <c r="L233" s="123"/>
      <c r="M233" s="123"/>
      <c r="N233" s="27"/>
      <c r="O233" s="27"/>
      <c r="P233" s="27"/>
      <c r="Q233" s="27"/>
      <c r="R233" s="27"/>
      <c r="S233" s="24"/>
      <c r="T233" s="24"/>
      <c r="U233" s="16">
        <f t="shared" si="27"/>
        <v>5070000</v>
      </c>
      <c r="V233" s="23">
        <f>2535000+2535000</f>
        <v>5070000</v>
      </c>
      <c r="W233" s="17" t="s">
        <v>1010</v>
      </c>
      <c r="X233" s="17" t="s">
        <v>1011</v>
      </c>
      <c r="Y233" s="22">
        <f t="shared" si="24"/>
        <v>0</v>
      </c>
      <c r="Z233" s="82"/>
    </row>
    <row r="234" spans="1:27" s="124" customFormat="1" ht="31.2">
      <c r="A234" s="23" t="s">
        <v>842</v>
      </c>
      <c r="B234" s="128">
        <v>42193</v>
      </c>
      <c r="C234" s="129" t="s">
        <v>843</v>
      </c>
      <c r="D234" s="62" t="s">
        <v>844</v>
      </c>
      <c r="E234" s="40" t="s">
        <v>224</v>
      </c>
      <c r="F234" s="21"/>
      <c r="G234" s="23" t="s">
        <v>91</v>
      </c>
      <c r="H234" s="23"/>
      <c r="I234" s="123"/>
      <c r="J234" s="23">
        <v>1440000</v>
      </c>
      <c r="K234" s="24">
        <v>1000000</v>
      </c>
      <c r="L234" s="123"/>
      <c r="M234" s="123"/>
      <c r="N234" s="27"/>
      <c r="O234" s="27"/>
      <c r="P234" s="27"/>
      <c r="Q234" s="27"/>
      <c r="R234" s="27"/>
      <c r="S234" s="27"/>
      <c r="T234" s="24">
        <v>144000</v>
      </c>
      <c r="U234" s="16">
        <f t="shared" si="27"/>
        <v>2584000</v>
      </c>
      <c r="V234" s="23">
        <v>2584000</v>
      </c>
      <c r="W234" s="17">
        <v>42193</v>
      </c>
      <c r="X234" s="17"/>
      <c r="Y234" s="22">
        <f t="shared" si="24"/>
        <v>0</v>
      </c>
      <c r="Z234" s="18"/>
    </row>
    <row r="235" spans="1:27" s="124" customFormat="1" ht="27.6">
      <c r="A235" s="23"/>
      <c r="B235" s="128">
        <v>42193</v>
      </c>
      <c r="C235" s="129" t="s">
        <v>381</v>
      </c>
      <c r="D235" s="62" t="s">
        <v>380</v>
      </c>
      <c r="E235" s="40" t="s">
        <v>847</v>
      </c>
      <c r="F235" s="21"/>
      <c r="G235" s="23" t="s">
        <v>140</v>
      </c>
      <c r="H235" s="23"/>
      <c r="I235" s="123"/>
      <c r="J235" s="23"/>
      <c r="K235" s="24">
        <v>1500000</v>
      </c>
      <c r="L235" s="123"/>
      <c r="M235" s="123"/>
      <c r="N235" s="27"/>
      <c r="O235" s="27"/>
      <c r="P235" s="27"/>
      <c r="Q235" s="27"/>
      <c r="R235" s="27"/>
      <c r="S235" s="27"/>
      <c r="T235" s="24"/>
      <c r="U235" s="16">
        <f t="shared" si="27"/>
        <v>1500000</v>
      </c>
      <c r="V235" s="23"/>
      <c r="W235" s="17"/>
      <c r="X235" s="17"/>
      <c r="Y235" s="22">
        <f t="shared" si="24"/>
        <v>1500000</v>
      </c>
      <c r="Z235" s="18"/>
    </row>
    <row r="236" spans="1:27" s="124" customFormat="1" ht="31.2">
      <c r="A236" s="27"/>
      <c r="B236" s="128">
        <v>42193</v>
      </c>
      <c r="C236" s="129" t="s">
        <v>848</v>
      </c>
      <c r="D236" s="186" t="s">
        <v>849</v>
      </c>
      <c r="E236" s="28" t="s">
        <v>96</v>
      </c>
      <c r="F236" s="184" t="s">
        <v>850</v>
      </c>
      <c r="G236" s="38" t="s">
        <v>851</v>
      </c>
      <c r="H236" s="23">
        <v>200000</v>
      </c>
      <c r="I236" s="123"/>
      <c r="J236" s="23">
        <v>1440000</v>
      </c>
      <c r="K236" s="24"/>
      <c r="L236" s="123"/>
      <c r="M236" s="123"/>
      <c r="N236" s="27"/>
      <c r="O236" s="27"/>
      <c r="P236" s="27"/>
      <c r="Q236" s="27"/>
      <c r="R236" s="27"/>
      <c r="S236" s="27"/>
      <c r="T236" s="24"/>
      <c r="U236" s="16">
        <f t="shared" si="27"/>
        <v>1640000</v>
      </c>
      <c r="V236" s="23">
        <v>1640000</v>
      </c>
      <c r="W236" s="17">
        <v>42193</v>
      </c>
      <c r="X236" s="17"/>
      <c r="Y236" s="22">
        <f t="shared" si="24"/>
        <v>0</v>
      </c>
      <c r="Z236" s="18"/>
    </row>
    <row r="237" spans="1:27" s="124" customFormat="1" ht="31.2">
      <c r="A237" s="27" t="s">
        <v>856</v>
      </c>
      <c r="B237" s="128">
        <v>42194</v>
      </c>
      <c r="C237" s="160" t="s">
        <v>857</v>
      </c>
      <c r="D237" s="62" t="s">
        <v>858</v>
      </c>
      <c r="E237" s="40" t="s">
        <v>347</v>
      </c>
      <c r="F237" s="21" t="s">
        <v>859</v>
      </c>
      <c r="G237" s="23" t="s">
        <v>833</v>
      </c>
      <c r="H237" s="23">
        <v>830000</v>
      </c>
      <c r="I237" s="123"/>
      <c r="J237" s="23">
        <v>1440000</v>
      </c>
      <c r="K237" s="24">
        <v>230000</v>
      </c>
      <c r="L237" s="123"/>
      <c r="M237" s="123"/>
      <c r="N237" s="27"/>
      <c r="O237" s="27"/>
      <c r="P237" s="27"/>
      <c r="Q237" s="27"/>
      <c r="R237" s="27"/>
      <c r="S237" s="27"/>
      <c r="T237" s="24"/>
      <c r="U237" s="16">
        <f t="shared" si="27"/>
        <v>2500000</v>
      </c>
      <c r="V237" s="23">
        <v>1250000</v>
      </c>
      <c r="W237" s="17">
        <v>42205</v>
      </c>
      <c r="X237" s="17"/>
      <c r="Y237" s="22">
        <f t="shared" si="24"/>
        <v>1250000</v>
      </c>
      <c r="Z237" s="18"/>
    </row>
    <row r="238" spans="1:27" s="124" customFormat="1" ht="31.2">
      <c r="A238" s="23"/>
      <c r="B238" s="128"/>
      <c r="C238" s="129" t="s">
        <v>860</v>
      </c>
      <c r="D238" s="62"/>
      <c r="E238" s="40"/>
      <c r="F238" s="21" t="s">
        <v>861</v>
      </c>
      <c r="G238" s="23" t="s">
        <v>578</v>
      </c>
      <c r="H238" s="23">
        <v>830000</v>
      </c>
      <c r="I238" s="123"/>
      <c r="J238" s="23">
        <v>1008000</v>
      </c>
      <c r="K238" s="24"/>
      <c r="L238" s="123"/>
      <c r="M238" s="123"/>
      <c r="N238" s="27"/>
      <c r="O238" s="27"/>
      <c r="P238" s="27"/>
      <c r="Q238" s="27"/>
      <c r="R238" s="27"/>
      <c r="S238" s="27"/>
      <c r="T238" s="24"/>
      <c r="U238" s="16">
        <f t="shared" si="27"/>
        <v>1838000</v>
      </c>
      <c r="V238" s="23">
        <v>1838000</v>
      </c>
      <c r="W238" s="17"/>
      <c r="X238" s="17"/>
      <c r="Y238" s="22">
        <f t="shared" si="24"/>
        <v>0</v>
      </c>
      <c r="Z238" s="18" t="s">
        <v>1003</v>
      </c>
    </row>
    <row r="239" spans="1:27" s="124" customFormat="1" ht="31.2">
      <c r="A239" s="23" t="s">
        <v>862</v>
      </c>
      <c r="B239" s="128">
        <v>42195</v>
      </c>
      <c r="C239" s="129" t="s">
        <v>863</v>
      </c>
      <c r="D239" s="62" t="s">
        <v>864</v>
      </c>
      <c r="E239" s="40" t="s">
        <v>347</v>
      </c>
      <c r="F239" s="21" t="s">
        <v>865</v>
      </c>
      <c r="G239" s="23" t="s">
        <v>752</v>
      </c>
      <c r="H239" s="23">
        <v>250000</v>
      </c>
      <c r="I239" s="123"/>
      <c r="J239" s="23">
        <v>1440000</v>
      </c>
      <c r="K239" s="24"/>
      <c r="L239" s="23"/>
      <c r="M239" s="123"/>
      <c r="N239" s="27"/>
      <c r="O239" s="27"/>
      <c r="P239" s="27"/>
      <c r="Q239" s="27"/>
      <c r="R239" s="27"/>
      <c r="S239" s="27"/>
      <c r="T239" s="24"/>
      <c r="U239" s="16">
        <f t="shared" si="27"/>
        <v>1690000</v>
      </c>
      <c r="V239" s="23">
        <v>1690000</v>
      </c>
      <c r="W239" s="17">
        <v>42205</v>
      </c>
      <c r="X239" s="17"/>
      <c r="Y239" s="22">
        <f t="shared" si="24"/>
        <v>0</v>
      </c>
      <c r="Z239" s="18"/>
    </row>
    <row r="240" spans="1:27" s="124" customFormat="1" ht="27.6">
      <c r="A240" s="27"/>
      <c r="B240" s="128">
        <v>42198</v>
      </c>
      <c r="C240" s="129" t="s">
        <v>868</v>
      </c>
      <c r="D240" s="62"/>
      <c r="E240" s="40"/>
      <c r="F240" s="21" t="s">
        <v>867</v>
      </c>
      <c r="G240" s="23" t="s">
        <v>125</v>
      </c>
      <c r="H240" s="23">
        <v>253000</v>
      </c>
      <c r="I240" s="123"/>
      <c r="J240" s="23"/>
      <c r="K240" s="24"/>
      <c r="L240" s="123"/>
      <c r="M240" s="123"/>
      <c r="N240" s="27"/>
      <c r="O240" s="27"/>
      <c r="P240" s="27"/>
      <c r="Q240" s="27"/>
      <c r="R240" s="27"/>
      <c r="S240" s="27"/>
      <c r="T240" s="24"/>
      <c r="U240" s="16">
        <f t="shared" si="27"/>
        <v>253000</v>
      </c>
      <c r="V240" s="23">
        <v>253000</v>
      </c>
      <c r="W240" s="17">
        <v>42198</v>
      </c>
      <c r="X240" s="17"/>
      <c r="Y240" s="22">
        <f t="shared" si="24"/>
        <v>0</v>
      </c>
      <c r="Z240" s="82"/>
    </row>
    <row r="241" spans="1:27" s="124" customFormat="1" ht="41.4">
      <c r="A241" s="27"/>
      <c r="B241" s="128">
        <v>42200</v>
      </c>
      <c r="C241" s="129" t="s">
        <v>872</v>
      </c>
      <c r="D241" s="187">
        <v>912799033</v>
      </c>
      <c r="E241" s="28" t="s">
        <v>96</v>
      </c>
      <c r="F241" s="188" t="s">
        <v>873</v>
      </c>
      <c r="G241" s="23" t="s">
        <v>91</v>
      </c>
      <c r="H241" s="23">
        <v>253000</v>
      </c>
      <c r="I241" s="123"/>
      <c r="J241" s="23">
        <v>1080000</v>
      </c>
      <c r="K241" s="24"/>
      <c r="L241" s="123"/>
      <c r="M241" s="123"/>
      <c r="N241" s="27"/>
      <c r="O241" s="27"/>
      <c r="P241" s="27"/>
      <c r="Q241" s="27"/>
      <c r="R241" s="27"/>
      <c r="S241" s="27"/>
      <c r="T241" s="24">
        <v>133300</v>
      </c>
      <c r="U241" s="16">
        <f t="shared" si="27"/>
        <v>1466300</v>
      </c>
      <c r="V241" s="23">
        <v>1466300</v>
      </c>
      <c r="W241" s="17">
        <v>42200</v>
      </c>
      <c r="X241" s="17" t="s">
        <v>874</v>
      </c>
      <c r="Y241" s="22">
        <f t="shared" si="24"/>
        <v>0</v>
      </c>
      <c r="Z241" s="18"/>
    </row>
    <row r="242" spans="1:27" s="124" customFormat="1" ht="31.2">
      <c r="A242" s="23" t="s">
        <v>880</v>
      </c>
      <c r="B242" s="128">
        <v>42200</v>
      </c>
      <c r="C242" s="129" t="s">
        <v>877</v>
      </c>
      <c r="D242" s="136" t="s">
        <v>878</v>
      </c>
      <c r="E242" s="40" t="s">
        <v>96</v>
      </c>
      <c r="F242" s="21" t="s">
        <v>879</v>
      </c>
      <c r="G242" s="23" t="s">
        <v>275</v>
      </c>
      <c r="H242" s="23">
        <v>250000</v>
      </c>
      <c r="I242" s="123"/>
      <c r="J242" s="23">
        <v>828000</v>
      </c>
      <c r="K242" s="24"/>
      <c r="L242" s="123"/>
      <c r="M242" s="123"/>
      <c r="N242" s="27"/>
      <c r="O242" s="27"/>
      <c r="P242" s="27"/>
      <c r="Q242" s="27"/>
      <c r="R242" s="27"/>
      <c r="S242" s="27"/>
      <c r="T242" s="24"/>
      <c r="U242" s="16">
        <f t="shared" si="27"/>
        <v>1078000</v>
      </c>
      <c r="V242" s="23">
        <v>1078000</v>
      </c>
      <c r="W242" s="17">
        <v>42201</v>
      </c>
      <c r="X242" s="17"/>
      <c r="Y242" s="22">
        <f t="shared" si="24"/>
        <v>0</v>
      </c>
      <c r="Z242" s="18"/>
    </row>
    <row r="243" spans="1:27" s="124" customFormat="1" ht="31.2">
      <c r="A243" s="23" t="s">
        <v>965</v>
      </c>
      <c r="B243" s="42">
        <v>42202</v>
      </c>
      <c r="C243" s="129" t="s">
        <v>505</v>
      </c>
      <c r="D243" s="136" t="s">
        <v>966</v>
      </c>
      <c r="E243" s="40" t="s">
        <v>180</v>
      </c>
      <c r="F243" s="21" t="s">
        <v>507</v>
      </c>
      <c r="G243" s="23" t="s">
        <v>91</v>
      </c>
      <c r="H243" s="23"/>
      <c r="I243" s="123"/>
      <c r="J243" s="23"/>
      <c r="K243" s="24">
        <v>3000000</v>
      </c>
      <c r="L243" s="123"/>
      <c r="M243" s="123"/>
      <c r="N243" s="27"/>
      <c r="O243" s="27"/>
      <c r="P243" s="27"/>
      <c r="Q243" s="27"/>
      <c r="R243" s="27"/>
      <c r="S243" s="27"/>
      <c r="T243" s="24"/>
      <c r="U243" s="16">
        <f t="shared" si="27"/>
        <v>3000000</v>
      </c>
      <c r="V243" s="23">
        <v>3000000</v>
      </c>
      <c r="W243" s="17">
        <v>42209</v>
      </c>
      <c r="X243" s="17"/>
      <c r="Y243" s="22">
        <f t="shared" si="24"/>
        <v>0</v>
      </c>
      <c r="Z243" s="82"/>
    </row>
    <row r="244" spans="1:27" s="63" customFormat="1" ht="31.2">
      <c r="A244" s="27"/>
      <c r="B244" s="42"/>
      <c r="C244" s="125"/>
      <c r="D244" s="20"/>
      <c r="E244" s="40"/>
      <c r="F244" s="21" t="s">
        <v>881</v>
      </c>
      <c r="G244" s="23" t="s">
        <v>882</v>
      </c>
      <c r="H244" s="23"/>
      <c r="I244" s="121"/>
      <c r="J244" s="23"/>
      <c r="K244" s="24"/>
      <c r="L244" s="121"/>
      <c r="M244" s="121"/>
      <c r="N244" s="121"/>
      <c r="O244" s="121"/>
      <c r="P244" s="24"/>
      <c r="Q244" s="24"/>
      <c r="R244" s="121"/>
      <c r="S244" s="121"/>
      <c r="T244" s="24"/>
      <c r="U244" s="16">
        <f t="shared" si="27"/>
        <v>0</v>
      </c>
      <c r="V244" s="23"/>
      <c r="W244" s="122"/>
      <c r="X244" s="17"/>
      <c r="Y244" s="22">
        <f t="shared" si="24"/>
        <v>0</v>
      </c>
      <c r="Z244" s="33"/>
      <c r="AA244" s="158"/>
    </row>
    <row r="245" spans="1:27" s="63" customFormat="1" ht="15.6">
      <c r="A245" s="23"/>
      <c r="B245" s="42">
        <v>42201</v>
      </c>
      <c r="C245" s="125"/>
      <c r="D245" s="52"/>
      <c r="E245" s="40" t="s">
        <v>310</v>
      </c>
      <c r="F245" s="184" t="s">
        <v>883</v>
      </c>
      <c r="G245" s="22" t="s">
        <v>47</v>
      </c>
      <c r="H245" s="23">
        <v>350000</v>
      </c>
      <c r="I245" s="121"/>
      <c r="J245" s="23"/>
      <c r="K245" s="24"/>
      <c r="L245" s="121"/>
      <c r="M245" s="121"/>
      <c r="N245" s="121"/>
      <c r="O245" s="121"/>
      <c r="P245" s="24"/>
      <c r="Q245" s="24"/>
      <c r="R245" s="121"/>
      <c r="S245" s="121"/>
      <c r="T245" s="24"/>
      <c r="U245" s="16">
        <f t="shared" si="27"/>
        <v>350000</v>
      </c>
      <c r="V245" s="23">
        <v>350000</v>
      </c>
      <c r="W245" s="122">
        <v>42201</v>
      </c>
      <c r="X245" s="17"/>
      <c r="Y245" s="22">
        <f t="shared" si="24"/>
        <v>0</v>
      </c>
      <c r="Z245" s="33"/>
      <c r="AA245" s="158"/>
    </row>
    <row r="246" spans="1:27" s="63" customFormat="1" ht="31.2">
      <c r="A246" s="23" t="s">
        <v>885</v>
      </c>
      <c r="B246" s="42">
        <v>42201</v>
      </c>
      <c r="C246" s="125" t="s">
        <v>886</v>
      </c>
      <c r="D246" s="52" t="s">
        <v>887</v>
      </c>
      <c r="E246" s="40" t="s">
        <v>577</v>
      </c>
      <c r="F246" s="21"/>
      <c r="G246" s="22" t="s">
        <v>28</v>
      </c>
      <c r="H246" s="23"/>
      <c r="I246" s="121"/>
      <c r="J246" s="23">
        <v>1080000</v>
      </c>
      <c r="K246" s="24"/>
      <c r="L246" s="121"/>
      <c r="M246" s="121"/>
      <c r="N246" s="121"/>
      <c r="O246" s="121"/>
      <c r="P246" s="24"/>
      <c r="Q246" s="24"/>
      <c r="R246" s="121"/>
      <c r="S246" s="121"/>
      <c r="T246" s="24"/>
      <c r="U246" s="16">
        <f t="shared" si="27"/>
        <v>1080000</v>
      </c>
      <c r="V246" s="23">
        <v>1080000</v>
      </c>
      <c r="W246" s="122">
        <v>42201</v>
      </c>
      <c r="X246" s="17"/>
      <c r="Y246" s="22">
        <f t="shared" si="24"/>
        <v>0</v>
      </c>
      <c r="Z246" s="33"/>
      <c r="AA246" s="158"/>
    </row>
    <row r="247" spans="1:27" s="63" customFormat="1" ht="46.8">
      <c r="A247" s="23" t="s">
        <v>889</v>
      </c>
      <c r="B247" s="42">
        <v>42199</v>
      </c>
      <c r="C247" s="18" t="s">
        <v>43</v>
      </c>
      <c r="D247" s="52" t="s">
        <v>890</v>
      </c>
      <c r="E247" s="40" t="s">
        <v>332</v>
      </c>
      <c r="F247" s="21" t="s">
        <v>891</v>
      </c>
      <c r="G247" s="22" t="s">
        <v>47</v>
      </c>
      <c r="H247" s="23"/>
      <c r="I247" s="121"/>
      <c r="J247" s="23"/>
      <c r="K247" s="24">
        <v>19000000</v>
      </c>
      <c r="L247" s="121"/>
      <c r="M247" s="121"/>
      <c r="N247" s="121"/>
      <c r="O247" s="121"/>
      <c r="P247" s="24"/>
      <c r="Q247" s="24"/>
      <c r="R247" s="121"/>
      <c r="S247" s="121"/>
      <c r="T247" s="24"/>
      <c r="U247" s="16">
        <f t="shared" si="27"/>
        <v>19000000</v>
      </c>
      <c r="V247" s="23">
        <v>9500000</v>
      </c>
      <c r="W247" s="122">
        <v>42207</v>
      </c>
      <c r="X247" s="17"/>
      <c r="Y247" s="22">
        <f t="shared" si="24"/>
        <v>9500000</v>
      </c>
      <c r="Z247" s="33" t="s">
        <v>919</v>
      </c>
      <c r="AA247" s="158"/>
    </row>
    <row r="248" spans="1:27" s="63" customFormat="1" ht="31.2">
      <c r="A248" s="27"/>
      <c r="B248" s="42">
        <v>42202</v>
      </c>
      <c r="C248" s="129" t="s">
        <v>395</v>
      </c>
      <c r="D248" s="22"/>
      <c r="E248" s="40" t="s">
        <v>847</v>
      </c>
      <c r="F248" s="21" t="s">
        <v>396</v>
      </c>
      <c r="G248" s="22" t="s">
        <v>125</v>
      </c>
      <c r="H248" s="23"/>
      <c r="I248" s="121"/>
      <c r="J248" s="23"/>
      <c r="K248" s="24">
        <v>3000000</v>
      </c>
      <c r="L248" s="121"/>
      <c r="M248" s="121"/>
      <c r="N248" s="121"/>
      <c r="O248" s="121"/>
      <c r="P248" s="24"/>
      <c r="Q248" s="24"/>
      <c r="R248" s="121"/>
      <c r="S248" s="121"/>
      <c r="T248" s="24"/>
      <c r="U248" s="16">
        <f t="shared" si="27"/>
        <v>3000000</v>
      </c>
      <c r="V248" s="23">
        <v>3000000</v>
      </c>
      <c r="W248" s="122">
        <v>42205</v>
      </c>
      <c r="X248" s="17"/>
      <c r="Y248" s="22">
        <f t="shared" si="24"/>
        <v>0</v>
      </c>
      <c r="Z248" s="33" t="s">
        <v>915</v>
      </c>
      <c r="AA248" s="158"/>
    </row>
    <row r="249" spans="1:27" s="63" customFormat="1" ht="41.4">
      <c r="A249" s="27"/>
      <c r="B249" s="42">
        <v>42202</v>
      </c>
      <c r="C249" s="129" t="s">
        <v>893</v>
      </c>
      <c r="D249" s="174"/>
      <c r="E249" s="40" t="s">
        <v>361</v>
      </c>
      <c r="F249" s="21" t="s">
        <v>892</v>
      </c>
      <c r="G249" s="23" t="s">
        <v>125</v>
      </c>
      <c r="H249" s="23"/>
      <c r="I249" s="121"/>
      <c r="J249" s="23"/>
      <c r="K249" s="24">
        <v>4000000</v>
      </c>
      <c r="L249" s="121"/>
      <c r="M249" s="121"/>
      <c r="N249" s="121"/>
      <c r="O249" s="121"/>
      <c r="P249" s="24"/>
      <c r="Q249" s="24"/>
      <c r="R249" s="121"/>
      <c r="S249" s="121"/>
      <c r="T249" s="24"/>
      <c r="U249" s="16">
        <f t="shared" si="27"/>
        <v>4000000</v>
      </c>
      <c r="V249" s="23">
        <v>2000000</v>
      </c>
      <c r="W249" s="122">
        <v>42167</v>
      </c>
      <c r="X249" s="17"/>
      <c r="Y249" s="22">
        <f t="shared" si="24"/>
        <v>2000000</v>
      </c>
      <c r="Z249" s="33"/>
      <c r="AA249" s="158"/>
    </row>
    <row r="250" spans="1:27" s="63" customFormat="1" ht="31.2">
      <c r="A250" s="23"/>
      <c r="B250" s="42">
        <v>42202</v>
      </c>
      <c r="C250" s="125" t="s">
        <v>895</v>
      </c>
      <c r="D250" s="20"/>
      <c r="E250" s="40" t="s">
        <v>96</v>
      </c>
      <c r="F250" s="21" t="s">
        <v>924</v>
      </c>
      <c r="G250" s="22" t="s">
        <v>140</v>
      </c>
      <c r="H250" s="23">
        <v>250000</v>
      </c>
      <c r="I250" s="23"/>
      <c r="J250" s="23">
        <v>1080000</v>
      </c>
      <c r="K250" s="24"/>
      <c r="L250" s="121"/>
      <c r="M250" s="121"/>
      <c r="N250" s="121"/>
      <c r="O250" s="121"/>
      <c r="P250" s="24"/>
      <c r="Q250" s="24"/>
      <c r="R250" s="121"/>
      <c r="S250" s="121"/>
      <c r="T250" s="24"/>
      <c r="U250" s="16">
        <f t="shared" si="27"/>
        <v>1330000</v>
      </c>
      <c r="V250" s="23">
        <v>1330000</v>
      </c>
      <c r="W250" s="122">
        <v>42202</v>
      </c>
      <c r="X250" s="17"/>
      <c r="Y250" s="22">
        <f t="shared" si="24"/>
        <v>0</v>
      </c>
      <c r="Z250" s="33"/>
      <c r="AA250" s="158"/>
    </row>
    <row r="251" spans="1:27" ht="15.6">
      <c r="A251" s="27"/>
      <c r="B251" s="42">
        <v>42202</v>
      </c>
      <c r="C251" s="125" t="s">
        <v>278</v>
      </c>
      <c r="D251" s="20"/>
      <c r="E251" s="40" t="s">
        <v>577</v>
      </c>
      <c r="F251" s="21"/>
      <c r="G251" s="22" t="s">
        <v>602</v>
      </c>
      <c r="H251" s="23"/>
      <c r="I251" s="23"/>
      <c r="J251" s="23">
        <v>420000</v>
      </c>
      <c r="K251" s="24"/>
      <c r="L251" s="57"/>
      <c r="M251" s="57"/>
      <c r="N251" s="57"/>
      <c r="O251" s="57"/>
      <c r="P251" s="57"/>
      <c r="Q251" s="57"/>
      <c r="R251" s="57"/>
      <c r="S251" s="57"/>
      <c r="T251" s="24"/>
      <c r="U251" s="16">
        <f t="shared" si="27"/>
        <v>420000</v>
      </c>
      <c r="V251" s="23">
        <v>420000</v>
      </c>
      <c r="W251" s="122">
        <v>42202</v>
      </c>
      <c r="X251" s="17"/>
      <c r="Y251" s="22">
        <f t="shared" si="24"/>
        <v>0</v>
      </c>
      <c r="Z251" s="125"/>
    </row>
    <row r="252" spans="1:27" ht="31.2">
      <c r="A252" s="27" t="s">
        <v>896</v>
      </c>
      <c r="B252" s="42">
        <v>42203</v>
      </c>
      <c r="C252" s="125" t="s">
        <v>898</v>
      </c>
      <c r="D252" s="52" t="s">
        <v>905</v>
      </c>
      <c r="E252" s="40" t="s">
        <v>361</v>
      </c>
      <c r="F252" s="21" t="s">
        <v>897</v>
      </c>
      <c r="G252" s="22" t="s">
        <v>903</v>
      </c>
      <c r="H252" s="23">
        <v>253000</v>
      </c>
      <c r="I252" s="23">
        <v>1200000</v>
      </c>
      <c r="J252" s="23"/>
      <c r="K252" s="24"/>
      <c r="L252" s="57"/>
      <c r="M252" s="57"/>
      <c r="N252" s="57"/>
      <c r="O252" s="57"/>
      <c r="P252" s="57"/>
      <c r="Q252" s="57"/>
      <c r="R252" s="57"/>
      <c r="S252" s="57"/>
      <c r="T252" s="24">
        <v>145300</v>
      </c>
      <c r="U252" s="16">
        <f t="shared" si="27"/>
        <v>1598300</v>
      </c>
      <c r="V252" s="23"/>
      <c r="W252" s="122"/>
      <c r="X252" s="17" t="s">
        <v>906</v>
      </c>
      <c r="Y252" s="22">
        <f t="shared" si="24"/>
        <v>1598300</v>
      </c>
      <c r="Z252" s="57"/>
    </row>
    <row r="253" spans="1:27" ht="31.2">
      <c r="A253" s="27" t="s">
        <v>901</v>
      </c>
      <c r="B253" s="42">
        <v>42203</v>
      </c>
      <c r="C253" s="125" t="s">
        <v>899</v>
      </c>
      <c r="D253" s="52" t="s">
        <v>904</v>
      </c>
      <c r="E253" s="40" t="s">
        <v>361</v>
      </c>
      <c r="F253" s="21" t="s">
        <v>902</v>
      </c>
      <c r="G253" s="22" t="s">
        <v>903</v>
      </c>
      <c r="H253" s="23">
        <v>253000</v>
      </c>
      <c r="I253" s="23">
        <v>1200000</v>
      </c>
      <c r="J253" s="23"/>
      <c r="K253" s="24"/>
      <c r="L253" s="57"/>
      <c r="M253" s="57"/>
      <c r="N253" s="57"/>
      <c r="O253" s="57"/>
      <c r="P253" s="57"/>
      <c r="Q253" s="57"/>
      <c r="R253" s="57"/>
      <c r="S253" s="57"/>
      <c r="T253" s="24">
        <v>145300</v>
      </c>
      <c r="U253" s="16">
        <f t="shared" si="27"/>
        <v>1598300</v>
      </c>
      <c r="V253" s="23">
        <v>1599000</v>
      </c>
      <c r="W253" s="122">
        <v>42214</v>
      </c>
      <c r="X253" s="17" t="s">
        <v>907</v>
      </c>
      <c r="Y253" s="22">
        <f t="shared" si="24"/>
        <v>-700</v>
      </c>
      <c r="Z253" s="57"/>
    </row>
    <row r="254" spans="1:27" ht="31.2">
      <c r="A254" s="23" t="s">
        <v>908</v>
      </c>
      <c r="B254" s="42">
        <v>42203</v>
      </c>
      <c r="C254" s="125" t="s">
        <v>909</v>
      </c>
      <c r="D254" s="52" t="s">
        <v>910</v>
      </c>
      <c r="E254" s="40" t="s">
        <v>224</v>
      </c>
      <c r="F254" s="21"/>
      <c r="G254" s="22" t="s">
        <v>752</v>
      </c>
      <c r="H254" s="23"/>
      <c r="I254" s="57"/>
      <c r="J254" s="23">
        <v>1080000</v>
      </c>
      <c r="K254" s="24"/>
      <c r="L254" s="57"/>
      <c r="M254" s="57"/>
      <c r="N254" s="57"/>
      <c r="O254" s="57"/>
      <c r="P254" s="57"/>
      <c r="Q254" s="57"/>
      <c r="R254" s="57"/>
      <c r="S254" s="57"/>
      <c r="T254" s="24"/>
      <c r="U254" s="16">
        <f t="shared" si="27"/>
        <v>1080000</v>
      </c>
      <c r="V254" s="23">
        <v>1080000</v>
      </c>
      <c r="W254" s="122">
        <v>42205</v>
      </c>
      <c r="X254" s="17"/>
      <c r="Y254" s="22">
        <f t="shared" si="24"/>
        <v>0</v>
      </c>
      <c r="Z254" s="125"/>
    </row>
    <row r="255" spans="1:27" ht="41.4">
      <c r="A255" s="23" t="s">
        <v>912</v>
      </c>
      <c r="B255" s="42">
        <v>42205</v>
      </c>
      <c r="C255" s="125" t="s">
        <v>913</v>
      </c>
      <c r="D255" s="20"/>
      <c r="E255" s="40" t="s">
        <v>361</v>
      </c>
      <c r="F255" s="21" t="s">
        <v>911</v>
      </c>
      <c r="G255" s="22" t="s">
        <v>91</v>
      </c>
      <c r="H255" s="23">
        <v>253000</v>
      </c>
      <c r="I255" s="57"/>
      <c r="J255" s="23">
        <v>1080000</v>
      </c>
      <c r="K255" s="24">
        <v>750000</v>
      </c>
      <c r="L255" s="57"/>
      <c r="M255" s="57"/>
      <c r="N255" s="57"/>
      <c r="O255" s="57"/>
      <c r="P255" s="57"/>
      <c r="Q255" s="57"/>
      <c r="R255" s="57"/>
      <c r="S255" s="57"/>
      <c r="T255" s="24"/>
      <c r="U255" s="16">
        <f t="shared" si="27"/>
        <v>2083000</v>
      </c>
      <c r="V255" s="23">
        <v>2083000</v>
      </c>
      <c r="W255" s="122">
        <v>42223</v>
      </c>
      <c r="X255" s="17"/>
      <c r="Y255" s="22">
        <f t="shared" si="24"/>
        <v>0</v>
      </c>
      <c r="Z255" s="125"/>
    </row>
    <row r="256" spans="1:27" ht="31.2">
      <c r="A256" s="27" t="s">
        <v>921</v>
      </c>
      <c r="B256" s="42">
        <v>42207</v>
      </c>
      <c r="C256" s="129" t="s">
        <v>920</v>
      </c>
      <c r="D256" s="52" t="s">
        <v>922</v>
      </c>
      <c r="E256" s="40" t="s">
        <v>361</v>
      </c>
      <c r="F256" s="21" t="s">
        <v>923</v>
      </c>
      <c r="G256" s="22" t="s">
        <v>876</v>
      </c>
      <c r="H256" s="23">
        <v>250000</v>
      </c>
      <c r="I256" s="57"/>
      <c r="J256" s="23">
        <v>1250000</v>
      </c>
      <c r="K256" s="24"/>
      <c r="L256" s="57"/>
      <c r="M256" s="57"/>
      <c r="N256" s="57"/>
      <c r="O256" s="57"/>
      <c r="P256" s="57"/>
      <c r="Q256" s="57"/>
      <c r="R256" s="57"/>
      <c r="S256" s="57"/>
      <c r="T256" s="24"/>
      <c r="U256" s="16">
        <f t="shared" si="27"/>
        <v>1500000</v>
      </c>
      <c r="V256" s="23">
        <v>750000</v>
      </c>
      <c r="W256" s="122">
        <v>42229</v>
      </c>
      <c r="X256" s="17"/>
      <c r="Y256" s="22">
        <f t="shared" si="24"/>
        <v>750000</v>
      </c>
      <c r="Z256" s="125"/>
    </row>
    <row r="257" spans="1:27" s="63" customFormat="1" ht="31.2">
      <c r="A257" s="23" t="s">
        <v>957</v>
      </c>
      <c r="B257" s="42">
        <v>42193</v>
      </c>
      <c r="C257" s="129" t="s">
        <v>958</v>
      </c>
      <c r="D257" s="52" t="s">
        <v>959</v>
      </c>
      <c r="E257" s="40" t="s">
        <v>361</v>
      </c>
      <c r="F257" s="21" t="s">
        <v>960</v>
      </c>
      <c r="G257" s="22" t="s">
        <v>1060</v>
      </c>
      <c r="H257" s="23">
        <v>250000</v>
      </c>
      <c r="I257" s="121"/>
      <c r="J257" s="23">
        <v>1440000</v>
      </c>
      <c r="K257" s="24">
        <v>2000000</v>
      </c>
      <c r="L257" s="121"/>
      <c r="M257" s="121"/>
      <c r="N257" s="121"/>
      <c r="O257" s="121"/>
      <c r="P257" s="24"/>
      <c r="Q257" s="24"/>
      <c r="R257" s="121"/>
      <c r="S257" s="121"/>
      <c r="T257" s="24">
        <v>169000</v>
      </c>
      <c r="U257" s="16">
        <f t="shared" si="27"/>
        <v>3859000</v>
      </c>
      <c r="V257" s="23">
        <v>3859000</v>
      </c>
      <c r="W257" s="122"/>
      <c r="X257" s="17" t="s">
        <v>969</v>
      </c>
      <c r="Y257" s="22">
        <f t="shared" si="24"/>
        <v>0</v>
      </c>
      <c r="Z257" s="33"/>
      <c r="AA257" s="158"/>
    </row>
    <row r="258" spans="1:27" s="63" customFormat="1" ht="31.2">
      <c r="A258" s="23" t="s">
        <v>968</v>
      </c>
      <c r="B258" s="42">
        <v>42199</v>
      </c>
      <c r="C258" s="129" t="s">
        <v>958</v>
      </c>
      <c r="D258" s="52" t="s">
        <v>959</v>
      </c>
      <c r="E258" s="40" t="s">
        <v>888</v>
      </c>
      <c r="F258" s="21" t="s">
        <v>960</v>
      </c>
      <c r="G258" s="22" t="s">
        <v>1060</v>
      </c>
      <c r="H258" s="23"/>
      <c r="I258" s="23">
        <v>1200000</v>
      </c>
      <c r="J258" s="23"/>
      <c r="K258" s="24"/>
      <c r="L258" s="121"/>
      <c r="M258" s="121"/>
      <c r="N258" s="121"/>
      <c r="O258" s="121"/>
      <c r="P258" s="24"/>
      <c r="Q258" s="24"/>
      <c r="R258" s="121"/>
      <c r="S258" s="121"/>
      <c r="T258" s="24">
        <v>120000</v>
      </c>
      <c r="U258" s="16">
        <f t="shared" si="27"/>
        <v>1320000</v>
      </c>
      <c r="V258" s="23">
        <v>1320000</v>
      </c>
      <c r="W258" s="122"/>
      <c r="X258" s="17" t="s">
        <v>967</v>
      </c>
      <c r="Y258" s="22">
        <f t="shared" si="24"/>
        <v>0</v>
      </c>
      <c r="Z258" s="33"/>
      <c r="AA258" s="158"/>
    </row>
    <row r="259" spans="1:27" ht="31.2">
      <c r="A259" s="23" t="s">
        <v>970</v>
      </c>
      <c r="B259" s="42">
        <v>42206</v>
      </c>
      <c r="C259" s="125" t="s">
        <v>971</v>
      </c>
      <c r="D259" s="52" t="s">
        <v>972</v>
      </c>
      <c r="E259" s="40" t="s">
        <v>361</v>
      </c>
      <c r="F259" s="21" t="s">
        <v>973</v>
      </c>
      <c r="G259" s="22" t="s">
        <v>1062</v>
      </c>
      <c r="H259" s="23">
        <v>253000</v>
      </c>
      <c r="I259" s="57"/>
      <c r="J259" s="23">
        <v>2280000</v>
      </c>
      <c r="K259" s="24">
        <v>2000000</v>
      </c>
      <c r="L259" s="57"/>
      <c r="M259" s="57"/>
      <c r="N259" s="57"/>
      <c r="O259" s="57"/>
      <c r="P259" s="57"/>
      <c r="Q259" s="57"/>
      <c r="R259" s="57"/>
      <c r="S259" s="57"/>
      <c r="T259" s="24">
        <v>253300</v>
      </c>
      <c r="U259" s="16">
        <f t="shared" si="27"/>
        <v>4786300</v>
      </c>
      <c r="V259" s="23">
        <f>2786000</f>
        <v>2786000</v>
      </c>
      <c r="W259" s="122"/>
      <c r="X259" s="17" t="s">
        <v>1098</v>
      </c>
      <c r="Y259" s="22">
        <f t="shared" si="24"/>
        <v>2000300</v>
      </c>
      <c r="Z259" s="57"/>
    </row>
    <row r="260" spans="1:27" ht="46.8">
      <c r="A260" s="27"/>
      <c r="B260" s="42">
        <v>42209</v>
      </c>
      <c r="C260" s="125" t="s">
        <v>92</v>
      </c>
      <c r="D260" s="20"/>
      <c r="E260" s="40" t="s">
        <v>101</v>
      </c>
      <c r="F260" s="21" t="s">
        <v>976</v>
      </c>
      <c r="G260" s="22" t="s">
        <v>125</v>
      </c>
      <c r="H260" s="23">
        <v>1210000</v>
      </c>
      <c r="I260" s="57"/>
      <c r="J260" s="23"/>
      <c r="K260" s="24"/>
      <c r="L260" s="206"/>
      <c r="M260" s="57"/>
      <c r="N260" s="57"/>
      <c r="O260" s="57"/>
      <c r="P260" s="57"/>
      <c r="Q260" s="57"/>
      <c r="R260" s="57"/>
      <c r="S260" s="57"/>
      <c r="T260" s="24"/>
      <c r="U260" s="16">
        <f t="shared" si="27"/>
        <v>1210000</v>
      </c>
      <c r="V260" s="23">
        <v>1210000</v>
      </c>
      <c r="W260" s="122">
        <v>42209</v>
      </c>
      <c r="X260" s="17"/>
      <c r="Y260" s="22">
        <f t="shared" ref="Y260:Y323" si="28">U260-V260</f>
        <v>0</v>
      </c>
      <c r="Z260" s="57"/>
    </row>
    <row r="261" spans="1:27" ht="31.2">
      <c r="A261" s="27" t="s">
        <v>977</v>
      </c>
      <c r="B261" s="42">
        <v>42209</v>
      </c>
      <c r="C261" s="125" t="s">
        <v>978</v>
      </c>
      <c r="D261" s="52" t="s">
        <v>979</v>
      </c>
      <c r="E261" s="40" t="s">
        <v>361</v>
      </c>
      <c r="F261" s="21" t="s">
        <v>980</v>
      </c>
      <c r="G261" s="22" t="s">
        <v>833</v>
      </c>
      <c r="H261" s="23">
        <v>250000</v>
      </c>
      <c r="I261" s="57"/>
      <c r="J261" s="23">
        <v>1250000</v>
      </c>
      <c r="K261" s="24"/>
      <c r="L261" s="57"/>
      <c r="M261" s="57"/>
      <c r="N261" s="57"/>
      <c r="O261" s="57"/>
      <c r="P261" s="57"/>
      <c r="Q261" s="57"/>
      <c r="R261" s="57"/>
      <c r="S261" s="57"/>
      <c r="T261" s="24"/>
      <c r="U261" s="16">
        <f t="shared" si="27"/>
        <v>1500000</v>
      </c>
      <c r="V261" s="23">
        <v>500000</v>
      </c>
      <c r="W261" s="122">
        <v>42210</v>
      </c>
      <c r="X261" s="17"/>
      <c r="Y261" s="22">
        <f t="shared" si="28"/>
        <v>1000000</v>
      </c>
      <c r="Z261" s="57"/>
    </row>
    <row r="262" spans="1:27" ht="46.8">
      <c r="A262" s="23" t="s">
        <v>982</v>
      </c>
      <c r="B262" s="42">
        <v>42210</v>
      </c>
      <c r="C262" s="125" t="s">
        <v>981</v>
      </c>
      <c r="D262" s="52" t="s">
        <v>983</v>
      </c>
      <c r="E262" s="40" t="s">
        <v>361</v>
      </c>
      <c r="F262" s="21" t="s">
        <v>984</v>
      </c>
      <c r="G262" s="22" t="s">
        <v>1062</v>
      </c>
      <c r="H262" s="23">
        <v>253000</v>
      </c>
      <c r="I262" s="57"/>
      <c r="J262" s="23">
        <v>1620000</v>
      </c>
      <c r="K262" s="24">
        <v>1000000</v>
      </c>
      <c r="L262" s="57"/>
      <c r="M262" s="57"/>
      <c r="N262" s="57"/>
      <c r="O262" s="57"/>
      <c r="P262" s="57"/>
      <c r="Q262" s="57"/>
      <c r="R262" s="57"/>
      <c r="S262" s="57"/>
      <c r="T262" s="24">
        <f>25300+162000</f>
        <v>187300</v>
      </c>
      <c r="U262" s="16">
        <f t="shared" si="27"/>
        <v>3060300</v>
      </c>
      <c r="V262" s="23"/>
      <c r="W262" s="122"/>
      <c r="X262" s="17" t="s">
        <v>1119</v>
      </c>
      <c r="Y262" s="22">
        <f t="shared" si="28"/>
        <v>3060300</v>
      </c>
      <c r="Z262" s="57"/>
    </row>
    <row r="263" spans="1:27" ht="31.2">
      <c r="A263" s="23" t="s">
        <v>985</v>
      </c>
      <c r="B263" s="42">
        <v>42213</v>
      </c>
      <c r="C263" s="125" t="s">
        <v>986</v>
      </c>
      <c r="D263" s="52" t="s">
        <v>987</v>
      </c>
      <c r="E263" s="40" t="s">
        <v>332</v>
      </c>
      <c r="F263" s="21"/>
      <c r="G263" s="22" t="s">
        <v>91</v>
      </c>
      <c r="H263" s="23"/>
      <c r="I263" s="57"/>
      <c r="J263" s="23"/>
      <c r="K263" s="24">
        <v>10000000</v>
      </c>
      <c r="L263" s="57"/>
      <c r="M263" s="57"/>
      <c r="N263" s="57"/>
      <c r="O263" s="57"/>
      <c r="P263" s="57"/>
      <c r="Q263" s="57"/>
      <c r="R263" s="57"/>
      <c r="S263" s="57"/>
      <c r="T263" s="24"/>
      <c r="U263" s="16">
        <f t="shared" si="27"/>
        <v>10000000</v>
      </c>
      <c r="V263" s="23">
        <v>5000000</v>
      </c>
      <c r="W263" s="122">
        <v>42214</v>
      </c>
      <c r="X263" s="17"/>
      <c r="Y263" s="22">
        <f t="shared" si="28"/>
        <v>5000000</v>
      </c>
      <c r="Z263" s="57" t="s">
        <v>1001</v>
      </c>
    </row>
    <row r="264" spans="1:27" ht="31.2">
      <c r="A264" s="23" t="s">
        <v>989</v>
      </c>
      <c r="B264" s="42">
        <v>42214</v>
      </c>
      <c r="C264" s="125" t="s">
        <v>990</v>
      </c>
      <c r="D264" s="194" t="s">
        <v>991</v>
      </c>
      <c r="E264" s="40" t="s">
        <v>888</v>
      </c>
      <c r="F264" s="21" t="s">
        <v>992</v>
      </c>
      <c r="G264" s="22" t="s">
        <v>91</v>
      </c>
      <c r="H264" s="23"/>
      <c r="I264" s="23">
        <v>2612000</v>
      </c>
      <c r="J264" s="23"/>
      <c r="K264" s="24"/>
      <c r="L264" s="57"/>
      <c r="M264" s="57"/>
      <c r="N264" s="57"/>
      <c r="O264" s="57"/>
      <c r="P264" s="57"/>
      <c r="Q264" s="57"/>
      <c r="R264" s="57"/>
      <c r="S264" s="57"/>
      <c r="T264" s="24">
        <v>261200</v>
      </c>
      <c r="U264" s="16">
        <f t="shared" si="27"/>
        <v>2873200</v>
      </c>
      <c r="V264" s="23">
        <v>2873200</v>
      </c>
      <c r="W264" s="122">
        <v>42227</v>
      </c>
      <c r="X264" s="17" t="s">
        <v>1049</v>
      </c>
      <c r="Y264" s="22">
        <f t="shared" si="28"/>
        <v>0</v>
      </c>
      <c r="Z264" s="57" t="s">
        <v>509</v>
      </c>
    </row>
    <row r="265" spans="1:27" ht="27.6">
      <c r="A265" s="23"/>
      <c r="B265" s="42">
        <v>42214</v>
      </c>
      <c r="C265" s="125" t="s">
        <v>993</v>
      </c>
      <c r="D265" s="20"/>
      <c r="E265" s="40" t="s">
        <v>310</v>
      </c>
      <c r="F265" s="21" t="s">
        <v>994</v>
      </c>
      <c r="G265" s="22" t="s">
        <v>94</v>
      </c>
      <c r="H265" s="23">
        <v>480000</v>
      </c>
      <c r="I265" s="57"/>
      <c r="J265" s="23"/>
      <c r="K265" s="24"/>
      <c r="L265" s="57"/>
      <c r="M265" s="57"/>
      <c r="N265" s="57"/>
      <c r="O265" s="57"/>
      <c r="P265" s="57"/>
      <c r="Q265" s="57"/>
      <c r="R265" s="57"/>
      <c r="S265" s="57"/>
      <c r="T265" s="24"/>
      <c r="U265" s="16">
        <f t="shared" si="27"/>
        <v>480000</v>
      </c>
      <c r="V265" s="23">
        <v>480000</v>
      </c>
      <c r="W265" s="122">
        <v>42215</v>
      </c>
      <c r="X265" s="17" t="s">
        <v>995</v>
      </c>
      <c r="Y265" s="22">
        <f t="shared" si="28"/>
        <v>0</v>
      </c>
      <c r="Z265" s="57" t="s">
        <v>1002</v>
      </c>
    </row>
    <row r="266" spans="1:27" ht="27.6">
      <c r="A266" s="27"/>
      <c r="B266" s="42">
        <v>42216</v>
      </c>
      <c r="C266" s="197" t="s">
        <v>998</v>
      </c>
      <c r="D266" s="198" t="s">
        <v>999</v>
      </c>
      <c r="E266" s="28" t="s">
        <v>310</v>
      </c>
      <c r="F266" s="199" t="s">
        <v>1000</v>
      </c>
      <c r="G266" s="22" t="s">
        <v>94</v>
      </c>
      <c r="H266" s="23">
        <v>250000</v>
      </c>
      <c r="I266" s="57"/>
      <c r="J266" s="23"/>
      <c r="K266" s="24"/>
      <c r="L266" s="57"/>
      <c r="M266" s="57"/>
      <c r="N266" s="57"/>
      <c r="O266" s="57"/>
      <c r="P266" s="57"/>
      <c r="Q266" s="57"/>
      <c r="R266" s="57"/>
      <c r="S266" s="57"/>
      <c r="T266" s="24"/>
      <c r="U266" s="16">
        <f t="shared" si="27"/>
        <v>250000</v>
      </c>
      <c r="V266" s="23">
        <v>250000</v>
      </c>
      <c r="W266" s="122">
        <v>42216</v>
      </c>
      <c r="X266" s="17"/>
      <c r="Y266" s="22">
        <f t="shared" si="28"/>
        <v>0</v>
      </c>
      <c r="Z266" s="57"/>
    </row>
    <row r="267" spans="1:27" ht="31.2">
      <c r="A267" s="23" t="s">
        <v>989</v>
      </c>
      <c r="B267" s="42">
        <v>42214</v>
      </c>
      <c r="C267" s="125" t="s">
        <v>1033</v>
      </c>
      <c r="D267" s="52" t="s">
        <v>1034</v>
      </c>
      <c r="E267" s="40" t="s">
        <v>361</v>
      </c>
      <c r="F267" s="21" t="s">
        <v>1035</v>
      </c>
      <c r="G267" s="22" t="s">
        <v>140</v>
      </c>
      <c r="H267" s="23">
        <v>250000</v>
      </c>
      <c r="I267" s="57"/>
      <c r="J267" s="23">
        <v>1440000</v>
      </c>
      <c r="K267" s="24">
        <v>2310000</v>
      </c>
      <c r="L267" s="57"/>
      <c r="M267" s="57"/>
      <c r="N267" s="57"/>
      <c r="O267" s="57"/>
      <c r="P267" s="57"/>
      <c r="Q267" s="57"/>
      <c r="R267" s="57"/>
      <c r="S267" s="57"/>
      <c r="T267" s="24"/>
      <c r="U267" s="16">
        <f t="shared" si="27"/>
        <v>4000000</v>
      </c>
      <c r="V267" s="23">
        <v>2000000</v>
      </c>
      <c r="W267" s="122">
        <v>42223</v>
      </c>
      <c r="X267" s="17"/>
      <c r="Y267" s="22">
        <f t="shared" si="28"/>
        <v>2000000</v>
      </c>
      <c r="Z267" s="57"/>
    </row>
    <row r="268" spans="1:27" ht="15.6">
      <c r="A268" s="27"/>
      <c r="B268" s="17"/>
      <c r="C268" s="18"/>
      <c r="D268" s="20"/>
      <c r="E268" s="40"/>
      <c r="F268" s="21"/>
      <c r="G268" s="22"/>
      <c r="H268" s="23"/>
      <c r="I268" s="57"/>
      <c r="J268" s="23"/>
      <c r="K268" s="24"/>
      <c r="L268" s="57"/>
      <c r="M268" s="57"/>
      <c r="N268" s="57"/>
      <c r="O268" s="57"/>
      <c r="P268" s="57"/>
      <c r="Q268" s="57"/>
      <c r="R268" s="57"/>
      <c r="S268" s="57"/>
      <c r="T268" s="24"/>
      <c r="U268" s="16">
        <f t="shared" si="27"/>
        <v>0</v>
      </c>
      <c r="V268" s="57"/>
      <c r="W268" s="57"/>
      <c r="X268" s="57"/>
      <c r="Y268" s="22">
        <f t="shared" si="28"/>
        <v>0</v>
      </c>
      <c r="Z268" s="57"/>
    </row>
    <row r="269" spans="1:27" ht="15.6">
      <c r="A269" s="27"/>
      <c r="B269" s="17"/>
      <c r="C269" s="79" t="s">
        <v>107</v>
      </c>
      <c r="D269" s="57"/>
      <c r="E269" s="57"/>
      <c r="F269" s="57"/>
      <c r="G269" s="57"/>
      <c r="H269" s="80">
        <v>6632000</v>
      </c>
      <c r="I269" s="80">
        <v>0</v>
      </c>
      <c r="J269" s="80">
        <v>32688000</v>
      </c>
      <c r="K269" s="80">
        <v>40280000</v>
      </c>
      <c r="L269" s="80">
        <v>0</v>
      </c>
      <c r="M269" s="80">
        <v>0</v>
      </c>
      <c r="N269" s="80">
        <v>0</v>
      </c>
      <c r="O269" s="80">
        <v>0</v>
      </c>
      <c r="P269" s="80">
        <v>0</v>
      </c>
      <c r="Q269" s="80">
        <v>0</v>
      </c>
      <c r="R269" s="80">
        <v>0</v>
      </c>
      <c r="S269" s="80">
        <v>0</v>
      </c>
      <c r="T269" s="80">
        <v>397300</v>
      </c>
      <c r="U269" s="80">
        <v>67962300</v>
      </c>
      <c r="V269" s="80">
        <v>41914300</v>
      </c>
      <c r="W269" s="80"/>
      <c r="X269" s="80">
        <v>0</v>
      </c>
      <c r="Y269" s="22">
        <f t="shared" si="28"/>
        <v>26048000</v>
      </c>
      <c r="Z269" s="57"/>
    </row>
    <row r="270" spans="1:27" ht="15.6">
      <c r="A270" s="16" t="s">
        <v>1004</v>
      </c>
      <c r="D270" s="57"/>
      <c r="U270" s="16">
        <f t="shared" si="27"/>
        <v>0</v>
      </c>
      <c r="Y270" s="22">
        <f t="shared" si="28"/>
        <v>0</v>
      </c>
    </row>
    <row r="271" spans="1:27" ht="31.2">
      <c r="A271" s="27" t="s">
        <v>1005</v>
      </c>
      <c r="B271" s="42">
        <v>42217</v>
      </c>
      <c r="C271" s="200" t="s">
        <v>1006</v>
      </c>
      <c r="D271" s="200" t="s">
        <v>1007</v>
      </c>
      <c r="E271" s="40" t="s">
        <v>361</v>
      </c>
      <c r="F271" s="21" t="s">
        <v>1008</v>
      </c>
      <c r="G271" s="22" t="s">
        <v>28</v>
      </c>
      <c r="H271" s="23">
        <v>830000</v>
      </c>
      <c r="I271" s="23"/>
      <c r="J271" s="23">
        <v>900000</v>
      </c>
      <c r="K271" s="24">
        <v>5100000</v>
      </c>
      <c r="L271" s="57"/>
      <c r="M271" s="57"/>
      <c r="N271" s="57"/>
      <c r="O271" s="57"/>
      <c r="P271" s="57"/>
      <c r="Q271" s="57"/>
      <c r="R271" s="57"/>
      <c r="S271" s="57"/>
      <c r="T271" s="24"/>
      <c r="U271" s="16">
        <f t="shared" si="27"/>
        <v>6830000</v>
      </c>
      <c r="V271" s="23"/>
      <c r="W271" s="122"/>
      <c r="X271" s="81"/>
      <c r="Y271" s="22">
        <f t="shared" si="28"/>
        <v>6830000</v>
      </c>
      <c r="Z271" s="57"/>
    </row>
    <row r="272" spans="1:27" ht="31.2">
      <c r="A272" s="27" t="s">
        <v>1012</v>
      </c>
      <c r="B272" s="42">
        <v>42219</v>
      </c>
      <c r="C272" s="200" t="s">
        <v>1013</v>
      </c>
      <c r="D272" s="200" t="s">
        <v>1014</v>
      </c>
      <c r="E272" s="40" t="s">
        <v>361</v>
      </c>
      <c r="F272" s="21" t="s">
        <v>996</v>
      </c>
      <c r="G272" s="22" t="s">
        <v>752</v>
      </c>
      <c r="H272" s="23">
        <v>250000</v>
      </c>
      <c r="I272" s="23"/>
      <c r="J272" s="23">
        <v>1080000</v>
      </c>
      <c r="K272" s="24"/>
      <c r="L272" s="57"/>
      <c r="M272" s="57"/>
      <c r="N272" s="57"/>
      <c r="O272" s="57"/>
      <c r="P272" s="57"/>
      <c r="Q272" s="57"/>
      <c r="R272" s="57"/>
      <c r="S272" s="57"/>
      <c r="T272" s="24"/>
      <c r="U272" s="16">
        <f t="shared" si="27"/>
        <v>1330000</v>
      </c>
      <c r="V272" s="23"/>
      <c r="W272" s="122"/>
      <c r="X272" s="81"/>
      <c r="Y272" s="22">
        <f t="shared" si="28"/>
        <v>1330000</v>
      </c>
      <c r="Z272" s="57"/>
    </row>
    <row r="273" spans="1:26" ht="31.2">
      <c r="A273" s="23" t="s">
        <v>1015</v>
      </c>
      <c r="B273" s="42">
        <v>42222</v>
      </c>
      <c r="C273" s="200" t="s">
        <v>1016</v>
      </c>
      <c r="D273" s="200" t="s">
        <v>1017</v>
      </c>
      <c r="E273" s="40" t="s">
        <v>361</v>
      </c>
      <c r="F273" s="21" t="s">
        <v>1018</v>
      </c>
      <c r="G273" s="22" t="s">
        <v>28</v>
      </c>
      <c r="H273" s="23">
        <v>500000</v>
      </c>
      <c r="I273" s="23"/>
      <c r="J273" s="23">
        <v>1620000</v>
      </c>
      <c r="K273" s="24">
        <v>2000000</v>
      </c>
      <c r="L273" s="57"/>
      <c r="M273" s="57"/>
      <c r="N273" s="57"/>
      <c r="O273" s="57"/>
      <c r="P273" s="57"/>
      <c r="Q273" s="57"/>
      <c r="R273" s="57"/>
      <c r="S273" s="57"/>
      <c r="T273" s="24"/>
      <c r="U273" s="16">
        <f t="shared" si="27"/>
        <v>4120000</v>
      </c>
      <c r="V273" s="23">
        <v>2060000</v>
      </c>
      <c r="W273" s="122">
        <v>42222</v>
      </c>
      <c r="X273" s="81"/>
      <c r="Y273" s="22">
        <f t="shared" si="28"/>
        <v>2060000</v>
      </c>
      <c r="Z273" s="57"/>
    </row>
    <row r="274" spans="1:26" ht="31.2">
      <c r="A274" s="23" t="s">
        <v>1020</v>
      </c>
      <c r="B274" s="42">
        <v>42219</v>
      </c>
      <c r="C274" s="200" t="s">
        <v>1019</v>
      </c>
      <c r="D274" s="200" t="s">
        <v>1021</v>
      </c>
      <c r="E274" s="40" t="s">
        <v>361</v>
      </c>
      <c r="F274" s="21" t="s">
        <v>1022</v>
      </c>
      <c r="G274" s="22" t="s">
        <v>578</v>
      </c>
      <c r="H274" s="23">
        <v>250000</v>
      </c>
      <c r="I274" s="23"/>
      <c r="J274" s="23">
        <v>0</v>
      </c>
      <c r="K274" s="24">
        <v>2750000</v>
      </c>
      <c r="L274" s="57"/>
      <c r="M274" s="57"/>
      <c r="N274" s="57"/>
      <c r="O274" s="57"/>
      <c r="P274" s="57"/>
      <c r="Q274" s="57"/>
      <c r="R274" s="57"/>
      <c r="S274" s="57"/>
      <c r="T274" s="24"/>
      <c r="U274" s="16">
        <f t="shared" si="27"/>
        <v>3000000</v>
      </c>
      <c r="V274" s="23"/>
      <c r="W274" s="122"/>
      <c r="X274" s="81"/>
      <c r="Y274" s="22">
        <f t="shared" si="28"/>
        <v>3000000</v>
      </c>
      <c r="Z274" s="57"/>
    </row>
    <row r="275" spans="1:26" ht="31.2">
      <c r="A275" s="27" t="s">
        <v>1023</v>
      </c>
      <c r="B275" s="42">
        <v>42221</v>
      </c>
      <c r="C275" s="200" t="s">
        <v>1025</v>
      </c>
      <c r="D275" s="203" t="s">
        <v>1024</v>
      </c>
      <c r="E275" s="40" t="s">
        <v>224</v>
      </c>
      <c r="F275" s="21" t="s">
        <v>1026</v>
      </c>
      <c r="G275" s="22" t="s">
        <v>1027</v>
      </c>
      <c r="H275" s="23"/>
      <c r="I275" s="23"/>
      <c r="J275" s="23">
        <v>0</v>
      </c>
      <c r="K275" s="24">
        <v>2500000</v>
      </c>
      <c r="L275" s="57"/>
      <c r="M275" s="57"/>
      <c r="N275" s="57"/>
      <c r="O275" s="57"/>
      <c r="P275" s="57"/>
      <c r="Q275" s="57"/>
      <c r="R275" s="57"/>
      <c r="S275" s="57"/>
      <c r="T275" s="24"/>
      <c r="U275" s="16">
        <f t="shared" si="27"/>
        <v>2500000</v>
      </c>
      <c r="V275" s="23"/>
      <c r="W275" s="122"/>
      <c r="X275" s="81"/>
      <c r="Y275" s="22">
        <f t="shared" si="28"/>
        <v>2500000</v>
      </c>
      <c r="Z275" s="57"/>
    </row>
    <row r="276" spans="1:26" ht="31.2">
      <c r="A276" s="27" t="s">
        <v>1036</v>
      </c>
      <c r="B276" s="42">
        <v>42223</v>
      </c>
      <c r="C276" s="200" t="s">
        <v>1037</v>
      </c>
      <c r="D276" s="200"/>
      <c r="E276" s="40" t="s">
        <v>361</v>
      </c>
      <c r="F276" s="21" t="s">
        <v>1038</v>
      </c>
      <c r="G276" s="22" t="s">
        <v>140</v>
      </c>
      <c r="H276" s="23">
        <v>250000</v>
      </c>
      <c r="I276" s="23"/>
      <c r="J276" s="23">
        <v>0</v>
      </c>
      <c r="K276" s="24">
        <v>3250000</v>
      </c>
      <c r="L276" s="57"/>
      <c r="M276" s="57"/>
      <c r="N276" s="57"/>
      <c r="O276" s="57"/>
      <c r="P276" s="57"/>
      <c r="Q276" s="57"/>
      <c r="R276" s="57"/>
      <c r="S276" s="57"/>
      <c r="T276" s="24"/>
      <c r="U276" s="16">
        <f t="shared" si="27"/>
        <v>3500000</v>
      </c>
      <c r="V276" s="23">
        <v>1750000</v>
      </c>
      <c r="W276" s="122">
        <v>42223</v>
      </c>
      <c r="X276" s="81"/>
      <c r="Y276" s="22">
        <f t="shared" si="28"/>
        <v>1750000</v>
      </c>
      <c r="Z276" s="57"/>
    </row>
    <row r="277" spans="1:26" ht="27.6">
      <c r="A277" s="27"/>
      <c r="B277" s="42">
        <v>42224</v>
      </c>
      <c r="C277" s="204" t="s">
        <v>1039</v>
      </c>
      <c r="D277" s="117" t="s">
        <v>1040</v>
      </c>
      <c r="E277" s="28" t="s">
        <v>310</v>
      </c>
      <c r="F277" s="205" t="s">
        <v>1041</v>
      </c>
      <c r="G277" s="22" t="s">
        <v>94</v>
      </c>
      <c r="H277" s="23">
        <v>350000</v>
      </c>
      <c r="I277" s="23"/>
      <c r="J277" s="23"/>
      <c r="K277" s="24"/>
      <c r="L277" s="57"/>
      <c r="M277" s="57"/>
      <c r="N277" s="57"/>
      <c r="O277" s="57"/>
      <c r="P277" s="57"/>
      <c r="Q277" s="57"/>
      <c r="R277" s="57"/>
      <c r="S277" s="57"/>
      <c r="T277" s="24"/>
      <c r="U277" s="16">
        <f t="shared" si="27"/>
        <v>350000</v>
      </c>
      <c r="V277" s="23">
        <v>350000</v>
      </c>
      <c r="W277" s="122">
        <v>42224</v>
      </c>
      <c r="X277" s="81"/>
      <c r="Y277" s="22">
        <f t="shared" si="28"/>
        <v>0</v>
      </c>
      <c r="Z277" s="57"/>
    </row>
    <row r="278" spans="1:26" ht="31.2">
      <c r="A278" s="27" t="s">
        <v>1042</v>
      </c>
      <c r="B278" s="42">
        <v>42226</v>
      </c>
      <c r="C278" s="200" t="s">
        <v>1043</v>
      </c>
      <c r="D278" s="28" t="s">
        <v>1046</v>
      </c>
      <c r="E278" s="201" t="s">
        <v>1045</v>
      </c>
      <c r="F278" s="21" t="s">
        <v>1044</v>
      </c>
      <c r="G278" s="22" t="s">
        <v>91</v>
      </c>
      <c r="H278" s="23">
        <v>600000</v>
      </c>
      <c r="I278" s="23"/>
      <c r="J278" s="23">
        <v>4860000</v>
      </c>
      <c r="K278" s="24"/>
      <c r="L278" s="57"/>
      <c r="M278" s="57"/>
      <c r="N278" s="57"/>
      <c r="O278" s="57"/>
      <c r="P278" s="57"/>
      <c r="Q278" s="57"/>
      <c r="R278" s="57"/>
      <c r="S278" s="57"/>
      <c r="T278" s="24">
        <v>486000</v>
      </c>
      <c r="U278" s="16">
        <f t="shared" si="27"/>
        <v>5946000</v>
      </c>
      <c r="V278" s="23"/>
      <c r="W278" s="122"/>
      <c r="X278" s="131" t="s">
        <v>1048</v>
      </c>
      <c r="Y278" s="22">
        <f t="shared" si="28"/>
        <v>5946000</v>
      </c>
      <c r="Z278" s="57"/>
    </row>
    <row r="279" spans="1:26" ht="15.6">
      <c r="A279" s="27"/>
      <c r="B279" s="42">
        <v>42226</v>
      </c>
      <c r="C279" s="200" t="s">
        <v>278</v>
      </c>
      <c r="D279" s="202"/>
      <c r="E279" s="201" t="s">
        <v>577</v>
      </c>
      <c r="F279" s="21" t="s">
        <v>1052</v>
      </c>
      <c r="G279" s="22"/>
      <c r="H279" s="23"/>
      <c r="I279" s="23"/>
      <c r="J279" s="23">
        <v>400000</v>
      </c>
      <c r="K279" s="24"/>
      <c r="L279" s="57"/>
      <c r="M279" s="57"/>
      <c r="N279" s="57"/>
      <c r="O279" s="57"/>
      <c r="P279" s="57"/>
      <c r="Q279" s="57"/>
      <c r="R279" s="57"/>
      <c r="S279" s="57"/>
      <c r="T279" s="24"/>
      <c r="U279" s="16">
        <f t="shared" si="27"/>
        <v>400000</v>
      </c>
      <c r="V279" s="23">
        <v>400000</v>
      </c>
      <c r="W279" s="122">
        <v>42226</v>
      </c>
      <c r="X279" s="81"/>
      <c r="Y279" s="22">
        <f t="shared" si="28"/>
        <v>0</v>
      </c>
      <c r="Z279" s="57"/>
    </row>
    <row r="280" spans="1:26" ht="31.2">
      <c r="A280" s="27"/>
      <c r="B280" s="42">
        <v>42227</v>
      </c>
      <c r="C280" s="200" t="s">
        <v>278</v>
      </c>
      <c r="D280" s="202"/>
      <c r="E280" s="201" t="s">
        <v>1050</v>
      </c>
      <c r="F280" s="21" t="s">
        <v>1051</v>
      </c>
      <c r="G280" s="22"/>
      <c r="H280" s="23">
        <v>500000</v>
      </c>
      <c r="I280" s="23"/>
      <c r="J280" s="23"/>
      <c r="K280" s="24"/>
      <c r="L280" s="57"/>
      <c r="M280" s="57"/>
      <c r="N280" s="57"/>
      <c r="O280" s="57"/>
      <c r="P280" s="57"/>
      <c r="Q280" s="57"/>
      <c r="R280" s="57"/>
      <c r="S280" s="57"/>
      <c r="T280" s="24"/>
      <c r="U280" s="16">
        <f t="shared" si="27"/>
        <v>500000</v>
      </c>
      <c r="V280" s="23">
        <v>500000</v>
      </c>
      <c r="W280" s="122">
        <v>42227</v>
      </c>
      <c r="X280" s="81"/>
      <c r="Y280" s="22">
        <f t="shared" si="28"/>
        <v>0</v>
      </c>
      <c r="Z280" s="57"/>
    </row>
    <row r="281" spans="1:26" ht="31.2">
      <c r="A281" s="23" t="s">
        <v>1055</v>
      </c>
      <c r="B281" s="42">
        <v>42227</v>
      </c>
      <c r="C281" s="200" t="s">
        <v>1053</v>
      </c>
      <c r="D281" s="202"/>
      <c r="E281" s="40" t="s">
        <v>361</v>
      </c>
      <c r="F281" s="21" t="s">
        <v>1054</v>
      </c>
      <c r="G281" s="22" t="s">
        <v>91</v>
      </c>
      <c r="H281" s="23">
        <v>250000</v>
      </c>
      <c r="I281" s="23"/>
      <c r="J281" s="23">
        <v>0</v>
      </c>
      <c r="K281" s="24">
        <v>6750000</v>
      </c>
      <c r="L281" s="57"/>
      <c r="M281" s="57"/>
      <c r="N281" s="57"/>
      <c r="O281" s="57"/>
      <c r="P281" s="57"/>
      <c r="Q281" s="57"/>
      <c r="R281" s="57"/>
      <c r="S281" s="57"/>
      <c r="T281" s="24"/>
      <c r="U281" s="16">
        <f t="shared" si="27"/>
        <v>7000000</v>
      </c>
      <c r="V281" s="23">
        <v>3500000</v>
      </c>
      <c r="W281" s="122">
        <v>42233</v>
      </c>
      <c r="X281" s="81"/>
      <c r="Y281" s="22">
        <f t="shared" si="28"/>
        <v>3500000</v>
      </c>
      <c r="Z281" s="57"/>
    </row>
    <row r="282" spans="1:26" ht="31.2">
      <c r="A282" s="27" t="s">
        <v>1057</v>
      </c>
      <c r="B282" s="42">
        <v>42228</v>
      </c>
      <c r="C282" s="200" t="s">
        <v>1058</v>
      </c>
      <c r="D282" s="202"/>
      <c r="E282" s="201" t="s">
        <v>96</v>
      </c>
      <c r="F282" s="21" t="s">
        <v>1059</v>
      </c>
      <c r="G282" s="22" t="s">
        <v>91</v>
      </c>
      <c r="H282" s="23">
        <v>750000</v>
      </c>
      <c r="I282" s="23"/>
      <c r="J282" s="23">
        <v>4374000</v>
      </c>
      <c r="K282" s="24"/>
      <c r="L282" s="57"/>
      <c r="M282" s="57"/>
      <c r="N282" s="57"/>
      <c r="O282" s="57"/>
      <c r="P282" s="57"/>
      <c r="Q282" s="57"/>
      <c r="R282" s="57"/>
      <c r="S282" s="57"/>
      <c r="T282" s="24">
        <v>512400</v>
      </c>
      <c r="U282" s="16">
        <f t="shared" si="27"/>
        <v>5636400</v>
      </c>
      <c r="V282" s="23">
        <v>5636400</v>
      </c>
      <c r="W282" s="122">
        <v>42230</v>
      </c>
      <c r="X282" s="32" t="s">
        <v>1056</v>
      </c>
      <c r="Y282" s="22">
        <f t="shared" si="28"/>
        <v>0</v>
      </c>
      <c r="Z282" s="57"/>
    </row>
    <row r="283" spans="1:26" ht="31.2">
      <c r="A283" s="23" t="s">
        <v>1063</v>
      </c>
      <c r="B283" s="42">
        <v>42229</v>
      </c>
      <c r="C283" s="200" t="s">
        <v>1064</v>
      </c>
      <c r="D283" s="186" t="s">
        <v>1065</v>
      </c>
      <c r="E283" s="40" t="s">
        <v>361</v>
      </c>
      <c r="F283" s="21" t="s">
        <v>1082</v>
      </c>
      <c r="G283" s="22" t="s">
        <v>739</v>
      </c>
      <c r="H283" s="23">
        <v>250000</v>
      </c>
      <c r="I283" s="23"/>
      <c r="J283" s="23">
        <v>1620000</v>
      </c>
      <c r="K283" s="24"/>
      <c r="L283" s="57"/>
      <c r="M283" s="57"/>
      <c r="N283" s="57"/>
      <c r="O283" s="57"/>
      <c r="P283" s="57"/>
      <c r="Q283" s="57"/>
      <c r="R283" s="57"/>
      <c r="S283" s="57"/>
      <c r="T283" s="24"/>
      <c r="U283" s="16">
        <f t="shared" si="27"/>
        <v>1870000</v>
      </c>
      <c r="V283" s="23">
        <v>1870000</v>
      </c>
      <c r="W283" s="122">
        <v>42233</v>
      </c>
      <c r="X283" s="32"/>
      <c r="Y283" s="22">
        <f t="shared" si="28"/>
        <v>0</v>
      </c>
      <c r="Z283" s="57"/>
    </row>
    <row r="284" spans="1:26" ht="46.8">
      <c r="A284" s="23" t="s">
        <v>1066</v>
      </c>
      <c r="B284" s="42">
        <v>42229</v>
      </c>
      <c r="C284" s="200" t="s">
        <v>1067</v>
      </c>
      <c r="D284" s="186" t="s">
        <v>1068</v>
      </c>
      <c r="E284" s="40" t="s">
        <v>361</v>
      </c>
      <c r="F284" s="21" t="s">
        <v>1069</v>
      </c>
      <c r="G284" s="22" t="s">
        <v>28</v>
      </c>
      <c r="H284" s="23">
        <v>700000</v>
      </c>
      <c r="I284" s="23"/>
      <c r="J284" s="23">
        <v>1440000</v>
      </c>
      <c r="K284" s="24"/>
      <c r="L284" s="57"/>
      <c r="M284" s="57"/>
      <c r="N284" s="57"/>
      <c r="O284" s="57"/>
      <c r="P284" s="57"/>
      <c r="Q284" s="57"/>
      <c r="R284" s="57"/>
      <c r="S284" s="57"/>
      <c r="T284" s="24">
        <v>144000</v>
      </c>
      <c r="U284" s="16">
        <f t="shared" si="27"/>
        <v>2284000</v>
      </c>
      <c r="V284" s="23">
        <v>2284000</v>
      </c>
      <c r="W284" s="122">
        <v>42237</v>
      </c>
      <c r="X284" s="32" t="s">
        <v>1083</v>
      </c>
      <c r="Y284" s="22">
        <f t="shared" si="28"/>
        <v>0</v>
      </c>
      <c r="Z284" s="57"/>
    </row>
    <row r="285" spans="1:26" ht="46.8">
      <c r="A285" s="23" t="s">
        <v>1070</v>
      </c>
      <c r="B285" s="42">
        <v>42230</v>
      </c>
      <c r="C285" s="200" t="s">
        <v>1071</v>
      </c>
      <c r="D285" s="186" t="s">
        <v>1072</v>
      </c>
      <c r="E285" s="40" t="s">
        <v>361</v>
      </c>
      <c r="F285" s="21"/>
      <c r="G285" s="22" t="s">
        <v>1061</v>
      </c>
      <c r="H285" s="23">
        <v>250000</v>
      </c>
      <c r="I285" s="23"/>
      <c r="J285" s="23">
        <v>1620000</v>
      </c>
      <c r="K285" s="24">
        <v>2130000</v>
      </c>
      <c r="L285" s="57"/>
      <c r="M285" s="57"/>
      <c r="N285" s="57"/>
      <c r="O285" s="57"/>
      <c r="P285" s="57"/>
      <c r="Q285" s="57"/>
      <c r="R285" s="57"/>
      <c r="S285" s="57"/>
      <c r="T285" s="24"/>
      <c r="U285" s="16">
        <f t="shared" si="27"/>
        <v>4000000</v>
      </c>
      <c r="V285" s="23"/>
      <c r="W285" s="122"/>
      <c r="X285" s="32"/>
      <c r="Y285" s="22">
        <f t="shared" si="28"/>
        <v>4000000</v>
      </c>
      <c r="Z285" s="57"/>
    </row>
    <row r="286" spans="1:26" ht="31.2">
      <c r="A286" s="27" t="s">
        <v>1073</v>
      </c>
      <c r="B286" s="42">
        <v>42231</v>
      </c>
      <c r="C286" s="200" t="s">
        <v>1074</v>
      </c>
      <c r="D286" s="186" t="s">
        <v>1075</v>
      </c>
      <c r="E286" s="201" t="s">
        <v>96</v>
      </c>
      <c r="F286" s="21" t="s">
        <v>1076</v>
      </c>
      <c r="G286" s="22" t="s">
        <v>1061</v>
      </c>
      <c r="H286" s="23">
        <v>350000</v>
      </c>
      <c r="I286" s="23"/>
      <c r="J286" s="23">
        <v>1080000</v>
      </c>
      <c r="K286" s="24"/>
      <c r="L286" s="57"/>
      <c r="M286" s="57"/>
      <c r="N286" s="57"/>
      <c r="O286" s="57"/>
      <c r="P286" s="57"/>
      <c r="Q286" s="57"/>
      <c r="R286" s="57"/>
      <c r="S286" s="57"/>
      <c r="T286" s="24">
        <v>108000</v>
      </c>
      <c r="U286" s="16">
        <f t="shared" si="27"/>
        <v>1538000</v>
      </c>
      <c r="V286" s="23"/>
      <c r="W286" s="122"/>
      <c r="X286" s="32" t="s">
        <v>1077</v>
      </c>
      <c r="Y286" s="22">
        <f t="shared" si="28"/>
        <v>1538000</v>
      </c>
      <c r="Z286" s="57"/>
    </row>
    <row r="287" spans="1:26" ht="31.2">
      <c r="A287" s="23" t="s">
        <v>1078</v>
      </c>
      <c r="B287" s="42">
        <v>42233</v>
      </c>
      <c r="C287" s="200" t="s">
        <v>1079</v>
      </c>
      <c r="D287" s="207" t="s">
        <v>1080</v>
      </c>
      <c r="E287" s="40" t="s">
        <v>224</v>
      </c>
      <c r="F287" s="21"/>
      <c r="G287" s="22" t="s">
        <v>28</v>
      </c>
      <c r="H287" s="23"/>
      <c r="I287" s="23"/>
      <c r="J287" s="23">
        <v>0</v>
      </c>
      <c r="K287" s="24">
        <v>7000000</v>
      </c>
      <c r="L287" s="57"/>
      <c r="M287" s="57"/>
      <c r="N287" s="57"/>
      <c r="O287" s="57"/>
      <c r="P287" s="57"/>
      <c r="Q287" s="57"/>
      <c r="R287" s="57"/>
      <c r="S287" s="57"/>
      <c r="T287" s="24"/>
      <c r="U287" s="16">
        <f t="shared" si="27"/>
        <v>7000000</v>
      </c>
      <c r="V287" s="23">
        <v>3500000</v>
      </c>
      <c r="W287" s="122">
        <v>42233</v>
      </c>
      <c r="X287" s="81"/>
      <c r="Y287" s="22">
        <f t="shared" si="28"/>
        <v>3500000</v>
      </c>
      <c r="Z287" s="57"/>
    </row>
    <row r="288" spans="1:26" ht="31.2">
      <c r="A288" s="27"/>
      <c r="B288" s="42">
        <v>42234</v>
      </c>
      <c r="C288" s="200" t="s">
        <v>1084</v>
      </c>
      <c r="D288" s="208" t="s">
        <v>1085</v>
      </c>
      <c r="E288" s="40" t="s">
        <v>96</v>
      </c>
      <c r="F288" s="205" t="s">
        <v>1086</v>
      </c>
      <c r="G288" s="22" t="s">
        <v>47</v>
      </c>
      <c r="H288" s="23"/>
      <c r="I288" s="23"/>
      <c r="J288" s="23">
        <v>1824000</v>
      </c>
      <c r="K288" s="24"/>
      <c r="L288" s="57"/>
      <c r="M288" s="57"/>
      <c r="N288" s="57"/>
      <c r="O288" s="57"/>
      <c r="P288" s="57"/>
      <c r="Q288" s="57"/>
      <c r="R288" s="57"/>
      <c r="S288" s="57"/>
      <c r="T288" s="24"/>
      <c r="U288" s="16">
        <f t="shared" si="27"/>
        <v>1824000</v>
      </c>
      <c r="V288" s="23">
        <v>1824000</v>
      </c>
      <c r="W288" s="122">
        <v>42234</v>
      </c>
      <c r="X288" s="81"/>
      <c r="Y288" s="22">
        <f t="shared" si="28"/>
        <v>0</v>
      </c>
      <c r="Z288" s="57" t="s">
        <v>1090</v>
      </c>
    </row>
    <row r="289" spans="1:26" ht="31.2">
      <c r="A289" s="23" t="s">
        <v>1087</v>
      </c>
      <c r="B289" s="42">
        <v>42234</v>
      </c>
      <c r="C289" s="200" t="s">
        <v>1088</v>
      </c>
      <c r="D289" s="202" t="s">
        <v>1089</v>
      </c>
      <c r="E289" s="201" t="s">
        <v>224</v>
      </c>
      <c r="F289" s="21" t="s">
        <v>1124</v>
      </c>
      <c r="G289" s="22" t="s">
        <v>125</v>
      </c>
      <c r="H289" s="23"/>
      <c r="I289" s="23"/>
      <c r="J289" s="23">
        <v>2280000</v>
      </c>
      <c r="K289" s="24">
        <v>5720000</v>
      </c>
      <c r="L289" s="57"/>
      <c r="M289" s="57"/>
      <c r="N289" s="57"/>
      <c r="O289" s="57"/>
      <c r="P289" s="57"/>
      <c r="Q289" s="57"/>
      <c r="R289" s="57"/>
      <c r="S289" s="24"/>
      <c r="T289" s="24"/>
      <c r="U289" s="16">
        <f t="shared" si="27"/>
        <v>8000000</v>
      </c>
      <c r="V289" s="23">
        <v>4000000</v>
      </c>
      <c r="W289" s="122">
        <v>42238</v>
      </c>
      <c r="X289" s="81"/>
      <c r="Y289" s="22">
        <f t="shared" si="28"/>
        <v>4000000</v>
      </c>
      <c r="Z289" s="57"/>
    </row>
    <row r="290" spans="1:26" ht="31.2">
      <c r="A290" s="27" t="s">
        <v>1092</v>
      </c>
      <c r="B290" s="42">
        <v>42226</v>
      </c>
      <c r="C290" s="200" t="s">
        <v>1091</v>
      </c>
      <c r="D290" s="202" t="s">
        <v>1093</v>
      </c>
      <c r="E290" s="201"/>
      <c r="F290" s="21" t="s">
        <v>1094</v>
      </c>
      <c r="G290" s="22" t="s">
        <v>1095</v>
      </c>
      <c r="H290" s="23">
        <v>830000</v>
      </c>
      <c r="I290" s="23"/>
      <c r="J290" s="23"/>
      <c r="K290" s="24">
        <v>1670000</v>
      </c>
      <c r="L290" s="57"/>
      <c r="M290" s="57"/>
      <c r="N290" s="57"/>
      <c r="O290" s="57"/>
      <c r="P290" s="57"/>
      <c r="Q290" s="57"/>
      <c r="R290" s="57"/>
      <c r="S290" s="57"/>
      <c r="T290" s="24"/>
      <c r="U290" s="16">
        <f t="shared" si="27"/>
        <v>2500000</v>
      </c>
      <c r="V290" s="23"/>
      <c r="W290" s="122"/>
      <c r="X290" s="81"/>
      <c r="Y290" s="22">
        <f t="shared" si="28"/>
        <v>2500000</v>
      </c>
      <c r="Z290" s="57"/>
    </row>
    <row r="291" spans="1:26" ht="31.2">
      <c r="A291" s="27" t="s">
        <v>1096</v>
      </c>
      <c r="B291" s="42">
        <v>42234</v>
      </c>
      <c r="C291" s="200" t="s">
        <v>1097</v>
      </c>
      <c r="D291" s="202"/>
      <c r="E291" s="40" t="s">
        <v>361</v>
      </c>
      <c r="F291" s="21"/>
      <c r="G291" s="22" t="s">
        <v>1103</v>
      </c>
      <c r="H291" s="23">
        <v>250000</v>
      </c>
      <c r="I291" s="23"/>
      <c r="J291" s="23">
        <v>1620000</v>
      </c>
      <c r="K291" s="24">
        <v>3130000</v>
      </c>
      <c r="L291" s="57"/>
      <c r="M291" s="57"/>
      <c r="N291" s="57"/>
      <c r="O291" s="57"/>
      <c r="P291" s="57"/>
      <c r="Q291" s="57"/>
      <c r="R291" s="57"/>
      <c r="S291" s="57"/>
      <c r="T291" s="24"/>
      <c r="U291" s="16">
        <f t="shared" si="27"/>
        <v>5000000</v>
      </c>
      <c r="V291" s="23"/>
      <c r="W291" s="122"/>
      <c r="X291" s="81"/>
      <c r="Y291" s="22">
        <f t="shared" si="28"/>
        <v>5000000</v>
      </c>
      <c r="Z291" s="57"/>
    </row>
    <row r="292" spans="1:26" ht="31.2">
      <c r="A292" s="27" t="s">
        <v>1099</v>
      </c>
      <c r="B292" s="42">
        <v>42236</v>
      </c>
      <c r="C292" s="200" t="s">
        <v>1100</v>
      </c>
      <c r="D292" s="202" t="s">
        <v>1101</v>
      </c>
      <c r="E292" s="40" t="s">
        <v>361</v>
      </c>
      <c r="F292" s="21" t="s">
        <v>1102</v>
      </c>
      <c r="G292" s="22" t="s">
        <v>903</v>
      </c>
      <c r="H292" s="23">
        <v>250000</v>
      </c>
      <c r="I292" s="23"/>
      <c r="J292" s="23">
        <v>1440000</v>
      </c>
      <c r="K292" s="24">
        <v>1310000</v>
      </c>
      <c r="L292" s="57"/>
      <c r="M292" s="57"/>
      <c r="N292" s="57"/>
      <c r="O292" s="57"/>
      <c r="P292" s="57"/>
      <c r="Q292" s="57"/>
      <c r="R292" s="57"/>
      <c r="S292" s="57"/>
      <c r="T292" s="24"/>
      <c r="U292" s="16">
        <f t="shared" si="27"/>
        <v>3000000</v>
      </c>
      <c r="V292" s="23"/>
      <c r="W292" s="122"/>
      <c r="X292" s="81"/>
      <c r="Y292" s="22">
        <f t="shared" si="28"/>
        <v>3000000</v>
      </c>
      <c r="Z292" s="57"/>
    </row>
    <row r="293" spans="1:26" ht="31.2">
      <c r="A293" s="27" t="s">
        <v>1106</v>
      </c>
      <c r="B293" s="42">
        <v>42234</v>
      </c>
      <c r="C293" s="200" t="s">
        <v>1107</v>
      </c>
      <c r="D293" s="202" t="s">
        <v>1108</v>
      </c>
      <c r="E293" s="201" t="s">
        <v>134</v>
      </c>
      <c r="F293" s="21" t="s">
        <v>1109</v>
      </c>
      <c r="G293" s="22" t="s">
        <v>1061</v>
      </c>
      <c r="H293" s="23">
        <v>350000</v>
      </c>
      <c r="I293" s="23"/>
      <c r="J293" s="23">
        <v>2280000</v>
      </c>
      <c r="K293" s="24"/>
      <c r="L293" s="57"/>
      <c r="M293" s="57"/>
      <c r="N293" s="57"/>
      <c r="O293" s="57"/>
      <c r="P293" s="57"/>
      <c r="Q293" s="57"/>
      <c r="R293" s="57"/>
      <c r="S293" s="57"/>
      <c r="T293" s="24">
        <v>228000</v>
      </c>
      <c r="U293" s="16">
        <f t="shared" si="27"/>
        <v>2858000</v>
      </c>
      <c r="V293" s="23"/>
      <c r="W293" s="122"/>
      <c r="X293" s="81"/>
      <c r="Y293" s="22">
        <f t="shared" si="28"/>
        <v>2858000</v>
      </c>
      <c r="Z293" s="57"/>
    </row>
    <row r="294" spans="1:26" ht="31.2">
      <c r="A294" s="27" t="s">
        <v>1111</v>
      </c>
      <c r="B294" s="42">
        <v>42236</v>
      </c>
      <c r="C294" s="200" t="s">
        <v>1110</v>
      </c>
      <c r="D294" s="202" t="s">
        <v>1112</v>
      </c>
      <c r="E294" s="201" t="s">
        <v>1114</v>
      </c>
      <c r="F294" s="21" t="s">
        <v>1113</v>
      </c>
      <c r="G294" s="22" t="s">
        <v>28</v>
      </c>
      <c r="H294" s="23"/>
      <c r="I294" s="23"/>
      <c r="J294" s="23">
        <v>1620000</v>
      </c>
      <c r="K294" s="24">
        <v>0</v>
      </c>
      <c r="L294" s="57"/>
      <c r="M294" s="57"/>
      <c r="N294" s="57"/>
      <c r="O294" s="57"/>
      <c r="P294" s="57"/>
      <c r="Q294" s="57"/>
      <c r="R294" s="57"/>
      <c r="S294" s="57"/>
      <c r="T294" s="24">
        <v>162000</v>
      </c>
      <c r="U294" s="16">
        <f t="shared" si="27"/>
        <v>1782000</v>
      </c>
      <c r="V294" s="23">
        <v>1782000</v>
      </c>
      <c r="W294" s="122">
        <v>42237</v>
      </c>
      <c r="X294" s="81"/>
      <c r="Y294" s="22">
        <f t="shared" si="28"/>
        <v>0</v>
      </c>
      <c r="Z294" s="57"/>
    </row>
    <row r="295" spans="1:26" ht="41.4">
      <c r="A295" s="27" t="s">
        <v>1115</v>
      </c>
      <c r="B295" s="42">
        <v>42237</v>
      </c>
      <c r="C295" s="200" t="s">
        <v>1116</v>
      </c>
      <c r="D295" s="202" t="s">
        <v>1117</v>
      </c>
      <c r="E295" s="40" t="s">
        <v>361</v>
      </c>
      <c r="F295" s="21" t="s">
        <v>1118</v>
      </c>
      <c r="G295" s="22" t="s">
        <v>903</v>
      </c>
      <c r="H295" s="23">
        <v>250000</v>
      </c>
      <c r="I295" s="23"/>
      <c r="J295" s="23">
        <v>1080000</v>
      </c>
      <c r="K295" s="24"/>
      <c r="L295" s="57"/>
      <c r="M295" s="57"/>
      <c r="N295" s="57"/>
      <c r="O295" s="57"/>
      <c r="P295" s="57"/>
      <c r="Q295" s="57"/>
      <c r="R295" s="57"/>
      <c r="S295" s="57"/>
      <c r="T295" s="24"/>
      <c r="U295" s="16">
        <f t="shared" si="27"/>
        <v>1330000</v>
      </c>
      <c r="V295" s="23"/>
      <c r="W295" s="122"/>
      <c r="X295" s="81"/>
      <c r="Y295" s="22">
        <f t="shared" si="28"/>
        <v>1330000</v>
      </c>
      <c r="Z295" s="57"/>
    </row>
    <row r="296" spans="1:26" ht="31.2">
      <c r="A296" s="27" t="s">
        <v>1122</v>
      </c>
      <c r="B296" s="42">
        <v>42237</v>
      </c>
      <c r="C296" s="200" t="s">
        <v>1121</v>
      </c>
      <c r="D296" s="202" t="s">
        <v>1123</v>
      </c>
      <c r="E296" s="201" t="s">
        <v>134</v>
      </c>
      <c r="F296" s="21" t="s">
        <v>1126</v>
      </c>
      <c r="G296" s="22" t="s">
        <v>28</v>
      </c>
      <c r="H296" s="23">
        <v>250000</v>
      </c>
      <c r="I296" s="23"/>
      <c r="J296" s="23">
        <v>1080000</v>
      </c>
      <c r="K296" s="24"/>
      <c r="L296" s="57"/>
      <c r="M296" s="57"/>
      <c r="N296" s="57"/>
      <c r="O296" s="57"/>
      <c r="P296" s="57"/>
      <c r="Q296" s="57"/>
      <c r="R296" s="57"/>
      <c r="S296" s="57"/>
      <c r="T296" s="24"/>
      <c r="U296" s="16">
        <f t="shared" si="27"/>
        <v>1330000</v>
      </c>
      <c r="V296" s="23">
        <v>1330000</v>
      </c>
      <c r="W296" s="122">
        <v>42240</v>
      </c>
      <c r="X296" s="81"/>
      <c r="Y296" s="22">
        <f t="shared" si="28"/>
        <v>0</v>
      </c>
      <c r="Z296" s="57"/>
    </row>
    <row r="297" spans="1:26" ht="46.8">
      <c r="A297" s="27"/>
      <c r="B297" s="42">
        <v>42238</v>
      </c>
      <c r="C297" s="200" t="s">
        <v>532</v>
      </c>
      <c r="D297" s="202"/>
      <c r="E297" s="201" t="s">
        <v>310</v>
      </c>
      <c r="F297" s="21" t="s">
        <v>1125</v>
      </c>
      <c r="G297" s="22" t="s">
        <v>94</v>
      </c>
      <c r="H297" s="23">
        <v>980000</v>
      </c>
      <c r="I297" s="23"/>
      <c r="J297" s="23"/>
      <c r="K297" s="24"/>
      <c r="L297" s="57"/>
      <c r="M297" s="57"/>
      <c r="N297" s="57"/>
      <c r="O297" s="57"/>
      <c r="P297" s="57"/>
      <c r="Q297" s="57"/>
      <c r="R297" s="57"/>
      <c r="S297" s="57"/>
      <c r="T297" s="24"/>
      <c r="U297" s="16">
        <f t="shared" si="27"/>
        <v>980000</v>
      </c>
      <c r="V297" s="23">
        <v>980000</v>
      </c>
      <c r="W297" s="122">
        <v>42238</v>
      </c>
      <c r="X297" s="81"/>
      <c r="Y297" s="22">
        <f t="shared" si="28"/>
        <v>0</v>
      </c>
      <c r="Z297" s="57"/>
    </row>
    <row r="298" spans="1:26" ht="31.2">
      <c r="A298" s="27"/>
      <c r="B298" s="42">
        <v>42240</v>
      </c>
      <c r="C298" s="200" t="s">
        <v>1127</v>
      </c>
      <c r="D298" s="207" t="s">
        <v>1128</v>
      </c>
      <c r="E298" s="201" t="s">
        <v>134</v>
      </c>
      <c r="F298" s="21" t="s">
        <v>1129</v>
      </c>
      <c r="G298" s="22" t="s">
        <v>91</v>
      </c>
      <c r="H298" s="23">
        <v>480000</v>
      </c>
      <c r="I298" s="23"/>
      <c r="J298" s="23">
        <v>1080000</v>
      </c>
      <c r="K298" s="24"/>
      <c r="L298" s="57"/>
      <c r="M298" s="57"/>
      <c r="N298" s="57"/>
      <c r="O298" s="57"/>
      <c r="P298" s="57"/>
      <c r="Q298" s="57"/>
      <c r="R298" s="57"/>
      <c r="S298" s="57"/>
      <c r="T298" s="24">
        <v>108000</v>
      </c>
      <c r="U298" s="16">
        <f t="shared" si="27"/>
        <v>1668000</v>
      </c>
      <c r="V298" s="23"/>
      <c r="W298" s="122"/>
      <c r="X298" s="81"/>
      <c r="Y298" s="22">
        <f t="shared" si="28"/>
        <v>1668000</v>
      </c>
      <c r="Z298" s="57"/>
    </row>
    <row r="299" spans="1:26" ht="18.600000000000001">
      <c r="A299" s="27"/>
      <c r="B299" s="42"/>
      <c r="C299" s="200"/>
      <c r="D299" s="209"/>
      <c r="E299" s="201"/>
      <c r="F299" s="21"/>
      <c r="G299" s="22"/>
      <c r="H299" s="23"/>
      <c r="I299" s="23"/>
      <c r="J299" s="23"/>
      <c r="K299" s="24"/>
      <c r="L299" s="57"/>
      <c r="M299" s="57"/>
      <c r="N299" s="57"/>
      <c r="O299" s="57"/>
      <c r="P299" s="57"/>
      <c r="Q299" s="57"/>
      <c r="R299" s="57"/>
      <c r="S299" s="57"/>
      <c r="T299" s="24"/>
      <c r="U299" s="16">
        <f t="shared" si="27"/>
        <v>0</v>
      </c>
      <c r="V299" s="23"/>
      <c r="W299" s="122"/>
      <c r="X299" s="81"/>
      <c r="Y299" s="22">
        <f t="shared" si="28"/>
        <v>0</v>
      </c>
      <c r="Z299" s="57"/>
    </row>
    <row r="300" spans="1:26" ht="15.6">
      <c r="A300" s="27"/>
      <c r="B300" s="42"/>
      <c r="C300" s="200"/>
      <c r="D300" s="202"/>
      <c r="E300" s="201"/>
      <c r="F300" s="21"/>
      <c r="G300" s="22"/>
      <c r="H300" s="23"/>
      <c r="I300" s="23"/>
      <c r="J300" s="23"/>
      <c r="K300" s="24"/>
      <c r="L300" s="57"/>
      <c r="M300" s="57"/>
      <c r="N300" s="57"/>
      <c r="O300" s="57"/>
      <c r="P300" s="57"/>
      <c r="Q300" s="57"/>
      <c r="R300" s="57"/>
      <c r="S300" s="57"/>
      <c r="T300" s="24"/>
      <c r="U300" s="16">
        <f t="shared" si="27"/>
        <v>0</v>
      </c>
      <c r="V300" s="23"/>
      <c r="W300" s="122"/>
      <c r="X300" s="81"/>
      <c r="Y300" s="22">
        <f t="shared" si="28"/>
        <v>0</v>
      </c>
      <c r="Z300" s="57"/>
    </row>
    <row r="301" spans="1:26" ht="15.6">
      <c r="A301" s="27"/>
      <c r="B301" s="42"/>
      <c r="C301" s="200"/>
      <c r="D301" s="202"/>
      <c r="E301" s="201"/>
      <c r="F301" s="21"/>
      <c r="G301" s="22"/>
      <c r="H301" s="23"/>
      <c r="I301" s="23"/>
      <c r="J301" s="23"/>
      <c r="K301" s="24"/>
      <c r="L301" s="57"/>
      <c r="M301" s="57"/>
      <c r="N301" s="57"/>
      <c r="O301" s="57"/>
      <c r="P301" s="57"/>
      <c r="Q301" s="57"/>
      <c r="R301" s="57"/>
      <c r="S301" s="57"/>
      <c r="T301" s="24"/>
      <c r="U301" s="16">
        <f t="shared" si="27"/>
        <v>0</v>
      </c>
      <c r="V301" s="23"/>
      <c r="W301" s="122"/>
      <c r="X301" s="81"/>
      <c r="Y301" s="22">
        <f t="shared" si="28"/>
        <v>0</v>
      </c>
      <c r="Z301" s="57"/>
    </row>
    <row r="302" spans="1:26" ht="15.6">
      <c r="A302" s="27"/>
      <c r="B302" s="42"/>
      <c r="C302" s="200"/>
      <c r="D302" s="202"/>
      <c r="E302" s="201"/>
      <c r="F302" s="21"/>
      <c r="G302" s="22"/>
      <c r="H302" s="23"/>
      <c r="I302" s="23"/>
      <c r="J302" s="23"/>
      <c r="K302" s="24"/>
      <c r="L302" s="57"/>
      <c r="M302" s="57"/>
      <c r="N302" s="57"/>
      <c r="O302" s="57"/>
      <c r="P302" s="57"/>
      <c r="Q302" s="57"/>
      <c r="R302" s="57"/>
      <c r="S302" s="57"/>
      <c r="T302" s="24"/>
      <c r="U302" s="16">
        <f t="shared" si="27"/>
        <v>0</v>
      </c>
      <c r="V302" s="23"/>
      <c r="W302" s="122"/>
      <c r="X302" s="81"/>
      <c r="Y302" s="22">
        <f t="shared" si="28"/>
        <v>0</v>
      </c>
      <c r="Z302" s="57"/>
    </row>
    <row r="303" spans="1:26" ht="15.6">
      <c r="A303" s="27"/>
      <c r="B303" s="42"/>
      <c r="C303" s="200"/>
      <c r="D303" s="202"/>
      <c r="E303" s="201"/>
      <c r="F303" s="21"/>
      <c r="G303" s="22"/>
      <c r="H303" s="23"/>
      <c r="I303" s="23"/>
      <c r="J303" s="23"/>
      <c r="K303" s="24"/>
      <c r="L303" s="57"/>
      <c r="M303" s="57"/>
      <c r="N303" s="57"/>
      <c r="O303" s="57"/>
      <c r="P303" s="57"/>
      <c r="Q303" s="57"/>
      <c r="R303" s="57"/>
      <c r="S303" s="57"/>
      <c r="T303" s="24"/>
      <c r="U303" s="16">
        <f t="shared" si="27"/>
        <v>0</v>
      </c>
      <c r="V303" s="23"/>
      <c r="W303" s="122"/>
      <c r="X303" s="81"/>
      <c r="Y303" s="22">
        <f t="shared" si="28"/>
        <v>0</v>
      </c>
      <c r="Z303" s="57"/>
    </row>
    <row r="304" spans="1:26" ht="15.6">
      <c r="A304" s="27"/>
      <c r="B304" s="42"/>
      <c r="C304" s="200"/>
      <c r="D304" s="202"/>
      <c r="E304" s="201"/>
      <c r="F304" s="21"/>
      <c r="G304" s="22"/>
      <c r="H304" s="23"/>
      <c r="I304" s="23"/>
      <c r="J304" s="23"/>
      <c r="K304" s="24"/>
      <c r="L304" s="57"/>
      <c r="M304" s="57"/>
      <c r="N304" s="57"/>
      <c r="O304" s="57"/>
      <c r="P304" s="57"/>
      <c r="Q304" s="57"/>
      <c r="R304" s="57"/>
      <c r="S304" s="57"/>
      <c r="T304" s="24"/>
      <c r="U304" s="16">
        <f t="shared" si="27"/>
        <v>0</v>
      </c>
      <c r="V304" s="23"/>
      <c r="W304" s="122"/>
      <c r="X304" s="81"/>
      <c r="Y304" s="22">
        <f t="shared" si="28"/>
        <v>0</v>
      </c>
      <c r="Z304" s="57"/>
    </row>
    <row r="305" spans="1:26" ht="15.6">
      <c r="A305" s="27"/>
      <c r="B305" s="42"/>
      <c r="C305" s="200"/>
      <c r="D305" s="202"/>
      <c r="E305" s="201"/>
      <c r="F305" s="21"/>
      <c r="G305" s="22"/>
      <c r="H305" s="23"/>
      <c r="I305" s="23"/>
      <c r="J305" s="23"/>
      <c r="K305" s="24"/>
      <c r="L305" s="57"/>
      <c r="M305" s="57"/>
      <c r="N305" s="57"/>
      <c r="O305" s="57"/>
      <c r="P305" s="57"/>
      <c r="Q305" s="57"/>
      <c r="R305" s="57"/>
      <c r="S305" s="57"/>
      <c r="T305" s="24"/>
      <c r="U305" s="16">
        <f t="shared" si="27"/>
        <v>0</v>
      </c>
      <c r="V305" s="23"/>
      <c r="W305" s="122"/>
      <c r="X305" s="81"/>
      <c r="Y305" s="22">
        <f t="shared" si="28"/>
        <v>0</v>
      </c>
      <c r="Z305" s="57"/>
    </row>
    <row r="306" spans="1:26" ht="15.6">
      <c r="A306" s="27"/>
      <c r="B306" s="42"/>
      <c r="C306" s="200"/>
      <c r="D306" s="202"/>
      <c r="E306" s="201"/>
      <c r="F306" s="21"/>
      <c r="G306" s="22"/>
      <c r="H306" s="23"/>
      <c r="I306" s="23"/>
      <c r="J306" s="23"/>
      <c r="K306" s="24"/>
      <c r="L306" s="57"/>
      <c r="M306" s="57"/>
      <c r="N306" s="57"/>
      <c r="O306" s="57"/>
      <c r="P306" s="57"/>
      <c r="Q306" s="57"/>
      <c r="R306" s="57"/>
      <c r="S306" s="57"/>
      <c r="T306" s="24"/>
      <c r="U306" s="16">
        <f t="shared" si="27"/>
        <v>0</v>
      </c>
      <c r="V306" s="23"/>
      <c r="W306" s="122"/>
      <c r="X306" s="81"/>
      <c r="Y306" s="22">
        <f t="shared" si="28"/>
        <v>0</v>
      </c>
      <c r="Z306" s="57"/>
    </row>
    <row r="307" spans="1:26" ht="15.6">
      <c r="A307" s="27"/>
      <c r="B307" s="42"/>
      <c r="C307" s="200"/>
      <c r="D307" s="202"/>
      <c r="E307" s="201"/>
      <c r="F307" s="21"/>
      <c r="G307" s="22"/>
      <c r="H307" s="23"/>
      <c r="I307" s="23"/>
      <c r="J307" s="23"/>
      <c r="K307" s="24"/>
      <c r="L307" s="57"/>
      <c r="M307" s="57"/>
      <c r="N307" s="57"/>
      <c r="O307" s="57"/>
      <c r="P307" s="57"/>
      <c r="Q307" s="57"/>
      <c r="R307" s="57"/>
      <c r="S307" s="57"/>
      <c r="T307" s="24"/>
      <c r="U307" s="16">
        <f t="shared" si="27"/>
        <v>0</v>
      </c>
      <c r="V307" s="23"/>
      <c r="W307" s="122"/>
      <c r="X307" s="81"/>
      <c r="Y307" s="22">
        <f t="shared" si="28"/>
        <v>0</v>
      </c>
      <c r="Z307" s="57"/>
    </row>
    <row r="308" spans="1:26" ht="15.6">
      <c r="A308" s="27"/>
      <c r="B308" s="42"/>
      <c r="C308" s="200"/>
      <c r="D308" s="202"/>
      <c r="E308" s="201"/>
      <c r="F308" s="21"/>
      <c r="G308" s="22"/>
      <c r="H308" s="23"/>
      <c r="I308" s="23"/>
      <c r="J308" s="23"/>
      <c r="K308" s="24"/>
      <c r="L308" s="57"/>
      <c r="M308" s="57"/>
      <c r="N308" s="57"/>
      <c r="O308" s="57"/>
      <c r="P308" s="57"/>
      <c r="Q308" s="57"/>
      <c r="R308" s="57"/>
      <c r="S308" s="57"/>
      <c r="T308" s="24"/>
      <c r="U308" s="16">
        <f t="shared" si="27"/>
        <v>0</v>
      </c>
      <c r="V308" s="23"/>
      <c r="W308" s="122"/>
      <c r="X308" s="81"/>
      <c r="Y308" s="22">
        <f t="shared" si="28"/>
        <v>0</v>
      </c>
      <c r="Z308" s="57"/>
    </row>
    <row r="309" spans="1:26" ht="15.6">
      <c r="A309" s="27"/>
      <c r="B309" s="42"/>
      <c r="C309" s="200"/>
      <c r="D309" s="202"/>
      <c r="E309" s="201"/>
      <c r="F309" s="21"/>
      <c r="G309" s="22"/>
      <c r="H309" s="23"/>
      <c r="I309" s="23"/>
      <c r="J309" s="23"/>
      <c r="K309" s="24"/>
      <c r="L309" s="57"/>
      <c r="M309" s="57"/>
      <c r="N309" s="57"/>
      <c r="O309" s="57"/>
      <c r="P309" s="57"/>
      <c r="Q309" s="57"/>
      <c r="R309" s="57"/>
      <c r="S309" s="57"/>
      <c r="T309" s="24"/>
      <c r="U309" s="16">
        <f t="shared" si="27"/>
        <v>0</v>
      </c>
      <c r="V309" s="23"/>
      <c r="W309" s="122"/>
      <c r="X309" s="81"/>
      <c r="Y309" s="22">
        <f t="shared" si="28"/>
        <v>0</v>
      </c>
      <c r="Z309" s="57"/>
    </row>
    <row r="310" spans="1:26" ht="15.6">
      <c r="A310" s="27"/>
      <c r="B310" s="42"/>
      <c r="C310" s="200"/>
      <c r="D310" s="202"/>
      <c r="E310" s="201"/>
      <c r="F310" s="21"/>
      <c r="G310" s="22"/>
      <c r="H310" s="23"/>
      <c r="I310" s="23"/>
      <c r="J310" s="23"/>
      <c r="K310" s="24"/>
      <c r="L310" s="57"/>
      <c r="M310" s="57"/>
      <c r="N310" s="57"/>
      <c r="O310" s="57"/>
      <c r="P310" s="57"/>
      <c r="Q310" s="57"/>
      <c r="R310" s="57"/>
      <c r="S310" s="57"/>
      <c r="T310" s="24"/>
      <c r="U310" s="16">
        <f t="shared" si="27"/>
        <v>0</v>
      </c>
      <c r="V310" s="23"/>
      <c r="W310" s="122"/>
      <c r="X310" s="81"/>
      <c r="Y310" s="22">
        <f t="shared" si="28"/>
        <v>0</v>
      </c>
      <c r="Z310" s="57"/>
    </row>
    <row r="311" spans="1:26" ht="15.6">
      <c r="A311" s="27"/>
      <c r="B311" s="42"/>
      <c r="C311" s="200"/>
      <c r="D311" s="202"/>
      <c r="E311" s="201"/>
      <c r="F311" s="21"/>
      <c r="G311" s="22"/>
      <c r="H311" s="23"/>
      <c r="I311" s="23"/>
      <c r="J311" s="23"/>
      <c r="K311" s="24"/>
      <c r="L311" s="57"/>
      <c r="M311" s="57"/>
      <c r="N311" s="57"/>
      <c r="O311" s="57"/>
      <c r="P311" s="57"/>
      <c r="Q311" s="57"/>
      <c r="R311" s="57"/>
      <c r="S311" s="57"/>
      <c r="T311" s="24"/>
      <c r="U311" s="16">
        <f t="shared" si="27"/>
        <v>0</v>
      </c>
      <c r="V311" s="23"/>
      <c r="W311" s="122"/>
      <c r="X311" s="81"/>
      <c r="Y311" s="22">
        <f t="shared" si="28"/>
        <v>0</v>
      </c>
      <c r="Z311" s="57"/>
    </row>
    <row r="312" spans="1:26" ht="15.6">
      <c r="A312" s="27"/>
      <c r="B312" s="42"/>
      <c r="C312" s="200"/>
      <c r="D312" s="202"/>
      <c r="E312" s="201"/>
      <c r="F312" s="21"/>
      <c r="G312" s="22"/>
      <c r="H312" s="23"/>
      <c r="I312" s="23"/>
      <c r="J312" s="23"/>
      <c r="K312" s="24"/>
      <c r="L312" s="57"/>
      <c r="M312" s="57"/>
      <c r="N312" s="57"/>
      <c r="O312" s="57"/>
      <c r="P312" s="57"/>
      <c r="Q312" s="57"/>
      <c r="R312" s="57"/>
      <c r="S312" s="57"/>
      <c r="T312" s="24"/>
      <c r="U312" s="16">
        <f t="shared" si="27"/>
        <v>0</v>
      </c>
      <c r="V312" s="23"/>
      <c r="W312" s="122"/>
      <c r="X312" s="81"/>
      <c r="Y312" s="22">
        <f t="shared" si="28"/>
        <v>0</v>
      </c>
      <c r="Z312" s="57"/>
    </row>
    <row r="313" spans="1:26" ht="15.6">
      <c r="A313" s="27"/>
      <c r="B313" s="42"/>
      <c r="C313" s="200"/>
      <c r="D313" s="202"/>
      <c r="E313" s="201"/>
      <c r="F313" s="21"/>
      <c r="G313" s="22"/>
      <c r="H313" s="23"/>
      <c r="I313" s="23"/>
      <c r="J313" s="23"/>
      <c r="K313" s="24"/>
      <c r="L313" s="57"/>
      <c r="M313" s="57"/>
      <c r="N313" s="57"/>
      <c r="O313" s="57"/>
      <c r="P313" s="57"/>
      <c r="Q313" s="57"/>
      <c r="R313" s="57"/>
      <c r="S313" s="57"/>
      <c r="T313" s="24"/>
      <c r="U313" s="16">
        <f t="shared" si="27"/>
        <v>0</v>
      </c>
      <c r="V313" s="23"/>
      <c r="W313" s="122"/>
      <c r="X313" s="81"/>
      <c r="Y313" s="22">
        <f t="shared" si="28"/>
        <v>0</v>
      </c>
      <c r="Z313" s="57"/>
    </row>
    <row r="314" spans="1:26" ht="15.6">
      <c r="A314" s="27"/>
      <c r="B314" s="42"/>
      <c r="C314" s="200"/>
      <c r="D314" s="202"/>
      <c r="E314" s="201"/>
      <c r="F314" s="21"/>
      <c r="G314" s="22"/>
      <c r="H314" s="23"/>
      <c r="I314" s="23"/>
      <c r="J314" s="23"/>
      <c r="K314" s="24"/>
      <c r="L314" s="57"/>
      <c r="M314" s="57"/>
      <c r="N314" s="57"/>
      <c r="O314" s="57"/>
      <c r="P314" s="57"/>
      <c r="Q314" s="57"/>
      <c r="R314" s="57"/>
      <c r="S314" s="57"/>
      <c r="T314" s="24"/>
      <c r="U314" s="16">
        <f t="shared" si="27"/>
        <v>0</v>
      </c>
      <c r="V314" s="23"/>
      <c r="W314" s="122"/>
      <c r="X314" s="81"/>
      <c r="Y314" s="22">
        <f t="shared" si="28"/>
        <v>0</v>
      </c>
      <c r="Z314" s="57"/>
    </row>
    <row r="315" spans="1:26" ht="15.6">
      <c r="A315" s="27"/>
      <c r="B315" s="42"/>
      <c r="C315" s="200"/>
      <c r="D315" s="202"/>
      <c r="E315" s="201"/>
      <c r="F315" s="21"/>
      <c r="G315" s="22"/>
      <c r="H315" s="23"/>
      <c r="I315" s="23"/>
      <c r="J315" s="23"/>
      <c r="K315" s="24"/>
      <c r="L315" s="57"/>
      <c r="M315" s="57"/>
      <c r="N315" s="57"/>
      <c r="O315" s="57"/>
      <c r="P315" s="57"/>
      <c r="Q315" s="57"/>
      <c r="R315" s="57"/>
      <c r="S315" s="57"/>
      <c r="T315" s="24"/>
      <c r="U315" s="16">
        <f t="shared" si="27"/>
        <v>0</v>
      </c>
      <c r="V315" s="23"/>
      <c r="W315" s="122"/>
      <c r="X315" s="81"/>
      <c r="Y315" s="22">
        <f t="shared" si="28"/>
        <v>0</v>
      </c>
      <c r="Z315" s="57"/>
    </row>
    <row r="316" spans="1:26" ht="15.6">
      <c r="A316" s="27"/>
      <c r="B316" s="42"/>
      <c r="C316" s="200"/>
      <c r="D316" s="202"/>
      <c r="E316" s="201"/>
      <c r="F316" s="21"/>
      <c r="G316" s="22"/>
      <c r="H316" s="23"/>
      <c r="I316" s="23"/>
      <c r="J316" s="23"/>
      <c r="K316" s="24"/>
      <c r="L316" s="57"/>
      <c r="M316" s="57"/>
      <c r="N316" s="57"/>
      <c r="O316" s="57"/>
      <c r="P316" s="57"/>
      <c r="Q316" s="57"/>
      <c r="R316" s="57"/>
      <c r="S316" s="57"/>
      <c r="T316" s="24"/>
      <c r="U316" s="16">
        <f t="shared" si="27"/>
        <v>0</v>
      </c>
      <c r="V316" s="23"/>
      <c r="W316" s="122"/>
      <c r="X316" s="81"/>
      <c r="Y316" s="22">
        <f t="shared" si="28"/>
        <v>0</v>
      </c>
      <c r="Z316" s="57"/>
    </row>
    <row r="317" spans="1:26" ht="15.6">
      <c r="A317" s="27"/>
      <c r="B317" s="42"/>
      <c r="C317" s="200"/>
      <c r="D317" s="202"/>
      <c r="E317" s="201"/>
      <c r="F317" s="21"/>
      <c r="G317" s="22"/>
      <c r="H317" s="23"/>
      <c r="I317" s="23"/>
      <c r="J317" s="23"/>
      <c r="K317" s="24"/>
      <c r="L317" s="57"/>
      <c r="M317" s="57"/>
      <c r="N317" s="57"/>
      <c r="O317" s="57"/>
      <c r="P317" s="57"/>
      <c r="Q317" s="57"/>
      <c r="R317" s="57"/>
      <c r="S317" s="57"/>
      <c r="T317" s="24"/>
      <c r="U317" s="16">
        <f t="shared" si="27"/>
        <v>0</v>
      </c>
      <c r="V317" s="23"/>
      <c r="W317" s="122"/>
      <c r="X317" s="81"/>
      <c r="Y317" s="22">
        <f t="shared" si="28"/>
        <v>0</v>
      </c>
      <c r="Z317" s="57"/>
    </row>
    <row r="318" spans="1:26" ht="15.6">
      <c r="A318" s="27"/>
      <c r="B318" s="42"/>
      <c r="C318" s="200"/>
      <c r="D318" s="202"/>
      <c r="E318" s="201"/>
      <c r="F318" s="21"/>
      <c r="G318" s="22"/>
      <c r="H318" s="23"/>
      <c r="I318" s="23"/>
      <c r="J318" s="23"/>
      <c r="K318" s="24"/>
      <c r="L318" s="57"/>
      <c r="M318" s="57"/>
      <c r="N318" s="57"/>
      <c r="O318" s="57"/>
      <c r="P318" s="57"/>
      <c r="Q318" s="57"/>
      <c r="R318" s="57"/>
      <c r="S318" s="57"/>
      <c r="T318" s="24"/>
      <c r="U318" s="16">
        <f t="shared" si="27"/>
        <v>0</v>
      </c>
      <c r="V318" s="23"/>
      <c r="W318" s="122"/>
      <c r="X318" s="81"/>
      <c r="Y318" s="22">
        <f t="shared" si="28"/>
        <v>0</v>
      </c>
      <c r="Z318" s="57"/>
    </row>
    <row r="319" spans="1:26" ht="15.6">
      <c r="A319" s="27"/>
      <c r="B319" s="42"/>
      <c r="C319" s="200"/>
      <c r="D319" s="202"/>
      <c r="E319" s="201"/>
      <c r="F319" s="21"/>
      <c r="G319" s="22"/>
      <c r="H319" s="23"/>
      <c r="I319" s="23"/>
      <c r="J319" s="23"/>
      <c r="K319" s="24"/>
      <c r="L319" s="57"/>
      <c r="M319" s="57"/>
      <c r="N319" s="57"/>
      <c r="O319" s="57"/>
      <c r="P319" s="57"/>
      <c r="Q319" s="57"/>
      <c r="R319" s="57"/>
      <c r="S319" s="57"/>
      <c r="T319" s="24"/>
      <c r="U319" s="16">
        <f t="shared" si="27"/>
        <v>0</v>
      </c>
      <c r="V319" s="23"/>
      <c r="W319" s="122"/>
      <c r="X319" s="81"/>
      <c r="Y319" s="22">
        <f t="shared" si="28"/>
        <v>0</v>
      </c>
      <c r="Z319" s="57"/>
    </row>
    <row r="320" spans="1:26" ht="15.6">
      <c r="A320" s="27"/>
      <c r="B320" s="42"/>
      <c r="C320" s="200"/>
      <c r="D320" s="202"/>
      <c r="E320" s="201"/>
      <c r="F320" s="21"/>
      <c r="G320" s="22"/>
      <c r="H320" s="23"/>
      <c r="I320" s="23"/>
      <c r="J320" s="23"/>
      <c r="K320" s="24"/>
      <c r="L320" s="57"/>
      <c r="M320" s="57"/>
      <c r="N320" s="57"/>
      <c r="O320" s="57"/>
      <c r="P320" s="57"/>
      <c r="Q320" s="57"/>
      <c r="R320" s="57"/>
      <c r="S320" s="57"/>
      <c r="T320" s="24"/>
      <c r="U320" s="16">
        <f t="shared" si="27"/>
        <v>0</v>
      </c>
      <c r="V320" s="23"/>
      <c r="W320" s="122"/>
      <c r="X320" s="81"/>
      <c r="Y320" s="22">
        <f t="shared" si="28"/>
        <v>0</v>
      </c>
      <c r="Z320" s="57"/>
    </row>
    <row r="321" spans="1:26" ht="15.6">
      <c r="A321" s="27"/>
      <c r="B321" s="42"/>
      <c r="C321" s="200"/>
      <c r="D321" s="202"/>
      <c r="E321" s="201"/>
      <c r="F321" s="21"/>
      <c r="G321" s="22"/>
      <c r="H321" s="23"/>
      <c r="I321" s="23"/>
      <c r="J321" s="23"/>
      <c r="K321" s="24"/>
      <c r="L321" s="57"/>
      <c r="M321" s="57"/>
      <c r="N321" s="57"/>
      <c r="O321" s="57"/>
      <c r="P321" s="57"/>
      <c r="Q321" s="57"/>
      <c r="R321" s="57"/>
      <c r="S321" s="57"/>
      <c r="T321" s="24"/>
      <c r="U321" s="16">
        <f t="shared" si="27"/>
        <v>0</v>
      </c>
      <c r="V321" s="23"/>
      <c r="W321" s="122"/>
      <c r="X321" s="81"/>
      <c r="Y321" s="22">
        <f t="shared" si="28"/>
        <v>0</v>
      </c>
      <c r="Z321" s="57"/>
    </row>
    <row r="322" spans="1:26" ht="15.6">
      <c r="A322" s="27"/>
      <c r="B322" s="42"/>
      <c r="C322" s="200"/>
      <c r="D322" s="202"/>
      <c r="E322" s="201"/>
      <c r="F322" s="21"/>
      <c r="G322" s="22"/>
      <c r="H322" s="23"/>
      <c r="I322" s="23"/>
      <c r="J322" s="23"/>
      <c r="K322" s="24"/>
      <c r="L322" s="57"/>
      <c r="M322" s="57"/>
      <c r="N322" s="57"/>
      <c r="O322" s="57"/>
      <c r="P322" s="57"/>
      <c r="Q322" s="57"/>
      <c r="R322" s="57"/>
      <c r="S322" s="57"/>
      <c r="T322" s="24"/>
      <c r="U322" s="16">
        <f t="shared" si="27"/>
        <v>0</v>
      </c>
      <c r="V322" s="23"/>
      <c r="W322" s="122"/>
      <c r="X322" s="81"/>
      <c r="Y322" s="22">
        <f t="shared" si="28"/>
        <v>0</v>
      </c>
      <c r="Z322" s="57"/>
    </row>
    <row r="323" spans="1:26" ht="15.6">
      <c r="A323" s="27"/>
      <c r="B323" s="42"/>
      <c r="C323" s="200"/>
      <c r="D323" s="202"/>
      <c r="E323" s="201"/>
      <c r="F323" s="21"/>
      <c r="G323" s="22"/>
      <c r="H323" s="23"/>
      <c r="I323" s="23"/>
      <c r="J323" s="23"/>
      <c r="K323" s="24"/>
      <c r="L323" s="57"/>
      <c r="M323" s="57"/>
      <c r="N323" s="57"/>
      <c r="O323" s="57"/>
      <c r="P323" s="57"/>
      <c r="Q323" s="57"/>
      <c r="R323" s="57"/>
      <c r="S323" s="57"/>
      <c r="T323" s="24"/>
      <c r="U323" s="16">
        <f t="shared" si="27"/>
        <v>0</v>
      </c>
      <c r="V323" s="23"/>
      <c r="W323" s="122"/>
      <c r="X323" s="81"/>
      <c r="Y323" s="22">
        <f t="shared" si="28"/>
        <v>0</v>
      </c>
      <c r="Z323" s="57"/>
    </row>
    <row r="324" spans="1:26" ht="15.6">
      <c r="A324" s="27"/>
      <c r="B324" s="42"/>
      <c r="C324" s="200"/>
      <c r="D324" s="202"/>
      <c r="E324" s="201"/>
      <c r="F324" s="21"/>
      <c r="G324" s="22"/>
      <c r="H324" s="23"/>
      <c r="I324" s="23"/>
      <c r="J324" s="23"/>
      <c r="K324" s="24"/>
      <c r="L324" s="57"/>
      <c r="M324" s="57"/>
      <c r="N324" s="57"/>
      <c r="O324" s="57"/>
      <c r="P324" s="57"/>
      <c r="Q324" s="57"/>
      <c r="R324" s="57"/>
      <c r="S324" s="57"/>
      <c r="T324" s="24"/>
      <c r="U324" s="16">
        <f t="shared" si="27"/>
        <v>0</v>
      </c>
      <c r="V324" s="23"/>
      <c r="W324" s="122"/>
      <c r="X324" s="81"/>
      <c r="Y324" s="22">
        <f t="shared" ref="Y324:Y326" si="29">U324-V324</f>
        <v>0</v>
      </c>
      <c r="Z324" s="57"/>
    </row>
    <row r="325" spans="1:26" ht="15.6">
      <c r="A325" s="27"/>
      <c r="B325" s="42"/>
      <c r="C325" s="200"/>
      <c r="D325" s="202"/>
      <c r="E325" s="201"/>
      <c r="F325" s="21"/>
      <c r="G325" s="22"/>
      <c r="H325" s="23"/>
      <c r="I325" s="23"/>
      <c r="J325" s="23"/>
      <c r="K325" s="24"/>
      <c r="L325" s="57"/>
      <c r="M325" s="57"/>
      <c r="N325" s="57"/>
      <c r="O325" s="57"/>
      <c r="P325" s="57"/>
      <c r="Q325" s="57"/>
      <c r="R325" s="57"/>
      <c r="S325" s="57"/>
      <c r="T325" s="24"/>
      <c r="U325" s="16">
        <f t="shared" si="27"/>
        <v>0</v>
      </c>
      <c r="V325" s="23"/>
      <c r="W325" s="122"/>
      <c r="X325" s="81"/>
      <c r="Y325" s="22">
        <f t="shared" si="29"/>
        <v>0</v>
      </c>
      <c r="Z325" s="57"/>
    </row>
    <row r="326" spans="1:26" ht="15.6">
      <c r="A326" s="27"/>
      <c r="B326" s="42"/>
      <c r="C326" s="200"/>
      <c r="D326" s="202"/>
      <c r="E326" s="201"/>
      <c r="F326" s="21"/>
      <c r="G326" s="22"/>
      <c r="H326" s="23"/>
      <c r="I326" s="23"/>
      <c r="J326" s="23"/>
      <c r="K326" s="24"/>
      <c r="L326" s="57"/>
      <c r="M326" s="57"/>
      <c r="N326" s="57"/>
      <c r="O326" s="57"/>
      <c r="P326" s="57"/>
      <c r="Q326" s="57"/>
      <c r="R326" s="57"/>
      <c r="S326" s="57"/>
      <c r="T326" s="24"/>
      <c r="U326" s="16">
        <f t="shared" si="27"/>
        <v>0</v>
      </c>
      <c r="V326" s="23"/>
      <c r="W326" s="122"/>
      <c r="X326" s="81"/>
      <c r="Y326" s="22">
        <f t="shared" si="29"/>
        <v>0</v>
      </c>
      <c r="Z326" s="57"/>
    </row>
    <row r="327" spans="1:26" ht="15.6">
      <c r="A327" s="27"/>
      <c r="B327" s="42"/>
      <c r="C327" s="200"/>
      <c r="D327" s="202"/>
      <c r="E327" s="201"/>
      <c r="F327" s="21"/>
      <c r="G327" s="22"/>
      <c r="H327" s="23"/>
      <c r="I327" s="23"/>
      <c r="J327" s="23"/>
      <c r="K327" s="24"/>
      <c r="L327" s="57"/>
      <c r="M327" s="57"/>
      <c r="N327" s="57"/>
      <c r="O327" s="57"/>
      <c r="P327" s="57"/>
      <c r="Q327" s="57"/>
      <c r="R327" s="57"/>
      <c r="S327" s="57"/>
      <c r="T327" s="24"/>
      <c r="U327" s="16"/>
      <c r="V327" s="23"/>
      <c r="W327" s="122"/>
      <c r="X327" s="81"/>
      <c r="Y327" s="22"/>
      <c r="Z327" s="57"/>
    </row>
  </sheetData>
  <autoFilter ref="A3:Z326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267:E268 E231:E240 E242:E265 E1:E49 E51:E67 D75:F75 E102:E106 E69:E74 E76:E100 E97:F97 E108:E137 E139:E173 Z172 X169 E175:E227 E229">
    <cfRule type="containsText" dxfId="291" priority="119" stopIfTrue="1" operator="containsText" text="Gia hạn">
      <formula>NOT(ISERROR(SEARCH("Gia hạn",D1)))</formula>
    </cfRule>
    <cfRule type="cellIs" dxfId="290" priority="120" stopIfTrue="1" operator="equal">
      <formula>"Gia hạn"</formula>
    </cfRule>
  </conditionalFormatting>
  <conditionalFormatting sqref="D248:D249 G1:G49 G51:G67 F75:H75 G69:G74 G76:G106 F97:G97 G108:G137 G139:G173 D198:D199 G175:G227 G229:G268">
    <cfRule type="containsText" dxfId="289" priority="118" stopIfTrue="1" operator="containsText" text="THV">
      <formula>NOT(ISERROR(SEARCH("THV",D1)))</formula>
    </cfRule>
  </conditionalFormatting>
  <conditionalFormatting sqref="D75:F75 E97:F97 Z172 X169 E1:E276 E278:E65530">
    <cfRule type="containsText" dxfId="288" priority="117" stopIfTrue="1" operator="containsText" text="gia hạn">
      <formula>NOT(ISERROR(SEARCH("gia hạn",D1)))</formula>
    </cfRule>
  </conditionalFormatting>
  <conditionalFormatting sqref="D248:D249 F75:H75 D198:D199 G1:G1048576">
    <cfRule type="containsText" dxfId="287" priority="116" operator="containsText" text="Tịnh">
      <formula>NOT(ISERROR(SEARCH("Tịnh",D1)))</formula>
    </cfRule>
  </conditionalFormatting>
  <conditionalFormatting sqref="E271:E276 E278:E327">
    <cfRule type="containsText" dxfId="286" priority="28" stopIfTrue="1" operator="containsText" text="Gia hạn">
      <formula>NOT(ISERROR(SEARCH("Gia hạn",E271)))</formula>
    </cfRule>
    <cfRule type="cellIs" dxfId="285" priority="29" stopIfTrue="1" operator="equal">
      <formula>"Gia hạn"</formula>
    </cfRule>
  </conditionalFormatting>
  <conditionalFormatting sqref="G271:G327">
    <cfRule type="containsText" dxfId="284" priority="27" stopIfTrue="1" operator="containsText" text="THV">
      <formula>NOT(ISERROR(SEARCH("THV",G271)))</formula>
    </cfRule>
  </conditionalFormatting>
  <conditionalFormatting sqref="E271">
    <cfRule type="containsText" dxfId="283" priority="25" stopIfTrue="1" operator="containsText" text="Gia hạn">
      <formula>NOT(ISERROR(SEARCH("Gia hạn",E271)))</formula>
    </cfRule>
    <cfRule type="cellIs" dxfId="282" priority="26" stopIfTrue="1" operator="equal">
      <formula>"Gia hạn"</formula>
    </cfRule>
  </conditionalFormatting>
  <conditionalFormatting sqref="E272">
    <cfRule type="containsText" dxfId="281" priority="23" stopIfTrue="1" operator="containsText" text="Gia hạn">
      <formula>NOT(ISERROR(SEARCH("Gia hạn",E272)))</formula>
    </cfRule>
    <cfRule type="cellIs" dxfId="280" priority="24" stopIfTrue="1" operator="equal">
      <formula>"Gia hạn"</formula>
    </cfRule>
  </conditionalFormatting>
  <conditionalFormatting sqref="E273">
    <cfRule type="containsText" dxfId="279" priority="21" stopIfTrue="1" operator="containsText" text="Gia hạn">
      <formula>NOT(ISERROR(SEARCH("Gia hạn",E273)))</formula>
    </cfRule>
    <cfRule type="cellIs" dxfId="278" priority="22" stopIfTrue="1" operator="equal">
      <formula>"Gia hạn"</formula>
    </cfRule>
  </conditionalFormatting>
  <conditionalFormatting sqref="E274">
    <cfRule type="containsText" dxfId="277" priority="19" stopIfTrue="1" operator="containsText" text="Gia hạn">
      <formula>NOT(ISERROR(SEARCH("Gia hạn",E274)))</formula>
    </cfRule>
    <cfRule type="cellIs" dxfId="276" priority="20" stopIfTrue="1" operator="equal">
      <formula>"Gia hạn"</formula>
    </cfRule>
  </conditionalFormatting>
  <conditionalFormatting sqref="E276">
    <cfRule type="containsText" dxfId="275" priority="17" stopIfTrue="1" operator="containsText" text="Gia hạn">
      <formula>NOT(ISERROR(SEARCH("Gia hạn",E276)))</formula>
    </cfRule>
    <cfRule type="cellIs" dxfId="274" priority="18" stopIfTrue="1" operator="equal">
      <formula>"Gia hạn"</formula>
    </cfRule>
  </conditionalFormatting>
  <conditionalFormatting sqref="E281">
    <cfRule type="containsText" dxfId="273" priority="15" stopIfTrue="1" operator="containsText" text="Gia hạn">
      <formula>NOT(ISERROR(SEARCH("Gia hạn",E281)))</formula>
    </cfRule>
    <cfRule type="cellIs" dxfId="272" priority="16" stopIfTrue="1" operator="equal">
      <formula>"Gia hạn"</formula>
    </cfRule>
  </conditionalFormatting>
  <conditionalFormatting sqref="E283">
    <cfRule type="containsText" dxfId="271" priority="13" stopIfTrue="1" operator="containsText" text="Gia hạn">
      <formula>NOT(ISERROR(SEARCH("Gia hạn",E283)))</formula>
    </cfRule>
    <cfRule type="cellIs" dxfId="270" priority="14" stopIfTrue="1" operator="equal">
      <formula>"Gia hạn"</formula>
    </cfRule>
  </conditionalFormatting>
  <conditionalFormatting sqref="E284">
    <cfRule type="containsText" dxfId="269" priority="11" stopIfTrue="1" operator="containsText" text="Gia hạn">
      <formula>NOT(ISERROR(SEARCH("Gia hạn",E284)))</formula>
    </cfRule>
    <cfRule type="cellIs" dxfId="268" priority="12" stopIfTrue="1" operator="equal">
      <formula>"Gia hạn"</formula>
    </cfRule>
  </conditionalFormatting>
  <conditionalFormatting sqref="E285">
    <cfRule type="containsText" dxfId="267" priority="9" stopIfTrue="1" operator="containsText" text="Gia hạn">
      <formula>NOT(ISERROR(SEARCH("Gia hạn",E285)))</formula>
    </cfRule>
    <cfRule type="cellIs" dxfId="266" priority="10" stopIfTrue="1" operator="equal">
      <formula>"Gia hạn"</formula>
    </cfRule>
  </conditionalFormatting>
  <conditionalFormatting sqref="E287">
    <cfRule type="containsText" dxfId="265" priority="7" stopIfTrue="1" operator="containsText" text="Gia hạn">
      <formula>NOT(ISERROR(SEARCH("Gia hạn",E287)))</formula>
    </cfRule>
    <cfRule type="cellIs" dxfId="264" priority="8" stopIfTrue="1" operator="equal">
      <formula>"Gia hạn"</formula>
    </cfRule>
  </conditionalFormatting>
  <conditionalFormatting sqref="E291">
    <cfRule type="containsText" dxfId="263" priority="5" stopIfTrue="1" operator="containsText" text="Gia hạn">
      <formula>NOT(ISERROR(SEARCH("Gia hạn",E291)))</formula>
    </cfRule>
    <cfRule type="cellIs" dxfId="262" priority="6" stopIfTrue="1" operator="equal">
      <formula>"Gia hạn"</formula>
    </cfRule>
  </conditionalFormatting>
  <conditionalFormatting sqref="E292">
    <cfRule type="containsText" dxfId="261" priority="3" stopIfTrue="1" operator="containsText" text="Gia hạn">
      <formula>NOT(ISERROR(SEARCH("Gia hạn",E292)))</formula>
    </cfRule>
    <cfRule type="cellIs" dxfId="260" priority="4" stopIfTrue="1" operator="equal">
      <formula>"Gia hạn"</formula>
    </cfRule>
  </conditionalFormatting>
  <conditionalFormatting sqref="E295">
    <cfRule type="containsText" dxfId="259" priority="1" stopIfTrue="1" operator="containsText" text="Gia hạn">
      <formula>NOT(ISERROR(SEARCH("Gia hạn",E295)))</formula>
    </cfRule>
    <cfRule type="cellIs" dxfId="258" priority="2" stopIfTrue="1" operator="equal">
      <formula>"Gia hạn"</formula>
    </cfRule>
  </conditionalFormatting>
  <hyperlinks>
    <hyperlink ref="F12" r:id="rId1"/>
    <hyperlink ref="F25" r:id="rId2" display="http://www.nhakhoathammydaiviet.vn/"/>
    <hyperlink ref="F29" r:id="rId3"/>
    <hyperlink ref="F76" r:id="rId4" display="http://www.medfatop.com/"/>
    <hyperlink ref="F78" r:id="rId5" display="www.goldideas.com.vn "/>
    <hyperlink ref="F156" r:id="rId6" display="http://trungvietco.com.vn/"/>
    <hyperlink ref="F207" r:id="rId7" display="www.thutuchaiquannhanh.com&#10;"/>
    <hyperlink ref="F210" r:id="rId8" display="http://imusicvietnam.vn/"/>
    <hyperlink ref="F218" r:id="rId9" display="http://harrytsaiart.com/"/>
    <hyperlink ref="F241" r:id="rId10"/>
    <hyperlink ref="F245" r:id="rId11"/>
    <hyperlink ref="F266" r:id="rId12"/>
    <hyperlink ref="F294" r:id="rId13" display="http://www.dpc.company/"/>
    <hyperlink ref="F296" r:id="rId14"/>
  </hyperlinks>
  <pageMargins left="0.7" right="0.7" top="0.75" bottom="0.75" header="0.3" footer="0.3"/>
  <pageSetup orientation="portrait" r:id="rId15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6"/>
  <sheetViews>
    <sheetView workbookViewId="0">
      <pane xSplit="3" ySplit="5" topLeftCell="D51" activePane="bottomRight" state="frozen"/>
      <selection pane="topRight" activeCell="D1" sqref="D1"/>
      <selection pane="bottomLeft" activeCell="A6" sqref="A6"/>
      <selection pane="bottomRight" activeCell="F42" sqref="F42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1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31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46.8">
      <c r="A6" s="23" t="s">
        <v>29</v>
      </c>
      <c r="B6" s="17">
        <v>42005</v>
      </c>
      <c r="C6" s="18" t="s">
        <v>30</v>
      </c>
      <c r="D6" s="20"/>
      <c r="E6" s="28" t="s">
        <v>45</v>
      </c>
      <c r="F6" s="21" t="s">
        <v>79</v>
      </c>
      <c r="G6" s="22" t="s">
        <v>28</v>
      </c>
      <c r="H6" s="23">
        <v>0</v>
      </c>
      <c r="I6" s="24"/>
      <c r="J6" s="23"/>
      <c r="K6" s="24">
        <v>6528000</v>
      </c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" si="0">+SUM(H6:T6)</f>
        <v>6528000</v>
      </c>
      <c r="V6" s="23">
        <f>'Tổng hợp 2015'!V6</f>
        <v>6528000</v>
      </c>
      <c r="W6" s="23" t="str">
        <f>'Tổng hợp 2015'!W6</f>
        <v>07/01/2015, 09/06/2015</v>
      </c>
      <c r="X6" s="17"/>
      <c r="Y6" s="22">
        <f t="shared" ref="Y6:Y10" si="1">U6-V6</f>
        <v>0</v>
      </c>
      <c r="Z6" s="25"/>
      <c r="AA6" s="29" t="s">
        <v>225</v>
      </c>
    </row>
    <row r="7" spans="1:27" ht="15.6">
      <c r="A7" s="27"/>
      <c r="B7" s="17">
        <v>42005</v>
      </c>
      <c r="C7" s="18" t="s">
        <v>39</v>
      </c>
      <c r="D7" s="20" t="s">
        <v>40</v>
      </c>
      <c r="E7" s="28"/>
      <c r="F7" s="21" t="s">
        <v>41</v>
      </c>
      <c r="G7" s="22" t="s">
        <v>28</v>
      </c>
      <c r="H7" s="23">
        <v>250000</v>
      </c>
      <c r="I7" s="24"/>
      <c r="J7" s="23"/>
      <c r="K7" s="24"/>
      <c r="L7" s="24"/>
      <c r="M7" s="23"/>
      <c r="N7" s="24"/>
      <c r="O7" s="24"/>
      <c r="P7" s="24"/>
      <c r="Q7" s="24"/>
      <c r="R7" s="24"/>
      <c r="S7" s="24"/>
      <c r="T7" s="24"/>
      <c r="U7" s="16">
        <f t="shared" ref="U7" si="2">+SUM(H7:T7)</f>
        <v>250000</v>
      </c>
      <c r="V7" s="23">
        <f>'Tổng hợp 2015'!V7</f>
        <v>250000</v>
      </c>
      <c r="W7" s="131">
        <f>'Tổng hợp 2015'!W7</f>
        <v>42024</v>
      </c>
      <c r="X7" s="17"/>
      <c r="Y7" s="22">
        <f t="shared" si="1"/>
        <v>0</v>
      </c>
      <c r="Z7" s="25"/>
      <c r="AA7" s="29"/>
    </row>
    <row r="8" spans="1:27" ht="62.4">
      <c r="A8" s="60" t="s">
        <v>42</v>
      </c>
      <c r="B8" s="17">
        <v>42005</v>
      </c>
      <c r="C8" s="18" t="s">
        <v>43</v>
      </c>
      <c r="D8" s="20" t="s">
        <v>44</v>
      </c>
      <c r="E8" s="20" t="s">
        <v>51</v>
      </c>
      <c r="F8" s="21" t="s">
        <v>46</v>
      </c>
      <c r="G8" s="22" t="s">
        <v>47</v>
      </c>
      <c r="H8" s="23"/>
      <c r="I8" s="24"/>
      <c r="J8" s="23"/>
      <c r="K8" s="24">
        <v>26599000</v>
      </c>
      <c r="L8" s="24"/>
      <c r="M8" s="23"/>
      <c r="N8" s="24"/>
      <c r="O8" s="24"/>
      <c r="P8" s="24"/>
      <c r="Q8" s="24"/>
      <c r="R8" s="24"/>
      <c r="S8" s="24">
        <v>6599000</v>
      </c>
      <c r="T8" s="24"/>
      <c r="U8" s="16">
        <f>+SUM(H8:T8)-S8</f>
        <v>26599000</v>
      </c>
      <c r="V8" s="23">
        <f>'Tổng hợp 2015'!V8</f>
        <v>11969550</v>
      </c>
      <c r="W8" s="131">
        <f>'Tổng hợp 2015'!W8</f>
        <v>42009</v>
      </c>
      <c r="X8" s="17"/>
      <c r="Y8" s="22">
        <f t="shared" si="1"/>
        <v>14629450</v>
      </c>
      <c r="Z8" s="25" t="s">
        <v>401</v>
      </c>
      <c r="AA8" s="29" t="s">
        <v>225</v>
      </c>
    </row>
    <row r="9" spans="1:27" s="63" customFormat="1" ht="31.2">
      <c r="A9" s="27" t="s">
        <v>48</v>
      </c>
      <c r="B9" s="17">
        <v>42005</v>
      </c>
      <c r="C9" s="18" t="s">
        <v>49</v>
      </c>
      <c r="D9" s="61" t="s">
        <v>50</v>
      </c>
      <c r="E9" s="20" t="s">
        <v>51</v>
      </c>
      <c r="F9" s="21" t="s">
        <v>52</v>
      </c>
      <c r="G9" s="22" t="s">
        <v>28</v>
      </c>
      <c r="H9" s="23"/>
      <c r="I9" s="24"/>
      <c r="J9" s="23"/>
      <c r="K9" s="24">
        <v>7000000</v>
      </c>
      <c r="L9" s="24"/>
      <c r="M9" s="23"/>
      <c r="N9" s="24"/>
      <c r="O9" s="24"/>
      <c r="P9" s="24"/>
      <c r="Q9" s="24"/>
      <c r="R9" s="24"/>
      <c r="S9" s="24">
        <v>700000</v>
      </c>
      <c r="T9" s="24"/>
      <c r="U9" s="16">
        <f>+SUM(H9:T9)-S9</f>
        <v>7000000</v>
      </c>
      <c r="V9" s="23">
        <f>'Tổng hợp 2015'!V9</f>
        <v>7000000</v>
      </c>
      <c r="W9" s="131" t="str">
        <f>'Tổng hợp 2015'!W9</f>
        <v>31/12/2014, 30/06/2015</v>
      </c>
      <c r="X9" s="17" t="s">
        <v>53</v>
      </c>
      <c r="Y9" s="22">
        <f t="shared" si="1"/>
        <v>0</v>
      </c>
      <c r="Z9" s="62" t="s">
        <v>822</v>
      </c>
      <c r="AA9" s="29" t="s">
        <v>225</v>
      </c>
    </row>
    <row r="10" spans="1:27" ht="31.2">
      <c r="A10" s="27"/>
      <c r="B10" s="17">
        <v>42003</v>
      </c>
      <c r="C10" s="18" t="s">
        <v>113</v>
      </c>
      <c r="D10" s="20"/>
      <c r="E10" s="28" t="s">
        <v>96</v>
      </c>
      <c r="F10" s="21" t="s">
        <v>54</v>
      </c>
      <c r="G10" s="22" t="s">
        <v>91</v>
      </c>
      <c r="H10" s="23">
        <v>350000</v>
      </c>
      <c r="I10" s="24"/>
      <c r="J10" s="23">
        <v>660000</v>
      </c>
      <c r="K10" s="24"/>
      <c r="L10" s="24"/>
      <c r="M10" s="23"/>
      <c r="N10" s="24"/>
      <c r="O10" s="24"/>
      <c r="P10" s="24"/>
      <c r="Q10" s="24"/>
      <c r="R10" s="24"/>
      <c r="S10" s="24"/>
      <c r="T10" s="24"/>
      <c r="U10" s="16">
        <f>+SUM(H10:T10)-S10</f>
        <v>1010000</v>
      </c>
      <c r="V10" s="23">
        <f>'Tổng hợp 2015'!V10</f>
        <v>1010000</v>
      </c>
      <c r="W10" s="131">
        <f>'Tổng hợp 2015'!W10</f>
        <v>42013</v>
      </c>
      <c r="X10" s="17"/>
      <c r="Y10" s="22">
        <f t="shared" si="1"/>
        <v>0</v>
      </c>
      <c r="Z10" s="25"/>
      <c r="AA10" s="29" t="s">
        <v>227</v>
      </c>
    </row>
    <row r="11" spans="1:27" s="87" customFormat="1" ht="46.8">
      <c r="A11" s="27" t="s">
        <v>55</v>
      </c>
      <c r="B11" s="81">
        <v>41988</v>
      </c>
      <c r="C11" s="82" t="s">
        <v>56</v>
      </c>
      <c r="D11" s="83" t="s">
        <v>57</v>
      </c>
      <c r="E11" s="84" t="s">
        <v>45</v>
      </c>
      <c r="F11" s="30"/>
      <c r="G11" s="27" t="s">
        <v>58</v>
      </c>
      <c r="H11" s="27">
        <v>0</v>
      </c>
      <c r="I11" s="30"/>
      <c r="J11" s="27">
        <v>0</v>
      </c>
      <c r="K11" s="30">
        <v>5000000</v>
      </c>
      <c r="L11" s="30"/>
      <c r="M11" s="27"/>
      <c r="N11" s="30"/>
      <c r="O11" s="30"/>
      <c r="P11" s="30"/>
      <c r="Q11" s="30"/>
      <c r="R11" s="30"/>
      <c r="S11" s="30"/>
      <c r="T11" s="30"/>
      <c r="U11" s="85"/>
      <c r="V11" s="23">
        <f>'Tổng hợp 2015'!V11</f>
        <v>0</v>
      </c>
      <c r="W11" s="131"/>
      <c r="X11" s="81"/>
      <c r="Y11" s="27">
        <f t="shared" ref="Y11:Y19" si="3">U11-V11</f>
        <v>0</v>
      </c>
      <c r="Z11" s="83" t="s">
        <v>108</v>
      </c>
      <c r="AA11" s="86"/>
    </row>
    <row r="12" spans="1:27" ht="46.8">
      <c r="A12" s="64" t="s">
        <v>63</v>
      </c>
      <c r="B12" s="65">
        <v>42009</v>
      </c>
      <c r="C12" s="66" t="s">
        <v>59</v>
      </c>
      <c r="D12" s="67" t="s">
        <v>60</v>
      </c>
      <c r="E12" s="67" t="s">
        <v>45</v>
      </c>
      <c r="F12" s="68" t="s">
        <v>61</v>
      </c>
      <c r="G12" s="69" t="s">
        <v>62</v>
      </c>
      <c r="H12" s="70">
        <v>360000</v>
      </c>
      <c r="I12" s="70"/>
      <c r="J12" s="70">
        <v>648000</v>
      </c>
      <c r="K12" s="70"/>
      <c r="L12" s="71"/>
      <c r="M12" s="71"/>
      <c r="N12" s="70"/>
      <c r="O12" s="70"/>
      <c r="P12" s="70"/>
      <c r="Q12" s="70"/>
      <c r="R12" s="70"/>
      <c r="S12" s="70"/>
      <c r="T12" s="73">
        <v>64800</v>
      </c>
      <c r="U12" s="72">
        <f t="shared" ref="U12:U49" si="4">+SUM(H12:T12)</f>
        <v>1072800</v>
      </c>
      <c r="V12" s="70">
        <v>1072800</v>
      </c>
      <c r="W12" s="101">
        <v>42020</v>
      </c>
      <c r="X12" s="74" t="s">
        <v>69</v>
      </c>
      <c r="Y12" s="69">
        <f t="shared" si="3"/>
        <v>0</v>
      </c>
      <c r="Z12" s="102" t="s">
        <v>141</v>
      </c>
      <c r="AA12" s="120" t="s">
        <v>67</v>
      </c>
    </row>
    <row r="13" spans="1:27" ht="46.8">
      <c r="A13" s="27" t="s">
        <v>70</v>
      </c>
      <c r="B13" s="17">
        <v>42011</v>
      </c>
      <c r="C13" s="18" t="s">
        <v>71</v>
      </c>
      <c r="D13" s="20" t="s">
        <v>72</v>
      </c>
      <c r="E13" s="28" t="s">
        <v>110</v>
      </c>
      <c r="F13" s="21" t="s">
        <v>78</v>
      </c>
      <c r="G13" s="22" t="s">
        <v>28</v>
      </c>
      <c r="H13" s="57"/>
      <c r="I13" s="23">
        <v>2160000</v>
      </c>
      <c r="J13" s="23"/>
      <c r="K13" s="23"/>
      <c r="L13" s="57"/>
      <c r="M13" s="57"/>
      <c r="N13" s="23"/>
      <c r="O13" s="23"/>
      <c r="P13" s="23"/>
      <c r="Q13" s="23"/>
      <c r="R13" s="23"/>
      <c r="S13" s="23"/>
      <c r="T13" s="24">
        <v>216000</v>
      </c>
      <c r="U13" s="16">
        <f t="shared" si="4"/>
        <v>2376000</v>
      </c>
      <c r="V13" s="23">
        <f>'Tổng hợp 2015'!V13</f>
        <v>2376000</v>
      </c>
      <c r="W13" s="131">
        <f>'Tổng hợp 2015'!W13</f>
        <v>42016</v>
      </c>
      <c r="X13" s="17" t="s">
        <v>77</v>
      </c>
      <c r="Y13" s="22">
        <f t="shared" si="3"/>
        <v>0</v>
      </c>
      <c r="Z13" s="62" t="s">
        <v>80</v>
      </c>
      <c r="AA13" t="s">
        <v>111</v>
      </c>
    </row>
    <row r="14" spans="1:27" ht="46.8">
      <c r="A14" s="23" t="s">
        <v>73</v>
      </c>
      <c r="B14" s="17">
        <v>42011</v>
      </c>
      <c r="C14" s="18" t="s">
        <v>74</v>
      </c>
      <c r="D14" s="20" t="s">
        <v>75</v>
      </c>
      <c r="E14" s="28" t="s">
        <v>45</v>
      </c>
      <c r="F14" s="21" t="s">
        <v>76</v>
      </c>
      <c r="G14" s="22" t="s">
        <v>28</v>
      </c>
      <c r="H14" s="57"/>
      <c r="I14" s="23">
        <v>1200000</v>
      </c>
      <c r="J14" s="23">
        <v>1690000</v>
      </c>
      <c r="K14" s="23">
        <v>3600000</v>
      </c>
      <c r="L14" s="57"/>
      <c r="M14" s="57"/>
      <c r="N14" s="23"/>
      <c r="O14" s="23"/>
      <c r="P14" s="23"/>
      <c r="Q14" s="23"/>
      <c r="R14" s="23"/>
      <c r="S14" s="23"/>
      <c r="T14" s="23"/>
      <c r="U14" s="16">
        <f t="shared" si="4"/>
        <v>6490000</v>
      </c>
      <c r="V14" s="23">
        <f>'Tổng hợp 2015'!V14</f>
        <v>6490000</v>
      </c>
      <c r="W14" s="131" t="str">
        <f>'Tổng hợp 2015'!W14</f>
        <v>07/01/2015, 19/01/2015</v>
      </c>
      <c r="X14" s="57"/>
      <c r="Y14" s="22">
        <f t="shared" si="3"/>
        <v>0</v>
      </c>
      <c r="Z14" s="62"/>
      <c r="AA14" s="29" t="s">
        <v>225</v>
      </c>
    </row>
    <row r="15" spans="1:27" ht="46.8">
      <c r="A15" s="70" t="s">
        <v>84</v>
      </c>
      <c r="B15" s="65">
        <v>42012</v>
      </c>
      <c r="C15" s="66" t="s">
        <v>81</v>
      </c>
      <c r="D15" s="67" t="s">
        <v>82</v>
      </c>
      <c r="E15" s="67" t="s">
        <v>45</v>
      </c>
      <c r="F15" s="68" t="s">
        <v>83</v>
      </c>
      <c r="G15" s="69" t="s">
        <v>62</v>
      </c>
      <c r="H15" s="70">
        <v>630000</v>
      </c>
      <c r="I15" s="70"/>
      <c r="J15" s="70">
        <v>768000</v>
      </c>
      <c r="K15" s="70"/>
      <c r="L15" s="71"/>
      <c r="M15" s="71"/>
      <c r="N15" s="70"/>
      <c r="O15" s="70"/>
      <c r="P15" s="70"/>
      <c r="Q15" s="70"/>
      <c r="R15" s="70"/>
      <c r="S15" s="70"/>
      <c r="T15" s="73">
        <v>76800</v>
      </c>
      <c r="U15" s="72">
        <f t="shared" si="4"/>
        <v>1474800</v>
      </c>
      <c r="V15" s="70">
        <v>1474800</v>
      </c>
      <c r="W15" s="65">
        <v>42060</v>
      </c>
      <c r="X15" s="74" t="s">
        <v>240</v>
      </c>
      <c r="Y15" s="69">
        <f t="shared" si="3"/>
        <v>0</v>
      </c>
      <c r="Z15" s="77"/>
      <c r="AA15" t="s">
        <v>67</v>
      </c>
    </row>
    <row r="16" spans="1:27" ht="31.2">
      <c r="A16" s="27" t="s">
        <v>87</v>
      </c>
      <c r="B16" s="17">
        <v>42012</v>
      </c>
      <c r="C16" s="18" t="s">
        <v>88</v>
      </c>
      <c r="D16" s="57"/>
      <c r="E16" s="28" t="s">
        <v>86</v>
      </c>
      <c r="F16" s="21" t="s">
        <v>85</v>
      </c>
      <c r="G16" s="22" t="s">
        <v>28</v>
      </c>
      <c r="H16" s="23">
        <v>1550000</v>
      </c>
      <c r="I16" s="57"/>
      <c r="J16" s="57"/>
      <c r="K16" s="57"/>
      <c r="L16" s="57"/>
      <c r="M16" s="57"/>
      <c r="N16" s="23"/>
      <c r="O16" s="23"/>
      <c r="P16" s="23"/>
      <c r="Q16" s="23"/>
      <c r="R16" s="23"/>
      <c r="S16" s="23"/>
      <c r="T16" s="23"/>
      <c r="U16" s="16">
        <f t="shared" si="4"/>
        <v>1550000</v>
      </c>
      <c r="V16" s="23">
        <f>'Tổng hợp 2015'!V16</f>
        <v>1550000</v>
      </c>
      <c r="W16" s="131">
        <f>'Tổng hợp 2015'!W16</f>
        <v>42013</v>
      </c>
      <c r="X16" s="57"/>
      <c r="Y16" s="22">
        <f t="shared" si="3"/>
        <v>0</v>
      </c>
      <c r="Z16" s="62"/>
      <c r="AA16" t="s">
        <v>67</v>
      </c>
    </row>
    <row r="17" spans="1:27" ht="15.6">
      <c r="A17" s="27"/>
      <c r="B17" s="42">
        <v>42012</v>
      </c>
      <c r="C17" s="18" t="s">
        <v>92</v>
      </c>
      <c r="D17" s="57"/>
      <c r="E17" s="28"/>
      <c r="F17" s="21" t="s">
        <v>90</v>
      </c>
      <c r="G17" s="22" t="s">
        <v>94</v>
      </c>
      <c r="H17" s="43">
        <v>250000</v>
      </c>
      <c r="I17" s="57"/>
      <c r="J17" s="57"/>
      <c r="K17" s="57"/>
      <c r="L17" s="57"/>
      <c r="M17" s="57"/>
      <c r="N17" s="23"/>
      <c r="O17" s="23"/>
      <c r="P17" s="23"/>
      <c r="Q17" s="23"/>
      <c r="R17" s="23"/>
      <c r="S17" s="23"/>
      <c r="T17" s="23"/>
      <c r="U17" s="16">
        <f t="shared" si="4"/>
        <v>250000</v>
      </c>
      <c r="V17" s="23">
        <f>'Tổng hợp 2015'!V17</f>
        <v>250000</v>
      </c>
      <c r="W17" s="131">
        <f>'Tổng hợp 2015'!W17</f>
        <v>42012</v>
      </c>
      <c r="X17" s="57"/>
      <c r="Y17" s="22">
        <f t="shared" si="3"/>
        <v>0</v>
      </c>
      <c r="Z17" s="62"/>
      <c r="AA17" t="s">
        <v>67</v>
      </c>
    </row>
    <row r="18" spans="1:27" ht="15.6">
      <c r="A18" s="27"/>
      <c r="B18" s="42">
        <v>42012</v>
      </c>
      <c r="C18" s="18" t="s">
        <v>93</v>
      </c>
      <c r="D18" s="57"/>
      <c r="E18" s="28"/>
      <c r="F18" s="21" t="s">
        <v>89</v>
      </c>
      <c r="G18" s="22" t="s">
        <v>91</v>
      </c>
      <c r="H18" s="43">
        <v>250000</v>
      </c>
      <c r="I18" s="57"/>
      <c r="J18" s="57"/>
      <c r="K18" s="57"/>
      <c r="L18" s="57"/>
      <c r="M18" s="57"/>
      <c r="N18" s="23"/>
      <c r="O18" s="23"/>
      <c r="P18" s="23"/>
      <c r="Q18" s="23"/>
      <c r="R18" s="23"/>
      <c r="S18" s="23"/>
      <c r="T18" s="23"/>
      <c r="U18" s="16">
        <f t="shared" si="4"/>
        <v>250000</v>
      </c>
      <c r="V18" s="23">
        <f>'Tổng hợp 2015'!V18</f>
        <v>250000</v>
      </c>
      <c r="W18" s="131">
        <f>'Tổng hợp 2015'!W18</f>
        <v>42012</v>
      </c>
      <c r="X18" s="57"/>
      <c r="Y18" s="22">
        <f t="shared" si="3"/>
        <v>0</v>
      </c>
      <c r="Z18" s="62"/>
      <c r="AA18" t="s">
        <v>67</v>
      </c>
    </row>
    <row r="19" spans="1:27" ht="46.8">
      <c r="A19" s="23" t="s">
        <v>97</v>
      </c>
      <c r="B19" s="42">
        <v>42012</v>
      </c>
      <c r="C19" s="18" t="s">
        <v>98</v>
      </c>
      <c r="D19" s="20" t="s">
        <v>100</v>
      </c>
      <c r="E19" s="28" t="s">
        <v>51</v>
      </c>
      <c r="F19" s="21" t="s">
        <v>99</v>
      </c>
      <c r="G19" s="22" t="s">
        <v>91</v>
      </c>
      <c r="H19" s="43"/>
      <c r="I19" s="57"/>
      <c r="J19" s="57"/>
      <c r="K19" s="24">
        <v>7000000</v>
      </c>
      <c r="L19" s="57"/>
      <c r="M19" s="57"/>
      <c r="N19" s="23"/>
      <c r="O19" s="23"/>
      <c r="P19" s="23"/>
      <c r="Q19" s="23"/>
      <c r="R19" s="23"/>
      <c r="S19" s="23"/>
      <c r="T19" s="23"/>
      <c r="U19" s="16">
        <f t="shared" si="4"/>
        <v>7000000</v>
      </c>
      <c r="V19" s="23">
        <f>'Tổng hợp 2015'!V19</f>
        <v>7000000</v>
      </c>
      <c r="W19" s="131" t="str">
        <f>'Tổng hợp 2015'!W19</f>
        <v>13/01/2015, 08/04/2015</v>
      </c>
      <c r="X19" s="17" t="s">
        <v>429</v>
      </c>
      <c r="Y19" s="22">
        <f t="shared" si="3"/>
        <v>0</v>
      </c>
      <c r="Z19" s="62" t="s">
        <v>430</v>
      </c>
      <c r="AA19" s="29" t="s">
        <v>225</v>
      </c>
    </row>
    <row r="20" spans="1:27" s="87" customFormat="1" ht="46.8">
      <c r="A20" s="64" t="s">
        <v>106</v>
      </c>
      <c r="B20" s="91">
        <v>42013</v>
      </c>
      <c r="C20" s="92" t="s">
        <v>103</v>
      </c>
      <c r="D20" s="88" t="s">
        <v>104</v>
      </c>
      <c r="E20" s="88" t="s">
        <v>45</v>
      </c>
      <c r="F20" s="93" t="s">
        <v>105</v>
      </c>
      <c r="G20" s="64" t="s">
        <v>62</v>
      </c>
      <c r="H20" s="94">
        <v>747000</v>
      </c>
      <c r="I20" s="95"/>
      <c r="J20" s="94">
        <v>1200000</v>
      </c>
      <c r="K20" s="95"/>
      <c r="L20" s="95"/>
      <c r="M20" s="95"/>
      <c r="N20" s="64"/>
      <c r="O20" s="64"/>
      <c r="P20" s="64"/>
      <c r="Q20" s="64"/>
      <c r="R20" s="64"/>
      <c r="S20" s="64"/>
      <c r="T20" s="93">
        <v>120000</v>
      </c>
      <c r="U20" s="93"/>
      <c r="V20" s="64"/>
      <c r="W20" s="96"/>
      <c r="X20" s="95"/>
      <c r="Y20" s="64">
        <f t="shared" ref="Y20:Y49" si="5">U20-V20</f>
        <v>0</v>
      </c>
      <c r="Z20" s="88" t="s">
        <v>108</v>
      </c>
    </row>
    <row r="21" spans="1:27" s="63" customFormat="1" ht="31.2">
      <c r="A21" s="64"/>
      <c r="B21" s="97">
        <v>42014</v>
      </c>
      <c r="C21" s="98" t="s">
        <v>64</v>
      </c>
      <c r="D21" s="99"/>
      <c r="E21" s="67" t="s">
        <v>65</v>
      </c>
      <c r="F21" s="100" t="s">
        <v>66</v>
      </c>
      <c r="G21" s="69" t="s">
        <v>62</v>
      </c>
      <c r="H21" s="89"/>
      <c r="I21" s="71"/>
      <c r="J21" s="70"/>
      <c r="K21" s="90"/>
      <c r="L21" s="71"/>
      <c r="M21" s="71"/>
      <c r="N21" s="71"/>
      <c r="O21" s="71"/>
      <c r="P21" s="90">
        <v>1040000</v>
      </c>
      <c r="Q21" s="90"/>
      <c r="R21" s="71"/>
      <c r="S21" s="71"/>
      <c r="T21" s="90">
        <v>104000</v>
      </c>
      <c r="U21" s="72">
        <f>+SUM(H21:T21)</f>
        <v>1144000</v>
      </c>
      <c r="V21" s="70">
        <v>1144000</v>
      </c>
      <c r="W21" s="101">
        <v>42020</v>
      </c>
      <c r="X21" s="74" t="s">
        <v>68</v>
      </c>
      <c r="Y21" s="69">
        <f t="shared" si="5"/>
        <v>0</v>
      </c>
      <c r="Z21" s="102" t="s">
        <v>141</v>
      </c>
      <c r="AA21" s="75" t="s">
        <v>67</v>
      </c>
    </row>
    <row r="22" spans="1:27" ht="15.6">
      <c r="A22" s="27"/>
      <c r="B22" s="17"/>
      <c r="C22" s="18" t="s">
        <v>231</v>
      </c>
      <c r="D22" s="20"/>
      <c r="E22" s="28" t="s">
        <v>109</v>
      </c>
      <c r="F22" s="21" t="s">
        <v>127</v>
      </c>
      <c r="G22" s="22" t="s">
        <v>102</v>
      </c>
      <c r="H22" s="43">
        <v>250000</v>
      </c>
      <c r="I22" s="57"/>
      <c r="J22" s="57"/>
      <c r="K22" s="57"/>
      <c r="L22" s="57"/>
      <c r="M22" s="57"/>
      <c r="N22" s="23"/>
      <c r="O22" s="23"/>
      <c r="P22" s="23"/>
      <c r="Q22" s="23"/>
      <c r="R22" s="23"/>
      <c r="S22" s="23"/>
      <c r="T22" s="24"/>
      <c r="U22" s="16">
        <f t="shared" si="4"/>
        <v>250000</v>
      </c>
      <c r="V22" s="23">
        <f>'Tổng hợp 2015'!V22</f>
        <v>0</v>
      </c>
      <c r="W22" s="57"/>
      <c r="X22" s="57"/>
      <c r="Y22" s="22">
        <f t="shared" si="5"/>
        <v>250000</v>
      </c>
      <c r="Z22" s="57"/>
      <c r="AA22" t="s">
        <v>112</v>
      </c>
    </row>
    <row r="23" spans="1:27" ht="46.8">
      <c r="A23" s="64"/>
      <c r="B23" s="65">
        <v>42016</v>
      </c>
      <c r="C23" s="66" t="s">
        <v>114</v>
      </c>
      <c r="D23" s="67" t="s">
        <v>115</v>
      </c>
      <c r="E23" s="67" t="s">
        <v>45</v>
      </c>
      <c r="F23" s="68" t="s">
        <v>116</v>
      </c>
      <c r="G23" s="69" t="s">
        <v>62</v>
      </c>
      <c r="H23" s="89">
        <v>630000</v>
      </c>
      <c r="I23" s="89"/>
      <c r="J23" s="89">
        <v>576000</v>
      </c>
      <c r="K23" s="90">
        <v>400000</v>
      </c>
      <c r="L23" s="89"/>
      <c r="M23" s="89"/>
      <c r="N23" s="70"/>
      <c r="O23" s="70"/>
      <c r="P23" s="70"/>
      <c r="Q23" s="70"/>
      <c r="R23" s="70"/>
      <c r="S23" s="70"/>
      <c r="T23" s="90">
        <v>57600</v>
      </c>
      <c r="U23" s="72">
        <f t="shared" si="4"/>
        <v>1663600</v>
      </c>
      <c r="V23" s="70">
        <v>1663600</v>
      </c>
      <c r="W23" s="101">
        <v>42060</v>
      </c>
      <c r="X23" s="74" t="s">
        <v>241</v>
      </c>
      <c r="Y23" s="69">
        <f t="shared" si="5"/>
        <v>0</v>
      </c>
      <c r="Z23" s="71"/>
      <c r="AA23" t="s">
        <v>67</v>
      </c>
    </row>
    <row r="24" spans="1:27" ht="46.8">
      <c r="A24" s="23" t="s">
        <v>121</v>
      </c>
      <c r="B24" s="17">
        <v>42017</v>
      </c>
      <c r="C24" s="18" t="s">
        <v>122</v>
      </c>
      <c r="D24" s="20" t="s">
        <v>123</v>
      </c>
      <c r="E24" s="28" t="s">
        <v>45</v>
      </c>
      <c r="F24" s="21" t="s">
        <v>124</v>
      </c>
      <c r="G24" s="22" t="s">
        <v>125</v>
      </c>
      <c r="H24" s="23">
        <v>830000</v>
      </c>
      <c r="I24" s="57"/>
      <c r="J24" s="23">
        <v>0</v>
      </c>
      <c r="K24" s="24">
        <f>6000000-830000</f>
        <v>5170000</v>
      </c>
      <c r="L24" s="57"/>
      <c r="M24" s="57"/>
      <c r="N24" s="23"/>
      <c r="O24" s="23"/>
      <c r="P24" s="23"/>
      <c r="Q24" s="23"/>
      <c r="R24" s="23"/>
      <c r="S24" s="23"/>
      <c r="T24" s="24"/>
      <c r="U24" s="16">
        <f t="shared" si="4"/>
        <v>6000000</v>
      </c>
      <c r="V24" s="23">
        <f>'Tổng hợp 2015'!V24</f>
        <v>6000000</v>
      </c>
      <c r="W24" s="131" t="str">
        <f>'Tổng hợp 2015'!W24</f>
        <v>13/01/2015, 13/07/2015</v>
      </c>
      <c r="X24" s="57"/>
      <c r="Y24" s="22">
        <f t="shared" si="5"/>
        <v>0</v>
      </c>
      <c r="Z24" s="62" t="s">
        <v>126</v>
      </c>
      <c r="AA24" t="s">
        <v>112</v>
      </c>
    </row>
    <row r="25" spans="1:27" s="87" customFormat="1" ht="46.8">
      <c r="A25" s="27" t="s">
        <v>128</v>
      </c>
      <c r="B25" s="81">
        <v>42018</v>
      </c>
      <c r="C25" s="82" t="s">
        <v>118</v>
      </c>
      <c r="D25" s="83" t="s">
        <v>119</v>
      </c>
      <c r="E25" s="84" t="s">
        <v>45</v>
      </c>
      <c r="F25" s="30" t="s">
        <v>120</v>
      </c>
      <c r="G25" s="27" t="s">
        <v>117</v>
      </c>
      <c r="H25" s="27">
        <v>913000</v>
      </c>
      <c r="I25" s="127"/>
      <c r="J25" s="27">
        <f>4213000-913000</f>
        <v>3300000</v>
      </c>
      <c r="K25" s="30">
        <v>2200000</v>
      </c>
      <c r="L25" s="127"/>
      <c r="M25" s="127"/>
      <c r="N25" s="27"/>
      <c r="O25" s="27"/>
      <c r="P25" s="27"/>
      <c r="Q25" s="27"/>
      <c r="R25" s="27"/>
      <c r="S25" s="27"/>
      <c r="T25" s="30"/>
      <c r="U25" s="85"/>
      <c r="V25" s="23">
        <f>'Tổng hợp 2015'!V25</f>
        <v>0</v>
      </c>
      <c r="W25" s="81"/>
      <c r="X25" s="127"/>
      <c r="Y25" s="27">
        <f t="shared" si="5"/>
        <v>0</v>
      </c>
      <c r="Z25" s="83"/>
    </row>
    <row r="26" spans="1:27" ht="31.2">
      <c r="A26" s="27"/>
      <c r="B26" s="17">
        <v>42019</v>
      </c>
      <c r="C26" s="18" t="s">
        <v>129</v>
      </c>
      <c r="D26" s="20" t="s">
        <v>150</v>
      </c>
      <c r="E26" s="28" t="s">
        <v>130</v>
      </c>
      <c r="F26" s="21" t="s">
        <v>142</v>
      </c>
      <c r="G26" s="22" t="s">
        <v>102</v>
      </c>
      <c r="H26" s="23"/>
      <c r="I26" s="57"/>
      <c r="J26" s="23">
        <v>1920000</v>
      </c>
      <c r="K26" s="24"/>
      <c r="L26" s="57"/>
      <c r="M26" s="57"/>
      <c r="N26" s="23"/>
      <c r="O26" s="23"/>
      <c r="P26" s="23"/>
      <c r="Q26" s="23"/>
      <c r="R26" s="23"/>
      <c r="S26" s="23"/>
      <c r="T26" s="24"/>
      <c r="U26" s="16">
        <f t="shared" si="4"/>
        <v>1920000</v>
      </c>
      <c r="V26" s="23">
        <f>'Tổng hợp 2015'!V26</f>
        <v>1920000</v>
      </c>
      <c r="W26" s="131">
        <f>'Tổng hợp 2015'!W26</f>
        <v>42019</v>
      </c>
      <c r="X26" s="57"/>
      <c r="Y26" s="22">
        <f t="shared" si="5"/>
        <v>0</v>
      </c>
      <c r="Z26" s="62" t="s">
        <v>162</v>
      </c>
      <c r="AA26" t="s">
        <v>67</v>
      </c>
    </row>
    <row r="27" spans="1:27" ht="62.4">
      <c r="A27" s="27" t="s">
        <v>131</v>
      </c>
      <c r="B27" s="17">
        <v>42020</v>
      </c>
      <c r="C27" s="18" t="s">
        <v>132</v>
      </c>
      <c r="D27" s="20" t="s">
        <v>137</v>
      </c>
      <c r="E27" s="28" t="s">
        <v>138</v>
      </c>
      <c r="F27" s="21" t="s">
        <v>136</v>
      </c>
      <c r="G27" s="22" t="s">
        <v>28</v>
      </c>
      <c r="H27" s="23"/>
      <c r="I27" s="23">
        <v>1200000</v>
      </c>
      <c r="J27" s="23"/>
      <c r="K27" s="24">
        <v>2268000</v>
      </c>
      <c r="L27" s="57"/>
      <c r="M27" s="57"/>
      <c r="N27" s="23"/>
      <c r="O27" s="23"/>
      <c r="P27" s="23"/>
      <c r="Q27" s="23"/>
      <c r="R27" s="23"/>
      <c r="S27" s="23"/>
      <c r="T27" s="24"/>
      <c r="U27" s="16">
        <f t="shared" si="4"/>
        <v>3468000</v>
      </c>
      <c r="V27" s="23">
        <f>'Tổng hợp 2015'!V27</f>
        <v>3468000</v>
      </c>
      <c r="W27" s="131" t="str">
        <f>'Tổng hợp 2015'!W27</f>
        <v>17/01/2015, 17/03/2015</v>
      </c>
      <c r="X27" s="57"/>
      <c r="Y27" s="22">
        <f t="shared" si="5"/>
        <v>0</v>
      </c>
      <c r="Z27" s="62"/>
      <c r="AA27" t="s">
        <v>67</v>
      </c>
    </row>
    <row r="28" spans="1:27" ht="31.2">
      <c r="A28" s="27"/>
      <c r="B28" s="17">
        <v>42020</v>
      </c>
      <c r="C28" s="18" t="s">
        <v>133</v>
      </c>
      <c r="D28" s="20"/>
      <c r="E28" s="28" t="s">
        <v>134</v>
      </c>
      <c r="F28" s="21" t="s">
        <v>135</v>
      </c>
      <c r="G28" s="22" t="s">
        <v>28</v>
      </c>
      <c r="H28" s="23">
        <v>480000</v>
      </c>
      <c r="I28" s="57"/>
      <c r="J28" s="23">
        <v>660000</v>
      </c>
      <c r="K28" s="24"/>
      <c r="L28" s="57"/>
      <c r="M28" s="57"/>
      <c r="N28" s="23"/>
      <c r="O28" s="23"/>
      <c r="P28" s="23"/>
      <c r="Q28" s="23"/>
      <c r="R28" s="23"/>
      <c r="S28" s="23"/>
      <c r="T28" s="24">
        <v>66000</v>
      </c>
      <c r="U28" s="16">
        <f t="shared" si="4"/>
        <v>1206000</v>
      </c>
      <c r="V28" s="23">
        <f>'Tổng hợp 2015'!V28</f>
        <v>1206000</v>
      </c>
      <c r="W28" s="131">
        <f>'Tổng hợp 2015'!W28</f>
        <v>42021</v>
      </c>
      <c r="X28" s="17" t="s">
        <v>139</v>
      </c>
      <c r="Y28" s="22">
        <f t="shared" si="5"/>
        <v>0</v>
      </c>
      <c r="Z28" s="62"/>
      <c r="AA28" t="s">
        <v>111</v>
      </c>
    </row>
    <row r="29" spans="1:27" ht="46.8">
      <c r="A29" s="64" t="s">
        <v>143</v>
      </c>
      <c r="B29" s="65">
        <v>42023</v>
      </c>
      <c r="C29" s="66" t="s">
        <v>59</v>
      </c>
      <c r="D29" s="67" t="s">
        <v>60</v>
      </c>
      <c r="E29" s="67" t="s">
        <v>144</v>
      </c>
      <c r="F29" s="68" t="s">
        <v>61</v>
      </c>
      <c r="G29" s="69" t="s">
        <v>62</v>
      </c>
      <c r="H29" s="70"/>
      <c r="I29" s="71"/>
      <c r="J29" s="70"/>
      <c r="K29" s="90">
        <v>400000</v>
      </c>
      <c r="L29" s="71"/>
      <c r="M29" s="71"/>
      <c r="N29" s="70"/>
      <c r="O29" s="70"/>
      <c r="P29" s="70"/>
      <c r="Q29" s="70"/>
      <c r="R29" s="70"/>
      <c r="S29" s="70"/>
      <c r="T29" s="90"/>
      <c r="U29" s="72">
        <f t="shared" si="4"/>
        <v>400000</v>
      </c>
      <c r="V29" s="70">
        <v>400000</v>
      </c>
      <c r="W29" s="65">
        <v>42060</v>
      </c>
      <c r="X29" s="74" t="s">
        <v>244</v>
      </c>
      <c r="Y29" s="69">
        <f t="shared" si="5"/>
        <v>0</v>
      </c>
      <c r="Z29" s="77"/>
    </row>
    <row r="30" spans="1:27" ht="62.4">
      <c r="A30" s="23" t="s">
        <v>147</v>
      </c>
      <c r="B30" s="17">
        <v>42024</v>
      </c>
      <c r="C30" s="18" t="s">
        <v>148</v>
      </c>
      <c r="D30" s="20" t="s">
        <v>169</v>
      </c>
      <c r="E30" s="28" t="s">
        <v>144</v>
      </c>
      <c r="F30" s="21" t="s">
        <v>149</v>
      </c>
      <c r="G30" s="22" t="s">
        <v>91</v>
      </c>
      <c r="H30" s="23"/>
      <c r="I30" s="57"/>
      <c r="J30" s="23"/>
      <c r="K30" s="24">
        <v>1500000</v>
      </c>
      <c r="L30" s="57"/>
      <c r="M30" s="57"/>
      <c r="N30" s="23"/>
      <c r="O30" s="23"/>
      <c r="P30" s="23"/>
      <c r="Q30" s="23"/>
      <c r="R30" s="23"/>
      <c r="S30" s="23"/>
      <c r="T30" s="24"/>
      <c r="U30" s="16">
        <f t="shared" si="4"/>
        <v>1500000</v>
      </c>
      <c r="V30" s="23">
        <f>'Tổng hợp 2015'!V30</f>
        <v>1500000</v>
      </c>
      <c r="W30" s="131">
        <f>'Tổng hợp 2015'!W30</f>
        <v>42025</v>
      </c>
      <c r="X30" s="57"/>
      <c r="Y30" s="22">
        <f t="shared" si="5"/>
        <v>0</v>
      </c>
      <c r="Z30" s="62" t="s">
        <v>161</v>
      </c>
      <c r="AA30" t="s">
        <v>67</v>
      </c>
    </row>
    <row r="31" spans="1:27" ht="46.8">
      <c r="A31" s="23" t="s">
        <v>151</v>
      </c>
      <c r="B31" s="17">
        <v>42025</v>
      </c>
      <c r="C31" s="18" t="s">
        <v>152</v>
      </c>
      <c r="D31" s="20" t="s">
        <v>153</v>
      </c>
      <c r="E31" s="28" t="s">
        <v>45</v>
      </c>
      <c r="F31" s="21" t="s">
        <v>154</v>
      </c>
      <c r="G31" s="22" t="s">
        <v>28</v>
      </c>
      <c r="H31" s="23">
        <v>700000</v>
      </c>
      <c r="I31" s="57"/>
      <c r="J31" s="23">
        <v>1920000</v>
      </c>
      <c r="K31" s="24"/>
      <c r="L31" s="57"/>
      <c r="M31" s="57"/>
      <c r="N31" s="23"/>
      <c r="O31" s="23"/>
      <c r="P31" s="23"/>
      <c r="Q31" s="23"/>
      <c r="R31" s="23"/>
      <c r="S31" s="23"/>
      <c r="T31" s="24"/>
      <c r="U31" s="16">
        <f t="shared" si="4"/>
        <v>2620000</v>
      </c>
      <c r="V31" s="23">
        <f>'Tổng hợp 2015'!V31</f>
        <v>2620000</v>
      </c>
      <c r="W31" s="131">
        <f>'Tổng hợp 2015'!W31</f>
        <v>42031</v>
      </c>
      <c r="X31" s="57"/>
      <c r="Y31" s="22">
        <f t="shared" si="5"/>
        <v>0</v>
      </c>
      <c r="Z31" s="62"/>
      <c r="AA31" t="s">
        <v>112</v>
      </c>
    </row>
    <row r="32" spans="1:27" ht="31.2">
      <c r="A32" s="27"/>
      <c r="B32" s="17">
        <v>42025</v>
      </c>
      <c r="C32" s="18" t="s">
        <v>163</v>
      </c>
      <c r="D32" s="20" t="s">
        <v>164</v>
      </c>
      <c r="E32" s="28" t="s">
        <v>101</v>
      </c>
      <c r="F32" s="21" t="s">
        <v>155</v>
      </c>
      <c r="G32" s="22" t="s">
        <v>125</v>
      </c>
      <c r="H32" s="23">
        <v>250000</v>
      </c>
      <c r="I32" s="57"/>
      <c r="J32" s="23"/>
      <c r="K32" s="24"/>
      <c r="L32" s="57"/>
      <c r="M32" s="57"/>
      <c r="N32" s="23"/>
      <c r="O32" s="23"/>
      <c r="P32" s="23"/>
      <c r="Q32" s="23"/>
      <c r="R32" s="23"/>
      <c r="S32" s="23"/>
      <c r="T32" s="24"/>
      <c r="U32" s="16">
        <f t="shared" si="4"/>
        <v>250000</v>
      </c>
      <c r="V32" s="23">
        <f>'Tổng hợp 2015'!V32</f>
        <v>250000</v>
      </c>
      <c r="W32" s="131">
        <f>'Tổng hợp 2015'!W32</f>
        <v>42025</v>
      </c>
      <c r="X32" s="57"/>
      <c r="Y32" s="22">
        <f t="shared" si="5"/>
        <v>0</v>
      </c>
      <c r="Z32" s="62"/>
      <c r="AA32" t="s">
        <v>228</v>
      </c>
    </row>
    <row r="33" spans="1:27" ht="46.8">
      <c r="A33" s="23" t="s">
        <v>156</v>
      </c>
      <c r="B33" s="17">
        <v>42025</v>
      </c>
      <c r="C33" s="18" t="s">
        <v>122</v>
      </c>
      <c r="D33" s="20" t="s">
        <v>123</v>
      </c>
      <c r="E33" s="28" t="s">
        <v>45</v>
      </c>
      <c r="F33" s="21" t="s">
        <v>158</v>
      </c>
      <c r="G33" s="22" t="s">
        <v>125</v>
      </c>
      <c r="H33" s="23"/>
      <c r="I33" s="57"/>
      <c r="J33" s="23">
        <v>0</v>
      </c>
      <c r="K33" s="24">
        <v>3000000</v>
      </c>
      <c r="L33" s="57"/>
      <c r="M33" s="57"/>
      <c r="N33" s="23"/>
      <c r="O33" s="23"/>
      <c r="P33" s="23"/>
      <c r="Q33" s="23"/>
      <c r="R33" s="23"/>
      <c r="S33" s="23"/>
      <c r="T33" s="24"/>
      <c r="U33" s="16">
        <f t="shared" si="4"/>
        <v>3000000</v>
      </c>
      <c r="V33" s="23">
        <f>'Tổng hợp 2015'!V33</f>
        <v>3000000</v>
      </c>
      <c r="W33" s="131" t="str">
        <f>'Tổng hợp 2015'!W33</f>
        <v>22/01/2015, 13/07/2015</v>
      </c>
      <c r="X33" s="57"/>
      <c r="Y33" s="22">
        <f t="shared" si="5"/>
        <v>0</v>
      </c>
      <c r="Z33" s="62"/>
      <c r="AA33" t="s">
        <v>229</v>
      </c>
    </row>
    <row r="34" spans="1:27" ht="46.8">
      <c r="A34" s="23" t="s">
        <v>157</v>
      </c>
      <c r="B34" s="17">
        <v>42025</v>
      </c>
      <c r="C34" s="18" t="s">
        <v>122</v>
      </c>
      <c r="D34" s="20" t="s">
        <v>123</v>
      </c>
      <c r="E34" s="28" t="s">
        <v>45</v>
      </c>
      <c r="F34" s="21" t="s">
        <v>159</v>
      </c>
      <c r="G34" s="22" t="s">
        <v>102</v>
      </c>
      <c r="H34" s="23"/>
      <c r="I34" s="57"/>
      <c r="J34" s="23">
        <v>0</v>
      </c>
      <c r="K34" s="24">
        <v>3000000</v>
      </c>
      <c r="L34" s="57"/>
      <c r="M34" s="57"/>
      <c r="N34" s="23"/>
      <c r="O34" s="23"/>
      <c r="P34" s="23"/>
      <c r="Q34" s="23"/>
      <c r="R34" s="23"/>
      <c r="S34" s="23"/>
      <c r="T34" s="24"/>
      <c r="U34" s="16">
        <f t="shared" si="4"/>
        <v>3000000</v>
      </c>
      <c r="V34" s="23">
        <f>'Tổng hợp 2015'!V34</f>
        <v>3000000</v>
      </c>
      <c r="W34" s="131" t="str">
        <f>'Tổng hợp 2015'!W34</f>
        <v>22/01/2015, 13/07/2015</v>
      </c>
      <c r="X34" s="57"/>
      <c r="Y34" s="22">
        <f t="shared" si="5"/>
        <v>0</v>
      </c>
      <c r="Z34" s="62"/>
      <c r="AA34" t="s">
        <v>229</v>
      </c>
    </row>
    <row r="35" spans="1:27" ht="46.8">
      <c r="A35" s="23" t="s">
        <v>160</v>
      </c>
      <c r="B35" s="17">
        <v>42024</v>
      </c>
      <c r="C35" s="18" t="s">
        <v>43</v>
      </c>
      <c r="D35" s="20" t="s">
        <v>44</v>
      </c>
      <c r="E35" s="28" t="s">
        <v>130</v>
      </c>
      <c r="F35" s="21"/>
      <c r="G35" s="22" t="s">
        <v>47</v>
      </c>
      <c r="H35" s="23"/>
      <c r="I35" s="57"/>
      <c r="J35" s="23">
        <v>1920000</v>
      </c>
      <c r="K35" s="24"/>
      <c r="L35" s="57"/>
      <c r="M35" s="57"/>
      <c r="N35" s="23"/>
      <c r="O35" s="23"/>
      <c r="P35" s="23"/>
      <c r="Q35" s="23"/>
      <c r="R35" s="23"/>
      <c r="S35" s="23"/>
      <c r="T35" s="24">
        <v>192000</v>
      </c>
      <c r="U35" s="16">
        <f t="shared" si="4"/>
        <v>2112000</v>
      </c>
      <c r="V35" s="23">
        <f>'Tổng hợp 2015'!V35</f>
        <v>2112000</v>
      </c>
      <c r="W35" s="131">
        <f>'Tổng hợp 2015'!W35</f>
        <v>42033</v>
      </c>
      <c r="X35" s="17" t="s">
        <v>281</v>
      </c>
      <c r="Y35" s="22">
        <f t="shared" si="5"/>
        <v>0</v>
      </c>
      <c r="Z35" s="62" t="s">
        <v>196</v>
      </c>
      <c r="AA35" t="s">
        <v>67</v>
      </c>
    </row>
    <row r="36" spans="1:27" ht="46.8">
      <c r="A36" s="23" t="s">
        <v>166</v>
      </c>
      <c r="B36" s="17">
        <v>42026</v>
      </c>
      <c r="C36" s="18" t="s">
        <v>168</v>
      </c>
      <c r="D36" s="20" t="s">
        <v>167</v>
      </c>
      <c r="E36" s="28" t="s">
        <v>45</v>
      </c>
      <c r="F36" s="21" t="s">
        <v>165</v>
      </c>
      <c r="G36" s="22" t="s">
        <v>140</v>
      </c>
      <c r="H36" s="23">
        <v>0</v>
      </c>
      <c r="I36" s="57"/>
      <c r="J36" s="23">
        <v>0</v>
      </c>
      <c r="K36" s="24">
        <v>5690000</v>
      </c>
      <c r="L36" s="57"/>
      <c r="M36" s="57"/>
      <c r="N36" s="23"/>
      <c r="O36" s="23"/>
      <c r="P36" s="23"/>
      <c r="Q36" s="23"/>
      <c r="R36" s="23"/>
      <c r="S36" s="23"/>
      <c r="T36" s="24"/>
      <c r="U36" s="16">
        <f t="shared" si="4"/>
        <v>5690000</v>
      </c>
      <c r="V36" s="23">
        <f>'Tổng hợp 2015'!V36</f>
        <v>5690000</v>
      </c>
      <c r="W36" s="131" t="str">
        <f>'Tổng hợp 2015'!W36</f>
        <v>23/01/2015, 03/07/2015</v>
      </c>
      <c r="X36" s="57"/>
      <c r="Y36" s="22">
        <f t="shared" si="5"/>
        <v>0</v>
      </c>
      <c r="Z36" s="62" t="s">
        <v>830</v>
      </c>
      <c r="AA36" t="s">
        <v>230</v>
      </c>
    </row>
    <row r="37" spans="1:27" ht="46.8">
      <c r="A37" s="23" t="s">
        <v>170</v>
      </c>
      <c r="B37" s="17">
        <v>42030</v>
      </c>
      <c r="C37" s="18" t="s">
        <v>171</v>
      </c>
      <c r="D37" s="20" t="s">
        <v>172</v>
      </c>
      <c r="E37" s="28" t="s">
        <v>45</v>
      </c>
      <c r="F37" s="21" t="s">
        <v>173</v>
      </c>
      <c r="G37" s="22" t="s">
        <v>140</v>
      </c>
      <c r="H37" s="23">
        <v>0</v>
      </c>
      <c r="I37" s="57"/>
      <c r="J37" s="23">
        <v>0</v>
      </c>
      <c r="K37" s="24">
        <v>3500000</v>
      </c>
      <c r="L37" s="57"/>
      <c r="M37" s="57"/>
      <c r="N37" s="23"/>
      <c r="O37" s="23"/>
      <c r="P37" s="23"/>
      <c r="Q37" s="23"/>
      <c r="R37" s="23"/>
      <c r="S37" s="23"/>
      <c r="T37" s="24"/>
      <c r="U37" s="16">
        <f t="shared" si="4"/>
        <v>3500000</v>
      </c>
      <c r="V37" s="23">
        <f>'Tổng hợp 2015'!V37</f>
        <v>3500000</v>
      </c>
      <c r="W37" s="131" t="str">
        <f>'Tổng hợp 2015'!W37</f>
        <v>27/01/2015, 21/05/2015</v>
      </c>
      <c r="X37" s="17"/>
      <c r="Y37" s="22">
        <f t="shared" si="5"/>
        <v>0</v>
      </c>
      <c r="Z37" s="62" t="s">
        <v>126</v>
      </c>
      <c r="AA37" t="s">
        <v>230</v>
      </c>
    </row>
    <row r="38" spans="1:27" ht="62.4">
      <c r="A38" s="27" t="s">
        <v>174</v>
      </c>
      <c r="B38" s="17">
        <v>42031</v>
      </c>
      <c r="C38" s="18" t="s">
        <v>43</v>
      </c>
      <c r="D38" s="20" t="s">
        <v>44</v>
      </c>
      <c r="E38" s="28" t="s">
        <v>176</v>
      </c>
      <c r="F38" s="21" t="s">
        <v>175</v>
      </c>
      <c r="G38" s="22" t="s">
        <v>47</v>
      </c>
      <c r="H38" s="23"/>
      <c r="I38" s="57"/>
      <c r="J38" s="23"/>
      <c r="K38" s="24">
        <v>1000000</v>
      </c>
      <c r="L38" s="57"/>
      <c r="M38" s="57"/>
      <c r="N38" s="23"/>
      <c r="O38" s="23"/>
      <c r="P38" s="23"/>
      <c r="Q38" s="23"/>
      <c r="R38" s="23"/>
      <c r="S38" s="23"/>
      <c r="T38" s="24"/>
      <c r="U38" s="16">
        <f t="shared" si="4"/>
        <v>1000000</v>
      </c>
      <c r="V38" s="23">
        <f>'Tổng hợp 2015'!V38</f>
        <v>1000000</v>
      </c>
      <c r="W38" s="131">
        <f>'Tổng hợp 2015'!W38</f>
        <v>42093</v>
      </c>
      <c r="X38" s="17"/>
      <c r="Y38" s="22">
        <f t="shared" si="5"/>
        <v>0</v>
      </c>
      <c r="Z38" s="62"/>
    </row>
    <row r="39" spans="1:27" ht="31.2">
      <c r="A39" s="23" t="s">
        <v>177</v>
      </c>
      <c r="B39" s="17">
        <v>42032</v>
      </c>
      <c r="C39" s="18" t="s">
        <v>179</v>
      </c>
      <c r="D39" s="20" t="s">
        <v>191</v>
      </c>
      <c r="E39" s="28" t="s">
        <v>180</v>
      </c>
      <c r="F39" s="21" t="s">
        <v>192</v>
      </c>
      <c r="G39" s="22" t="s">
        <v>91</v>
      </c>
      <c r="H39" s="23"/>
      <c r="I39" s="57"/>
      <c r="J39" s="23"/>
      <c r="K39" s="24"/>
      <c r="L39" s="57"/>
      <c r="M39" s="57"/>
      <c r="N39" s="23"/>
      <c r="O39" s="23"/>
      <c r="P39" s="23">
        <v>5454545</v>
      </c>
      <c r="Q39" s="23"/>
      <c r="R39" s="23"/>
      <c r="S39" s="23"/>
      <c r="T39" s="24">
        <v>545455</v>
      </c>
      <c r="U39" s="16">
        <f t="shared" si="4"/>
        <v>6000000</v>
      </c>
      <c r="V39" s="23">
        <f>'Tổng hợp 2015'!V39</f>
        <v>6000000</v>
      </c>
      <c r="W39" s="131">
        <f>'Tổng hợp 2015'!W39</f>
        <v>42033</v>
      </c>
      <c r="X39" s="17" t="s">
        <v>181</v>
      </c>
      <c r="Y39" s="22">
        <f t="shared" si="5"/>
        <v>0</v>
      </c>
      <c r="Z39" s="62" t="s">
        <v>193</v>
      </c>
      <c r="AA39" t="s">
        <v>226</v>
      </c>
    </row>
    <row r="40" spans="1:27" ht="31.2">
      <c r="A40" s="23" t="s">
        <v>178</v>
      </c>
      <c r="B40" s="17">
        <v>42032</v>
      </c>
      <c r="C40" s="18" t="s">
        <v>179</v>
      </c>
      <c r="D40" s="20" t="s">
        <v>191</v>
      </c>
      <c r="E40" s="28" t="s">
        <v>51</v>
      </c>
      <c r="F40" s="21" t="s">
        <v>192</v>
      </c>
      <c r="G40" s="22" t="s">
        <v>91</v>
      </c>
      <c r="H40" s="23"/>
      <c r="I40" s="57"/>
      <c r="J40" s="23"/>
      <c r="K40" s="24">
        <v>11000000</v>
      </c>
      <c r="L40" s="57"/>
      <c r="M40" s="57"/>
      <c r="N40" s="57"/>
      <c r="O40" s="57"/>
      <c r="P40" s="57"/>
      <c r="Q40" s="57"/>
      <c r="R40" s="76"/>
      <c r="S40" s="57"/>
      <c r="T40" s="24"/>
      <c r="U40" s="16">
        <f t="shared" si="4"/>
        <v>11000000</v>
      </c>
      <c r="V40" s="23">
        <f>'Tổng hợp 2015'!V40</f>
        <v>11000000</v>
      </c>
      <c r="W40" s="131" t="str">
        <f>'Tổng hợp 2015'!W40</f>
        <v>29/01/2015, 13/05/2015</v>
      </c>
      <c r="X40" s="17" t="s">
        <v>561</v>
      </c>
      <c r="Y40" s="22">
        <f t="shared" si="5"/>
        <v>0</v>
      </c>
      <c r="Z40" s="62" t="s">
        <v>126</v>
      </c>
      <c r="AA40" t="s">
        <v>112</v>
      </c>
    </row>
    <row r="41" spans="1:27" ht="46.8">
      <c r="A41" s="23" t="s">
        <v>182</v>
      </c>
      <c r="B41" s="17">
        <v>42032</v>
      </c>
      <c r="C41" s="18" t="s">
        <v>183</v>
      </c>
      <c r="D41" s="20" t="s">
        <v>184</v>
      </c>
      <c r="E41" s="28" t="s">
        <v>45</v>
      </c>
      <c r="F41" s="21" t="s">
        <v>185</v>
      </c>
      <c r="G41" s="22" t="s">
        <v>28</v>
      </c>
      <c r="H41" s="23">
        <v>250000</v>
      </c>
      <c r="I41" s="57"/>
      <c r="J41" s="23">
        <v>1440000</v>
      </c>
      <c r="K41" s="24"/>
      <c r="L41" s="57"/>
      <c r="M41" s="57"/>
      <c r="N41" s="57"/>
      <c r="O41" s="57"/>
      <c r="P41" s="57"/>
      <c r="Q41" s="57"/>
      <c r="R41" s="76"/>
      <c r="S41" s="57"/>
      <c r="T41" s="24">
        <v>169000</v>
      </c>
      <c r="U41" s="16">
        <f t="shared" si="4"/>
        <v>1859000</v>
      </c>
      <c r="V41" s="23">
        <f>'Tổng hợp 2015'!V41</f>
        <v>1859000</v>
      </c>
      <c r="W41" s="131">
        <f>'Tổng hợp 2015'!W41</f>
        <v>42035</v>
      </c>
      <c r="X41" s="17" t="s">
        <v>186</v>
      </c>
      <c r="Y41" s="22">
        <f t="shared" si="5"/>
        <v>0</v>
      </c>
      <c r="Z41" s="62"/>
      <c r="AA41" t="s">
        <v>112</v>
      </c>
    </row>
    <row r="42" spans="1:27" ht="46.8">
      <c r="A42" s="23" t="s">
        <v>197</v>
      </c>
      <c r="B42" s="17">
        <v>42032</v>
      </c>
      <c r="C42" s="18" t="s">
        <v>198</v>
      </c>
      <c r="D42" s="20">
        <v>908416438</v>
      </c>
      <c r="E42" s="28" t="s">
        <v>45</v>
      </c>
      <c r="F42" s="21" t="s">
        <v>199</v>
      </c>
      <c r="G42" s="22" t="s">
        <v>91</v>
      </c>
      <c r="H42" s="23">
        <v>0</v>
      </c>
      <c r="I42" s="57"/>
      <c r="J42" s="23">
        <v>0</v>
      </c>
      <c r="K42" s="24">
        <v>12000000</v>
      </c>
      <c r="L42" s="57"/>
      <c r="M42" s="57"/>
      <c r="N42" s="57"/>
      <c r="O42" s="57"/>
      <c r="P42" s="57"/>
      <c r="Q42" s="57"/>
      <c r="R42" s="76"/>
      <c r="S42" s="57"/>
      <c r="T42" s="24"/>
      <c r="U42" s="16">
        <f t="shared" si="4"/>
        <v>12000000</v>
      </c>
      <c r="V42" s="23">
        <f>'Tổng hợp 2015'!V42</f>
        <v>12000000</v>
      </c>
      <c r="W42" s="131" t="str">
        <f>'Tổng hợp 2015'!W42</f>
        <v>30/01/2015, 07/08/2015</v>
      </c>
      <c r="X42" s="17"/>
      <c r="Y42" s="22">
        <f t="shared" si="5"/>
        <v>0</v>
      </c>
      <c r="Z42" s="62" t="s">
        <v>200</v>
      </c>
      <c r="AA42" t="s">
        <v>112</v>
      </c>
    </row>
    <row r="43" spans="1:27" ht="46.8">
      <c r="A43" s="104" t="s">
        <v>189</v>
      </c>
      <c r="B43" s="105">
        <v>42032</v>
      </c>
      <c r="C43" s="106" t="s">
        <v>190</v>
      </c>
      <c r="D43" s="107" t="s">
        <v>188</v>
      </c>
      <c r="E43" s="107" t="s">
        <v>45</v>
      </c>
      <c r="F43" s="108" t="s">
        <v>187</v>
      </c>
      <c r="G43" s="109" t="s">
        <v>62</v>
      </c>
      <c r="H43" s="110">
        <v>747000</v>
      </c>
      <c r="I43" s="111"/>
      <c r="J43" s="110">
        <v>576000</v>
      </c>
      <c r="K43" s="112"/>
      <c r="L43" s="111"/>
      <c r="M43" s="111"/>
      <c r="N43" s="111"/>
      <c r="O43" s="111"/>
      <c r="P43" s="111"/>
      <c r="Q43" s="111"/>
      <c r="R43" s="113"/>
      <c r="S43" s="111"/>
      <c r="T43" s="112">
        <v>57600</v>
      </c>
      <c r="U43" s="114">
        <f t="shared" si="4"/>
        <v>1380600</v>
      </c>
      <c r="V43" s="110">
        <v>1380600</v>
      </c>
      <c r="W43" s="131">
        <f>'Tổng hợp 2015'!W43</f>
        <v>42060</v>
      </c>
      <c r="X43" s="74" t="s">
        <v>242</v>
      </c>
      <c r="Y43" s="69">
        <f t="shared" si="5"/>
        <v>0</v>
      </c>
      <c r="Z43" s="111"/>
    </row>
    <row r="44" spans="1:27" ht="31.2">
      <c r="A44" s="23" t="s">
        <v>206</v>
      </c>
      <c r="B44" s="17">
        <v>42033</v>
      </c>
      <c r="C44" s="18" t="s">
        <v>207</v>
      </c>
      <c r="D44" s="20" t="s">
        <v>208</v>
      </c>
      <c r="E44" s="28" t="s">
        <v>195</v>
      </c>
      <c r="F44" s="57"/>
      <c r="G44" s="22" t="s">
        <v>28</v>
      </c>
      <c r="H44" s="23"/>
      <c r="I44" s="57"/>
      <c r="J44" s="23">
        <v>1440000</v>
      </c>
      <c r="K44" s="24"/>
      <c r="L44" s="57"/>
      <c r="M44" s="57"/>
      <c r="N44" s="57"/>
      <c r="O44" s="57"/>
      <c r="P44" s="57"/>
      <c r="Q44" s="57"/>
      <c r="R44" s="76"/>
      <c r="S44" s="57"/>
      <c r="T44" s="24"/>
      <c r="U44" s="16">
        <f t="shared" si="4"/>
        <v>1440000</v>
      </c>
      <c r="V44" s="23">
        <f>'Tổng hợp 2015'!V44</f>
        <v>1440000</v>
      </c>
      <c r="W44" s="131">
        <f>'Tổng hợp 2015'!W44</f>
        <v>42035</v>
      </c>
      <c r="X44" s="17"/>
      <c r="Y44" s="22">
        <f t="shared" si="5"/>
        <v>0</v>
      </c>
      <c r="Z44" s="57"/>
      <c r="AA44" t="s">
        <v>226</v>
      </c>
    </row>
    <row r="45" spans="1:27" ht="46.8">
      <c r="A45" s="23" t="s">
        <v>204</v>
      </c>
      <c r="B45" s="17">
        <v>42034</v>
      </c>
      <c r="C45" s="18" t="s">
        <v>203</v>
      </c>
      <c r="D45" s="20" t="s">
        <v>205</v>
      </c>
      <c r="E45" s="28" t="s">
        <v>45</v>
      </c>
      <c r="F45" s="21" t="s">
        <v>209</v>
      </c>
      <c r="G45" s="22" t="s">
        <v>125</v>
      </c>
      <c r="H45" s="23">
        <v>0</v>
      </c>
      <c r="I45" s="57"/>
      <c r="J45" s="23">
        <v>0</v>
      </c>
      <c r="K45" s="24">
        <v>6000000</v>
      </c>
      <c r="L45" s="57"/>
      <c r="M45" s="57"/>
      <c r="N45" s="57"/>
      <c r="O45" s="57"/>
      <c r="P45" s="57"/>
      <c r="Q45" s="57"/>
      <c r="R45" s="76"/>
      <c r="S45" s="57"/>
      <c r="T45" s="24"/>
      <c r="U45" s="16">
        <f t="shared" si="4"/>
        <v>6000000</v>
      </c>
      <c r="V45" s="23">
        <f>'Tổng hợp 2015'!V45</f>
        <v>3000000</v>
      </c>
      <c r="W45" s="131">
        <f>'Tổng hợp 2015'!W45</f>
        <v>42034</v>
      </c>
      <c r="X45" s="17"/>
      <c r="Y45" s="22">
        <f t="shared" si="5"/>
        <v>3000000</v>
      </c>
      <c r="Z45" s="62" t="s">
        <v>126</v>
      </c>
      <c r="AA45" t="s">
        <v>797</v>
      </c>
    </row>
    <row r="46" spans="1:27" ht="46.8">
      <c r="A46" s="64"/>
      <c r="B46" s="65">
        <v>42034</v>
      </c>
      <c r="C46" s="66" t="s">
        <v>213</v>
      </c>
      <c r="D46" s="67"/>
      <c r="E46" s="67" t="s">
        <v>214</v>
      </c>
      <c r="F46" s="71"/>
      <c r="G46" s="69" t="s">
        <v>62</v>
      </c>
      <c r="H46" s="70"/>
      <c r="I46" s="71"/>
      <c r="J46" s="70"/>
      <c r="K46" s="90"/>
      <c r="L46" s="71"/>
      <c r="M46" s="71"/>
      <c r="N46" s="71"/>
      <c r="O46" s="71"/>
      <c r="P46" s="90">
        <v>1120000</v>
      </c>
      <c r="Q46" s="71"/>
      <c r="R46" s="118"/>
      <c r="S46" s="71"/>
      <c r="T46" s="90">
        <v>112000</v>
      </c>
      <c r="U46" s="72">
        <f t="shared" si="4"/>
        <v>1232000</v>
      </c>
      <c r="V46" s="70">
        <v>1232000</v>
      </c>
      <c r="W46" s="131">
        <f>'Tổng hợp 2015'!W46</f>
        <v>42060</v>
      </c>
      <c r="X46" s="74" t="s">
        <v>245</v>
      </c>
      <c r="Y46" s="69">
        <f t="shared" si="5"/>
        <v>0</v>
      </c>
      <c r="Z46" s="71"/>
    </row>
    <row r="47" spans="1:27" ht="46.8">
      <c r="A47" s="23" t="s">
        <v>215</v>
      </c>
      <c r="B47" s="17">
        <v>42035</v>
      </c>
      <c r="C47" s="18" t="s">
        <v>216</v>
      </c>
      <c r="D47" s="20" t="s">
        <v>217</v>
      </c>
      <c r="E47" s="28" t="s">
        <v>45</v>
      </c>
      <c r="F47" s="21" t="s">
        <v>218</v>
      </c>
      <c r="G47" s="22" t="s">
        <v>102</v>
      </c>
      <c r="H47" s="23">
        <v>250000</v>
      </c>
      <c r="I47" s="57"/>
      <c r="J47" s="23">
        <v>1440000</v>
      </c>
      <c r="K47" s="24"/>
      <c r="L47" s="57"/>
      <c r="M47" s="57"/>
      <c r="N47" s="57"/>
      <c r="O47" s="57"/>
      <c r="P47" s="57"/>
      <c r="Q47" s="57"/>
      <c r="R47" s="76"/>
      <c r="S47" s="57"/>
      <c r="T47" s="24"/>
      <c r="U47" s="16">
        <f t="shared" si="4"/>
        <v>1690000</v>
      </c>
      <c r="V47" s="23">
        <f>'Tổng hợp 2015'!V47</f>
        <v>1690000</v>
      </c>
      <c r="W47" s="131">
        <f>'Tổng hợp 2015'!W47</f>
        <v>42035</v>
      </c>
      <c r="X47" s="17"/>
      <c r="Y47" s="22">
        <f t="shared" si="5"/>
        <v>0</v>
      </c>
      <c r="Z47" s="57"/>
      <c r="AA47" t="s">
        <v>112</v>
      </c>
    </row>
    <row r="48" spans="1:27" ht="15.6">
      <c r="A48" s="27"/>
      <c r="B48" s="17">
        <v>42035</v>
      </c>
      <c r="C48" s="31" t="s">
        <v>219</v>
      </c>
      <c r="D48" s="20"/>
      <c r="E48" s="28" t="s">
        <v>220</v>
      </c>
      <c r="F48" s="57"/>
      <c r="G48" s="22" t="s">
        <v>140</v>
      </c>
      <c r="H48" s="23"/>
      <c r="I48" s="57"/>
      <c r="J48" s="23">
        <v>300000</v>
      </c>
      <c r="K48" s="24"/>
      <c r="L48" s="57"/>
      <c r="M48" s="57"/>
      <c r="N48" s="57"/>
      <c r="O48" s="57"/>
      <c r="P48" s="57"/>
      <c r="Q48" s="57"/>
      <c r="R48" s="76"/>
      <c r="S48" s="57"/>
      <c r="T48" s="24"/>
      <c r="U48" s="16">
        <f t="shared" si="4"/>
        <v>300000</v>
      </c>
      <c r="V48" s="23">
        <f>'Tổng hợp 2015'!V48</f>
        <v>0</v>
      </c>
      <c r="W48" s="131"/>
      <c r="X48" s="17"/>
      <c r="Y48" s="22">
        <f t="shared" si="5"/>
        <v>300000</v>
      </c>
      <c r="Z48" s="57"/>
    </row>
    <row r="49" spans="1:26" ht="31.2">
      <c r="A49" s="64" t="s">
        <v>221</v>
      </c>
      <c r="B49" s="65">
        <v>42035</v>
      </c>
      <c r="C49" s="66" t="s">
        <v>223</v>
      </c>
      <c r="D49" s="67"/>
      <c r="E49" s="67" t="s">
        <v>224</v>
      </c>
      <c r="F49" s="68" t="s">
        <v>222</v>
      </c>
      <c r="G49" s="69" t="s">
        <v>62</v>
      </c>
      <c r="H49" s="70"/>
      <c r="I49" s="71"/>
      <c r="J49" s="70">
        <v>768000</v>
      </c>
      <c r="K49" s="90"/>
      <c r="L49" s="71"/>
      <c r="M49" s="71"/>
      <c r="N49" s="71"/>
      <c r="O49" s="71"/>
      <c r="P49" s="71"/>
      <c r="Q49" s="71"/>
      <c r="R49" s="118"/>
      <c r="S49" s="71"/>
      <c r="T49" s="90">
        <v>76800</v>
      </c>
      <c r="U49" s="72">
        <f t="shared" si="4"/>
        <v>844800</v>
      </c>
      <c r="V49" s="70">
        <v>844800</v>
      </c>
      <c r="W49" s="131">
        <f>'Tổng hợp 2015'!W49</f>
        <v>42060</v>
      </c>
      <c r="X49" s="74" t="s">
        <v>243</v>
      </c>
      <c r="Y49" s="69">
        <f t="shared" si="5"/>
        <v>0</v>
      </c>
      <c r="Z49" s="71"/>
    </row>
    <row r="50" spans="1:26" ht="15.6">
      <c r="A50" s="27"/>
      <c r="B50" s="17"/>
      <c r="C50" s="79" t="s">
        <v>107</v>
      </c>
      <c r="D50" s="57"/>
      <c r="E50" s="57"/>
      <c r="F50" s="57"/>
      <c r="G50" s="57"/>
      <c r="H50" s="80">
        <f t="shared" ref="H50:V50" si="6">SUM(H6:H49)</f>
        <v>9687000</v>
      </c>
      <c r="I50" s="80">
        <f t="shared" si="6"/>
        <v>4560000</v>
      </c>
      <c r="J50" s="80">
        <f t="shared" si="6"/>
        <v>21226000</v>
      </c>
      <c r="K50" s="80">
        <f t="shared" si="6"/>
        <v>112855000</v>
      </c>
      <c r="L50" s="80">
        <f t="shared" si="6"/>
        <v>0</v>
      </c>
      <c r="M50" s="80">
        <f t="shared" si="6"/>
        <v>0</v>
      </c>
      <c r="N50" s="80">
        <f t="shared" si="6"/>
        <v>0</v>
      </c>
      <c r="O50" s="80">
        <f t="shared" si="6"/>
        <v>0</v>
      </c>
      <c r="P50" s="80">
        <f t="shared" si="6"/>
        <v>7614545</v>
      </c>
      <c r="Q50" s="80">
        <f t="shared" si="6"/>
        <v>0</v>
      </c>
      <c r="R50" s="80">
        <f t="shared" si="6"/>
        <v>0</v>
      </c>
      <c r="S50" s="80">
        <f t="shared" si="6"/>
        <v>7299000</v>
      </c>
      <c r="T50" s="80">
        <f t="shared" si="6"/>
        <v>1858055</v>
      </c>
      <c r="U50" s="80">
        <f t="shared" si="6"/>
        <v>144320600</v>
      </c>
      <c r="V50" s="80">
        <f t="shared" si="6"/>
        <v>126141150</v>
      </c>
      <c r="W50" s="80"/>
      <c r="X50" s="80">
        <f>SUM(X6:X49)</f>
        <v>0</v>
      </c>
      <c r="Y50" s="80">
        <f>SUM(Y6:Y49)</f>
        <v>18179450</v>
      </c>
      <c r="Z50" s="57"/>
    </row>
    <row r="53" spans="1:26" ht="15.6">
      <c r="A53" s="103" t="s">
        <v>233</v>
      </c>
      <c r="B53" s="103"/>
    </row>
    <row r="54" spans="1:26" ht="15.6">
      <c r="A54" s="103" t="s">
        <v>234</v>
      </c>
      <c r="B54" s="103" t="s">
        <v>236</v>
      </c>
      <c r="O54" t="s">
        <v>95</v>
      </c>
      <c r="U54" s="78"/>
    </row>
    <row r="55" spans="1:26" ht="15.6">
      <c r="A55" s="103" t="s">
        <v>235</v>
      </c>
      <c r="B55" s="103" t="s">
        <v>237</v>
      </c>
    </row>
    <row r="56" spans="1:26" ht="15.6">
      <c r="A56" s="103" t="s">
        <v>238</v>
      </c>
      <c r="B56" s="103" t="s">
        <v>239</v>
      </c>
      <c r="X56">
        <f>10920000/4</f>
        <v>2730000</v>
      </c>
    </row>
  </sheetData>
  <autoFilter ref="A5:Z50">
    <filterColumn colId="6"/>
    <filterColumn colId="24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1:E49">
    <cfRule type="containsText" dxfId="257" priority="165" stopIfTrue="1" operator="containsText" text="Gia hạn">
      <formula>NOT(ISERROR(SEARCH("Gia hạn",E1)))</formula>
    </cfRule>
    <cfRule type="cellIs" dxfId="256" priority="166" stopIfTrue="1" operator="equal">
      <formula>"Gia hạn"</formula>
    </cfRule>
  </conditionalFormatting>
  <conditionalFormatting sqref="G1:G49">
    <cfRule type="containsText" dxfId="255" priority="164" stopIfTrue="1" operator="containsText" text="THV">
      <formula>NOT(ISERROR(SEARCH("THV",G1)))</formula>
    </cfRule>
  </conditionalFormatting>
  <conditionalFormatting sqref="E1:E65500">
    <cfRule type="containsText" dxfId="254" priority="139" stopIfTrue="1" operator="containsText" text="gia hạn">
      <formula>NOT(ISERROR(SEARCH("gia hạn",E1)))</formula>
    </cfRule>
  </conditionalFormatting>
  <conditionalFormatting sqref="G1:G1048576">
    <cfRule type="containsText" dxfId="253" priority="1" operator="containsText" text="Tịnh">
      <formula>NOT(ISERROR(SEARCH("Tịnh",G1)))</formula>
    </cfRule>
  </conditionalFormatting>
  <hyperlinks>
    <hyperlink ref="F12" r:id="rId1"/>
    <hyperlink ref="F25" r:id="rId2" display="http://www.nhakhoathammydaiviet.vn/"/>
    <hyperlink ref="F29" r:id="rId3"/>
  </hyperlinks>
  <pageMargins left="0.7" right="0.7" top="0.75" bottom="0.75" header="0.3" footer="0.3"/>
  <pageSetup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3" ySplit="6" topLeftCell="D19" activePane="bottomRight" state="frozen"/>
      <selection pane="topRight" activeCell="D1" sqref="D1"/>
      <selection pane="bottomLeft" activeCell="A7" sqref="A7"/>
      <selection pane="bottomRight" activeCell="A5" sqref="A5:XFD24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19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232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15.6">
      <c r="A6" s="23"/>
      <c r="B6" s="17"/>
      <c r="C6" s="18"/>
      <c r="D6" s="20"/>
      <c r="E6" s="28"/>
      <c r="F6" s="21"/>
      <c r="G6" s="22"/>
      <c r="H6" s="23"/>
      <c r="I6" s="24"/>
      <c r="J6" s="23"/>
      <c r="K6" s="24"/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" si="0">+SUM(H6:T6)</f>
        <v>0</v>
      </c>
      <c r="V6" s="23"/>
      <c r="W6" s="17"/>
      <c r="X6" s="17"/>
      <c r="Y6" s="22">
        <f t="shared" ref="Y6:Y23" si="1">U6-V6</f>
        <v>0</v>
      </c>
      <c r="Z6" s="25"/>
      <c r="AA6" s="29"/>
    </row>
    <row r="7" spans="1:27" ht="31.2">
      <c r="A7" s="27" t="s">
        <v>249</v>
      </c>
      <c r="B7" s="17">
        <v>42039</v>
      </c>
      <c r="C7" s="18" t="s">
        <v>274</v>
      </c>
      <c r="D7" s="20" t="s">
        <v>250</v>
      </c>
      <c r="E7" s="28" t="s">
        <v>51</v>
      </c>
      <c r="F7" s="21" t="s">
        <v>399</v>
      </c>
      <c r="G7" s="22" t="s">
        <v>91</v>
      </c>
      <c r="H7" s="23"/>
      <c r="I7" s="24"/>
      <c r="J7" s="23">
        <v>0</v>
      </c>
      <c r="K7" s="24">
        <v>10000000</v>
      </c>
      <c r="L7" s="24"/>
      <c r="M7" s="23"/>
      <c r="N7" s="24"/>
      <c r="O7" s="24"/>
      <c r="P7" s="24"/>
      <c r="Q7" s="24"/>
      <c r="R7" s="24"/>
      <c r="S7" s="24"/>
      <c r="T7" s="24"/>
      <c r="U7" s="16">
        <f t="shared" ref="U7" si="2">+SUM(H7:T7)</f>
        <v>10000000</v>
      </c>
      <c r="V7" s="23">
        <f>5000000+5000000</f>
        <v>10000000</v>
      </c>
      <c r="W7" s="17" t="s">
        <v>408</v>
      </c>
      <c r="X7" s="17"/>
      <c r="Y7" s="22">
        <f t="shared" si="1"/>
        <v>0</v>
      </c>
      <c r="Z7" s="25" t="s">
        <v>126</v>
      </c>
      <c r="AA7" s="29"/>
    </row>
    <row r="8" spans="1:27" ht="31.2">
      <c r="A8" s="60"/>
      <c r="B8" s="17">
        <v>42039</v>
      </c>
      <c r="C8" s="18" t="s">
        <v>253</v>
      </c>
      <c r="D8" s="20" t="s">
        <v>95</v>
      </c>
      <c r="E8" s="20" t="s">
        <v>254</v>
      </c>
      <c r="F8" s="21" t="s">
        <v>255</v>
      </c>
      <c r="G8" s="22" t="s">
        <v>47</v>
      </c>
      <c r="H8" s="23">
        <v>750000</v>
      </c>
      <c r="I8" s="24"/>
      <c r="J8" s="23"/>
      <c r="K8" s="24"/>
      <c r="L8" s="24"/>
      <c r="M8" s="23"/>
      <c r="N8" s="24"/>
      <c r="O8" s="24"/>
      <c r="P8" s="24"/>
      <c r="Q8" s="24"/>
      <c r="R8" s="24"/>
      <c r="S8" s="24"/>
      <c r="T8" s="24">
        <v>25000</v>
      </c>
      <c r="U8" s="16">
        <f>+SUM(H8:T8)-S8</f>
        <v>775000</v>
      </c>
      <c r="V8" s="23">
        <v>775000</v>
      </c>
      <c r="W8" s="17">
        <v>42041</v>
      </c>
      <c r="X8" s="17" t="s">
        <v>256</v>
      </c>
      <c r="Y8" s="22">
        <f t="shared" si="1"/>
        <v>0</v>
      </c>
      <c r="Z8" s="25" t="s">
        <v>257</v>
      </c>
      <c r="AA8" s="29"/>
    </row>
    <row r="9" spans="1:27" s="63" customFormat="1" ht="31.2">
      <c r="A9" s="27" t="s">
        <v>258</v>
      </c>
      <c r="B9" s="17">
        <v>42040</v>
      </c>
      <c r="C9" s="18" t="s">
        <v>259</v>
      </c>
      <c r="D9" s="20" t="s">
        <v>260</v>
      </c>
      <c r="E9" s="20" t="s">
        <v>261</v>
      </c>
      <c r="F9" s="21" t="s">
        <v>262</v>
      </c>
      <c r="G9" s="22" t="s">
        <v>102</v>
      </c>
      <c r="H9" s="23">
        <v>250000</v>
      </c>
      <c r="I9" s="24"/>
      <c r="J9" s="23">
        <v>900000</v>
      </c>
      <c r="K9" s="24"/>
      <c r="L9" s="24"/>
      <c r="M9" s="23"/>
      <c r="N9" s="24"/>
      <c r="O9" s="24"/>
      <c r="P9" s="24"/>
      <c r="Q9" s="24"/>
      <c r="R9" s="24"/>
      <c r="S9" s="24"/>
      <c r="T9" s="24"/>
      <c r="U9" s="16">
        <f>+SUM(H9:T9)-S9</f>
        <v>1150000</v>
      </c>
      <c r="V9" s="23">
        <v>1150000</v>
      </c>
      <c r="W9" s="17">
        <v>42041</v>
      </c>
      <c r="X9" s="17"/>
      <c r="Y9" s="22">
        <f t="shared" si="1"/>
        <v>0</v>
      </c>
      <c r="Z9" s="62"/>
      <c r="AA9" s="29"/>
    </row>
    <row r="10" spans="1:27" s="63" customFormat="1" ht="15.6">
      <c r="A10" s="27"/>
      <c r="B10" s="17">
        <v>42040</v>
      </c>
      <c r="C10" s="18" t="s">
        <v>265</v>
      </c>
      <c r="D10" s="20"/>
      <c r="E10" s="20" t="s">
        <v>267</v>
      </c>
      <c r="F10" s="21"/>
      <c r="G10" s="22" t="s">
        <v>91</v>
      </c>
      <c r="H10" s="23"/>
      <c r="I10" s="24"/>
      <c r="J10" s="23"/>
      <c r="K10" s="24"/>
      <c r="L10" s="24"/>
      <c r="M10" s="23"/>
      <c r="N10" s="24"/>
      <c r="O10" s="24"/>
      <c r="P10" s="24"/>
      <c r="Q10" s="24"/>
      <c r="R10" s="24">
        <v>15000000</v>
      </c>
      <c r="S10" s="24"/>
      <c r="T10" s="24"/>
      <c r="U10" s="16">
        <f>+SUM(H10:T10)-S10</f>
        <v>15000000</v>
      </c>
      <c r="V10" s="23">
        <f>15000000</f>
        <v>15000000</v>
      </c>
      <c r="W10" s="17">
        <v>42041</v>
      </c>
      <c r="X10" s="17"/>
      <c r="Y10" s="22">
        <f t="shared" si="1"/>
        <v>0</v>
      </c>
      <c r="Z10" s="62"/>
      <c r="AA10" s="29"/>
    </row>
    <row r="11" spans="1:27" ht="15.6">
      <c r="A11" s="27"/>
      <c r="B11" s="17">
        <v>42041</v>
      </c>
      <c r="C11" s="18" t="s">
        <v>265</v>
      </c>
      <c r="D11" s="20"/>
      <c r="E11" s="28" t="s">
        <v>266</v>
      </c>
      <c r="F11" s="21"/>
      <c r="G11" s="22" t="s">
        <v>91</v>
      </c>
      <c r="H11" s="23"/>
      <c r="I11" s="24"/>
      <c r="J11" s="23">
        <v>1440000</v>
      </c>
      <c r="K11" s="24"/>
      <c r="L11" s="24"/>
      <c r="M11" s="23"/>
      <c r="N11" s="24"/>
      <c r="O11" s="24"/>
      <c r="P11" s="24"/>
      <c r="Q11" s="24"/>
      <c r="R11" s="24"/>
      <c r="S11" s="24"/>
      <c r="T11" s="24"/>
      <c r="U11" s="16">
        <f>+SUM(H11:T11)-S11</f>
        <v>1440000</v>
      </c>
      <c r="V11" s="23">
        <v>1440000</v>
      </c>
      <c r="W11" s="17">
        <v>42041</v>
      </c>
      <c r="X11" s="17"/>
      <c r="Y11" s="22">
        <f t="shared" si="1"/>
        <v>0</v>
      </c>
      <c r="Z11" s="25"/>
      <c r="AA11" s="29"/>
    </row>
    <row r="12" spans="1:27" s="63" customFormat="1" ht="31.2">
      <c r="A12" s="64"/>
      <c r="B12" s="97">
        <v>42041</v>
      </c>
      <c r="C12" s="98" t="s">
        <v>64</v>
      </c>
      <c r="D12" s="99"/>
      <c r="E12" s="67" t="s">
        <v>65</v>
      </c>
      <c r="F12" s="100" t="s">
        <v>66</v>
      </c>
      <c r="G12" s="69" t="s">
        <v>62</v>
      </c>
      <c r="H12" s="89"/>
      <c r="I12" s="71"/>
      <c r="J12" s="70"/>
      <c r="K12" s="90"/>
      <c r="L12" s="71"/>
      <c r="M12" s="71"/>
      <c r="N12" s="71"/>
      <c r="O12" s="71"/>
      <c r="P12" s="90">
        <v>1040000</v>
      </c>
      <c r="Q12" s="90"/>
      <c r="R12" s="71"/>
      <c r="S12" s="71"/>
      <c r="T12" s="90">
        <v>104000</v>
      </c>
      <c r="U12" s="72">
        <f>+SUM(H12:T12)</f>
        <v>1144000</v>
      </c>
      <c r="V12" s="70">
        <v>1144000</v>
      </c>
      <c r="W12" s="101">
        <v>42116</v>
      </c>
      <c r="X12" s="74" t="s">
        <v>508</v>
      </c>
      <c r="Y12" s="69">
        <f t="shared" si="1"/>
        <v>0</v>
      </c>
      <c r="Z12" s="102" t="s">
        <v>509</v>
      </c>
      <c r="AA12" s="75" t="s">
        <v>67</v>
      </c>
    </row>
    <row r="13" spans="1:27" s="63" customFormat="1" ht="31.2">
      <c r="A13" s="27"/>
      <c r="B13" s="17">
        <v>42041</v>
      </c>
      <c r="C13" s="18" t="s">
        <v>271</v>
      </c>
      <c r="D13" s="20" t="s">
        <v>272</v>
      </c>
      <c r="E13" s="20" t="s">
        <v>224</v>
      </c>
      <c r="F13" s="21"/>
      <c r="G13" s="22" t="s">
        <v>28</v>
      </c>
      <c r="H13" s="23"/>
      <c r="I13" s="23"/>
      <c r="J13" s="23">
        <v>0</v>
      </c>
      <c r="K13" s="23">
        <v>16820000</v>
      </c>
      <c r="L13" s="121"/>
      <c r="M13" s="121"/>
      <c r="N13" s="23"/>
      <c r="O13" s="23"/>
      <c r="P13" s="23"/>
      <c r="Q13" s="23"/>
      <c r="R13" s="23"/>
      <c r="S13" s="23"/>
      <c r="T13" s="24"/>
      <c r="U13" s="16">
        <f>+SUM(H13:T13)-S13</f>
        <v>16820000</v>
      </c>
      <c r="V13" s="23">
        <f>5000000</f>
        <v>5000000</v>
      </c>
      <c r="W13" s="122">
        <v>42041</v>
      </c>
      <c r="X13" s="32"/>
      <c r="Y13" s="22">
        <f t="shared" si="1"/>
        <v>11820000</v>
      </c>
      <c r="Z13" s="33" t="s">
        <v>273</v>
      </c>
      <c r="AA13" s="120"/>
    </row>
    <row r="14" spans="1:27" ht="46.8">
      <c r="A14" s="27" t="s">
        <v>276</v>
      </c>
      <c r="B14" s="17">
        <v>42042</v>
      </c>
      <c r="C14" s="18" t="s">
        <v>171</v>
      </c>
      <c r="D14" s="20"/>
      <c r="E14" s="28" t="s">
        <v>277</v>
      </c>
      <c r="F14" s="21"/>
      <c r="G14" s="22" t="s">
        <v>140</v>
      </c>
      <c r="H14" s="23"/>
      <c r="I14" s="23"/>
      <c r="J14" s="23"/>
      <c r="K14" s="23">
        <v>1500000</v>
      </c>
      <c r="L14" s="57"/>
      <c r="M14" s="57"/>
      <c r="N14" s="23"/>
      <c r="O14" s="23"/>
      <c r="P14" s="23"/>
      <c r="Q14" s="23"/>
      <c r="R14" s="23"/>
      <c r="S14" s="23"/>
      <c r="T14" s="24"/>
      <c r="U14" s="16">
        <f t="shared" ref="U14:U21" si="3">+SUM(H14:T14)-S14</f>
        <v>1500000</v>
      </c>
      <c r="V14" s="23">
        <v>1500000</v>
      </c>
      <c r="W14" s="17">
        <v>42044</v>
      </c>
      <c r="X14" s="17"/>
      <c r="Y14" s="22">
        <f t="shared" si="1"/>
        <v>0</v>
      </c>
      <c r="Z14" s="62"/>
    </row>
    <row r="15" spans="1:27" ht="15.6">
      <c r="A15" s="23"/>
      <c r="B15" s="17">
        <v>42042</v>
      </c>
      <c r="C15" s="18" t="s">
        <v>278</v>
      </c>
      <c r="D15" s="20"/>
      <c r="E15" s="28" t="s">
        <v>101</v>
      </c>
      <c r="F15" s="21" t="s">
        <v>280</v>
      </c>
      <c r="G15" s="22" t="s">
        <v>91</v>
      </c>
      <c r="H15" s="23">
        <v>225000</v>
      </c>
      <c r="I15" s="23"/>
      <c r="J15" s="23"/>
      <c r="K15" s="23"/>
      <c r="L15" s="57"/>
      <c r="M15" s="57"/>
      <c r="N15" s="23"/>
      <c r="O15" s="23"/>
      <c r="P15" s="23"/>
      <c r="Q15" s="23"/>
      <c r="R15" s="23"/>
      <c r="S15" s="23"/>
      <c r="T15" s="23"/>
      <c r="U15" s="16">
        <f t="shared" si="3"/>
        <v>225000</v>
      </c>
      <c r="V15" s="23">
        <v>225000</v>
      </c>
      <c r="W15" s="17">
        <v>42042</v>
      </c>
      <c r="X15" s="57"/>
      <c r="Y15" s="22">
        <f t="shared" si="1"/>
        <v>0</v>
      </c>
      <c r="Z15" s="62"/>
      <c r="AA15" s="29"/>
    </row>
    <row r="16" spans="1:27" s="63" customFormat="1" ht="15.6">
      <c r="A16" s="23"/>
      <c r="B16" s="17">
        <v>42042</v>
      </c>
      <c r="C16" s="18" t="s">
        <v>279</v>
      </c>
      <c r="D16" s="20"/>
      <c r="E16" s="28" t="s">
        <v>101</v>
      </c>
      <c r="F16" s="21" t="s">
        <v>282</v>
      </c>
      <c r="G16" s="22" t="s">
        <v>91</v>
      </c>
      <c r="H16" s="23">
        <v>630000</v>
      </c>
      <c r="I16" s="23"/>
      <c r="J16" s="23"/>
      <c r="K16" s="23"/>
      <c r="L16" s="121"/>
      <c r="M16" s="121"/>
      <c r="N16" s="23"/>
      <c r="O16" s="23"/>
      <c r="P16" s="23"/>
      <c r="Q16" s="23"/>
      <c r="R16" s="23"/>
      <c r="S16" s="23"/>
      <c r="T16" s="24"/>
      <c r="U16" s="16">
        <f t="shared" si="3"/>
        <v>630000</v>
      </c>
      <c r="V16" s="23">
        <v>630000</v>
      </c>
      <c r="W16" s="17">
        <v>42042</v>
      </c>
      <c r="X16" s="121"/>
      <c r="Y16" s="22">
        <f t="shared" si="1"/>
        <v>0</v>
      </c>
      <c r="Z16" s="62"/>
    </row>
    <row r="17" spans="1:27" ht="46.8">
      <c r="A17" s="27"/>
      <c r="B17" s="17">
        <v>42044</v>
      </c>
      <c r="C17" s="18" t="s">
        <v>210</v>
      </c>
      <c r="D17" s="20" t="s">
        <v>211</v>
      </c>
      <c r="E17" s="28" t="s">
        <v>45</v>
      </c>
      <c r="F17" s="21" t="s">
        <v>212</v>
      </c>
      <c r="G17" s="22" t="s">
        <v>140</v>
      </c>
      <c r="H17" s="23">
        <v>0</v>
      </c>
      <c r="I17" s="57"/>
      <c r="J17" s="23">
        <v>0</v>
      </c>
      <c r="K17" s="24">
        <v>3500000</v>
      </c>
      <c r="L17" s="57"/>
      <c r="M17" s="57"/>
      <c r="N17" s="57"/>
      <c r="O17" s="57"/>
      <c r="P17" s="57"/>
      <c r="Q17" s="57"/>
      <c r="R17" s="76"/>
      <c r="S17" s="57"/>
      <c r="T17" s="24"/>
      <c r="U17" s="16">
        <f t="shared" ref="U17" si="4">+SUM(H17:T17)</f>
        <v>3500000</v>
      </c>
      <c r="V17" s="23">
        <v>1750000</v>
      </c>
      <c r="W17" s="17">
        <v>42044</v>
      </c>
      <c r="X17" s="17" t="s">
        <v>826</v>
      </c>
      <c r="Y17" s="22">
        <f t="shared" si="1"/>
        <v>1750000</v>
      </c>
      <c r="Z17" s="57"/>
    </row>
    <row r="18" spans="1:27" ht="46.8">
      <c r="A18" s="23" t="s">
        <v>288</v>
      </c>
      <c r="B18" s="42">
        <v>42045</v>
      </c>
      <c r="C18" s="18" t="s">
        <v>283</v>
      </c>
      <c r="D18" s="20"/>
      <c r="E18" s="28" t="s">
        <v>45</v>
      </c>
      <c r="F18" s="21" t="s">
        <v>284</v>
      </c>
      <c r="G18" s="22" t="s">
        <v>28</v>
      </c>
      <c r="H18" s="23">
        <v>700000</v>
      </c>
      <c r="I18" s="57"/>
      <c r="J18" s="23">
        <v>1440000</v>
      </c>
      <c r="K18" s="23">
        <v>0</v>
      </c>
      <c r="L18" s="57"/>
      <c r="M18" s="57"/>
      <c r="N18" s="23"/>
      <c r="O18" s="23"/>
      <c r="P18" s="23"/>
      <c r="Q18" s="23"/>
      <c r="R18" s="23"/>
      <c r="S18" s="23"/>
      <c r="T18" s="24">
        <v>144000</v>
      </c>
      <c r="U18" s="16">
        <f t="shared" si="3"/>
        <v>2284000</v>
      </c>
      <c r="V18" s="23">
        <v>2284000</v>
      </c>
      <c r="W18" s="17">
        <v>42045</v>
      </c>
      <c r="X18" s="17" t="s">
        <v>285</v>
      </c>
      <c r="Y18" s="22">
        <f t="shared" si="1"/>
        <v>0</v>
      </c>
      <c r="Z18" s="62"/>
    </row>
    <row r="19" spans="1:27" ht="46.8">
      <c r="A19" s="23" t="s">
        <v>291</v>
      </c>
      <c r="B19" s="42">
        <v>42047</v>
      </c>
      <c r="C19" s="18" t="s">
        <v>294</v>
      </c>
      <c r="D19" s="20" t="s">
        <v>295</v>
      </c>
      <c r="E19" s="28" t="s">
        <v>45</v>
      </c>
      <c r="F19" s="21" t="s">
        <v>292</v>
      </c>
      <c r="G19" s="22" t="s">
        <v>28</v>
      </c>
      <c r="H19" s="23">
        <v>250000</v>
      </c>
      <c r="I19" s="57"/>
      <c r="J19" s="23">
        <v>1440000</v>
      </c>
      <c r="K19" s="23"/>
      <c r="L19" s="57"/>
      <c r="M19" s="57"/>
      <c r="N19" s="23"/>
      <c r="O19" s="23"/>
      <c r="P19" s="23"/>
      <c r="Q19" s="23"/>
      <c r="R19" s="23"/>
      <c r="S19" s="23"/>
      <c r="T19" s="24">
        <v>169000</v>
      </c>
      <c r="U19" s="16">
        <f t="shared" si="3"/>
        <v>1859000</v>
      </c>
      <c r="V19" s="23">
        <v>1859000</v>
      </c>
      <c r="W19" s="17">
        <v>42047</v>
      </c>
      <c r="X19" s="17" t="s">
        <v>293</v>
      </c>
      <c r="Y19" s="22">
        <f t="shared" si="1"/>
        <v>0</v>
      </c>
      <c r="Z19" s="62"/>
      <c r="AA19" s="29"/>
    </row>
    <row r="20" spans="1:27" s="124" customFormat="1" ht="46.8">
      <c r="A20" s="23" t="s">
        <v>296</v>
      </c>
      <c r="B20" s="128">
        <v>42060</v>
      </c>
      <c r="C20" s="129" t="s">
        <v>297</v>
      </c>
      <c r="D20" s="62" t="s">
        <v>298</v>
      </c>
      <c r="E20" s="40" t="s">
        <v>195</v>
      </c>
      <c r="F20" s="21" t="s">
        <v>448</v>
      </c>
      <c r="G20" s="23" t="s">
        <v>28</v>
      </c>
      <c r="H20" s="23">
        <v>250000</v>
      </c>
      <c r="I20" s="123"/>
      <c r="J20" s="23">
        <v>1440000</v>
      </c>
      <c r="K20" s="23"/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3"/>
        <v>1690000</v>
      </c>
      <c r="V20" s="23">
        <f>720000+250000+720000</f>
        <v>1690000</v>
      </c>
      <c r="W20" s="131" t="s">
        <v>598</v>
      </c>
      <c r="X20" s="17"/>
      <c r="Y20" s="23">
        <f t="shared" si="1"/>
        <v>0</v>
      </c>
      <c r="Z20" s="83" t="s">
        <v>126</v>
      </c>
    </row>
    <row r="21" spans="1:27" s="63" customFormat="1" ht="31.2">
      <c r="A21" s="27"/>
      <c r="B21" s="42">
        <v>42063</v>
      </c>
      <c r="C21" s="125" t="s">
        <v>300</v>
      </c>
      <c r="D21" s="20"/>
      <c r="E21" s="20" t="s">
        <v>301</v>
      </c>
      <c r="F21" s="126"/>
      <c r="G21" s="22" t="s">
        <v>94</v>
      </c>
      <c r="H21" s="23"/>
      <c r="I21" s="121"/>
      <c r="J21" s="23">
        <v>450000</v>
      </c>
      <c r="K21" s="23"/>
      <c r="L21" s="121"/>
      <c r="M21" s="121"/>
      <c r="N21" s="121"/>
      <c r="O21" s="121"/>
      <c r="P21" s="24"/>
      <c r="Q21" s="24"/>
      <c r="R21" s="121"/>
      <c r="S21" s="121"/>
      <c r="T21" s="24"/>
      <c r="U21" s="16">
        <f t="shared" si="3"/>
        <v>450000</v>
      </c>
      <c r="V21" s="23">
        <v>450000</v>
      </c>
      <c r="W21" s="122">
        <v>42065</v>
      </c>
      <c r="X21" s="17"/>
      <c r="Y21" s="22">
        <f t="shared" si="1"/>
        <v>0</v>
      </c>
      <c r="Z21" s="33" t="s">
        <v>302</v>
      </c>
      <c r="AA21" s="75"/>
    </row>
    <row r="22" spans="1:27" ht="15.6">
      <c r="A22" s="27"/>
      <c r="B22" s="17"/>
      <c r="C22" s="18"/>
      <c r="D22" s="20"/>
      <c r="E22" s="28"/>
      <c r="F22" s="57"/>
      <c r="G22" s="57"/>
      <c r="H22" s="23"/>
      <c r="I22" s="57"/>
      <c r="J22" s="23"/>
      <c r="K22" s="57"/>
      <c r="L22" s="57"/>
      <c r="M22" s="57"/>
      <c r="N22" s="57"/>
      <c r="O22" s="57"/>
      <c r="P22" s="57"/>
      <c r="Q22" s="57"/>
      <c r="R22" s="57"/>
      <c r="S22" s="57"/>
      <c r="T22" s="24"/>
      <c r="U22" s="16">
        <f t="shared" ref="U22:U23" si="5">+SUM(H22:T22)</f>
        <v>0</v>
      </c>
      <c r="V22" s="57"/>
      <c r="W22" s="57"/>
      <c r="X22" s="17"/>
      <c r="Y22" s="22">
        <f t="shared" si="1"/>
        <v>0</v>
      </c>
      <c r="Z22" s="57"/>
    </row>
    <row r="23" spans="1:27" ht="15.6">
      <c r="A23" s="27"/>
      <c r="B23" s="17"/>
      <c r="C23" s="18"/>
      <c r="D23" s="20"/>
      <c r="E23" s="28"/>
      <c r="F23" s="57"/>
      <c r="G23" s="57"/>
      <c r="H23" s="23"/>
      <c r="I23" s="57"/>
      <c r="J23" s="23"/>
      <c r="K23" s="57"/>
      <c r="L23" s="57"/>
      <c r="M23" s="57"/>
      <c r="N23" s="57"/>
      <c r="O23" s="57"/>
      <c r="P23" s="57"/>
      <c r="Q23" s="57"/>
      <c r="R23" s="57"/>
      <c r="S23" s="57"/>
      <c r="T23" s="24"/>
      <c r="U23" s="16">
        <f t="shared" si="5"/>
        <v>0</v>
      </c>
      <c r="V23" s="57"/>
      <c r="W23" s="57"/>
      <c r="X23" s="57"/>
      <c r="Y23" s="22">
        <f t="shared" si="1"/>
        <v>0</v>
      </c>
      <c r="Z23" s="57"/>
    </row>
    <row r="24" spans="1:27" ht="15.6">
      <c r="A24" s="27"/>
      <c r="B24" s="17"/>
      <c r="C24" s="79" t="s">
        <v>107</v>
      </c>
      <c r="D24" s="57"/>
      <c r="E24" s="57"/>
      <c r="F24" s="57"/>
      <c r="G24" s="57"/>
      <c r="H24" s="80">
        <f>SUM(H6:H23)</f>
        <v>3055000</v>
      </c>
      <c r="I24" s="80">
        <f t="shared" ref="I24:Y24" si="6">SUM(I6:I23)</f>
        <v>0</v>
      </c>
      <c r="J24" s="80">
        <f t="shared" si="6"/>
        <v>7110000</v>
      </c>
      <c r="K24" s="80">
        <f t="shared" si="6"/>
        <v>31820000</v>
      </c>
      <c r="L24" s="80">
        <f t="shared" si="6"/>
        <v>0</v>
      </c>
      <c r="M24" s="80">
        <f t="shared" si="6"/>
        <v>0</v>
      </c>
      <c r="N24" s="80">
        <f t="shared" si="6"/>
        <v>0</v>
      </c>
      <c r="O24" s="80">
        <f t="shared" si="6"/>
        <v>0</v>
      </c>
      <c r="P24" s="80">
        <f t="shared" si="6"/>
        <v>1040000</v>
      </c>
      <c r="Q24" s="80">
        <f t="shared" si="6"/>
        <v>0</v>
      </c>
      <c r="R24" s="80">
        <f t="shared" si="6"/>
        <v>15000000</v>
      </c>
      <c r="S24" s="80">
        <f t="shared" si="6"/>
        <v>0</v>
      </c>
      <c r="T24" s="80">
        <f t="shared" si="6"/>
        <v>442000</v>
      </c>
      <c r="U24" s="80">
        <f t="shared" si="6"/>
        <v>58467000</v>
      </c>
      <c r="V24" s="80">
        <f t="shared" si="6"/>
        <v>44897000</v>
      </c>
      <c r="W24" s="80"/>
      <c r="X24" s="80">
        <f t="shared" si="6"/>
        <v>0</v>
      </c>
      <c r="Y24" s="80">
        <f t="shared" si="6"/>
        <v>13570000</v>
      </c>
      <c r="Z24" s="57"/>
    </row>
    <row r="28" spans="1:27">
      <c r="O28" t="s">
        <v>95</v>
      </c>
      <c r="U28" s="78"/>
    </row>
  </sheetData>
  <autoFilter ref="A6:Z24">
    <filterColumn colId="6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1:E23">
    <cfRule type="containsText" dxfId="252" priority="28" stopIfTrue="1" operator="containsText" text="Gia hạn">
      <formula>NOT(ISERROR(SEARCH("Gia hạn",E1)))</formula>
    </cfRule>
    <cfRule type="cellIs" dxfId="251" priority="29" stopIfTrue="1" operator="equal">
      <formula>"Gia hạn"</formula>
    </cfRule>
  </conditionalFormatting>
  <conditionalFormatting sqref="G1:G21">
    <cfRule type="containsText" dxfId="250" priority="27" stopIfTrue="1" operator="containsText" text="THV">
      <formula>NOT(ISERROR(SEARCH("THV",G1)))</formula>
    </cfRule>
  </conditionalFormatting>
  <conditionalFormatting sqref="E1:E65474">
    <cfRule type="containsText" dxfId="249" priority="26" stopIfTrue="1" operator="containsText" text="gia hạn">
      <formula>NOT(ISERROR(SEARCH("gia hạn",E1)))</formula>
    </cfRule>
  </conditionalFormatting>
  <conditionalFormatting sqref="G1:G1048576">
    <cfRule type="containsText" dxfId="248" priority="25" operator="containsText" text="Tịnh">
      <formula>NOT(ISERROR(SEARCH("Tịnh",G1)))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9"/>
  <sheetViews>
    <sheetView workbookViewId="0">
      <pane xSplit="3" ySplit="5" topLeftCell="D38" activePane="bottomRight" state="frozen"/>
      <selection pane="topRight" activeCell="D1" sqref="D1"/>
      <selection pane="bottomLeft" activeCell="A6" sqref="A6"/>
      <selection pane="bottomRight" activeCell="A5" sqref="A5:XFD44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30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299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31.2">
      <c r="A6" s="27" t="s">
        <v>303</v>
      </c>
      <c r="B6" s="17">
        <v>42066</v>
      </c>
      <c r="C6" s="18" t="s">
        <v>304</v>
      </c>
      <c r="D6" s="20" t="s">
        <v>305</v>
      </c>
      <c r="E6" s="28" t="s">
        <v>224</v>
      </c>
      <c r="F6" s="21"/>
      <c r="G6" s="22" t="s">
        <v>275</v>
      </c>
      <c r="H6" s="23" t="s">
        <v>306</v>
      </c>
      <c r="I6" s="24"/>
      <c r="J6" s="23">
        <v>1440000</v>
      </c>
      <c r="K6" s="24">
        <v>1000000</v>
      </c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:U41" si="0">+SUM(H6:T6)</f>
        <v>2440000</v>
      </c>
      <c r="V6" s="23">
        <v>2440000</v>
      </c>
      <c r="W6" s="17">
        <v>42068</v>
      </c>
      <c r="X6" s="17"/>
      <c r="Y6" s="22">
        <f t="shared" ref="Y6:Y42" si="1">U6-V6</f>
        <v>0</v>
      </c>
      <c r="Z6" s="62" t="s">
        <v>193</v>
      </c>
      <c r="AA6" s="29"/>
    </row>
    <row r="7" spans="1:27" ht="15.6">
      <c r="A7" s="27"/>
      <c r="B7" s="17">
        <v>42068</v>
      </c>
      <c r="C7" s="18" t="s">
        <v>309</v>
      </c>
      <c r="D7" s="20"/>
      <c r="E7" s="28" t="s">
        <v>310</v>
      </c>
      <c r="F7" s="45" t="s">
        <v>307</v>
      </c>
      <c r="G7" s="22" t="s">
        <v>91</v>
      </c>
      <c r="H7" s="23">
        <v>250000</v>
      </c>
      <c r="I7" s="24"/>
      <c r="J7" s="23"/>
      <c r="K7" s="24"/>
      <c r="L7" s="24"/>
      <c r="M7" s="23"/>
      <c r="N7" s="24"/>
      <c r="O7" s="24"/>
      <c r="P7" s="24"/>
      <c r="Q7" s="24"/>
      <c r="R7" s="24"/>
      <c r="S7" s="24"/>
      <c r="T7" s="24"/>
      <c r="U7" s="16">
        <f t="shared" si="0"/>
        <v>250000</v>
      </c>
      <c r="V7" s="23">
        <v>250000</v>
      </c>
      <c r="W7" s="17">
        <v>42074</v>
      </c>
      <c r="X7" s="17"/>
      <c r="Y7" s="22">
        <f t="shared" si="1"/>
        <v>0</v>
      </c>
      <c r="Z7" s="25"/>
      <c r="AA7" s="29" t="s">
        <v>111</v>
      </c>
    </row>
    <row r="8" spans="1:27" ht="15.6">
      <c r="A8" s="60"/>
      <c r="B8" s="17">
        <v>42068</v>
      </c>
      <c r="C8" s="18" t="s">
        <v>309</v>
      </c>
      <c r="D8" s="20"/>
      <c r="E8" s="28" t="s">
        <v>310</v>
      </c>
      <c r="F8" s="45" t="s">
        <v>308</v>
      </c>
      <c r="G8" s="22" t="s">
        <v>91</v>
      </c>
      <c r="H8" s="23">
        <v>250000</v>
      </c>
      <c r="I8" s="24"/>
      <c r="J8" s="23"/>
      <c r="K8" s="24"/>
      <c r="L8" s="24"/>
      <c r="M8" s="23"/>
      <c r="N8" s="24"/>
      <c r="O8" s="24"/>
      <c r="P8" s="24"/>
      <c r="Q8" s="24"/>
      <c r="R8" s="24"/>
      <c r="S8" s="24"/>
      <c r="T8" s="24"/>
      <c r="U8" s="16">
        <f t="shared" si="0"/>
        <v>250000</v>
      </c>
      <c r="V8" s="23">
        <v>250000</v>
      </c>
      <c r="W8" s="17">
        <v>42074</v>
      </c>
      <c r="X8" s="17"/>
      <c r="Y8" s="22">
        <f t="shared" si="1"/>
        <v>0</v>
      </c>
      <c r="Z8" s="25"/>
      <c r="AA8" s="29" t="s">
        <v>111</v>
      </c>
    </row>
    <row r="9" spans="1:27" s="63" customFormat="1" ht="31.2">
      <c r="A9" s="27" t="s">
        <v>311</v>
      </c>
      <c r="B9" s="17">
        <v>42068</v>
      </c>
      <c r="C9" s="18" t="s">
        <v>312</v>
      </c>
      <c r="D9" s="20" t="s">
        <v>313</v>
      </c>
      <c r="E9" s="20" t="s">
        <v>315</v>
      </c>
      <c r="F9" s="21" t="s">
        <v>314</v>
      </c>
      <c r="G9" s="22" t="s">
        <v>28</v>
      </c>
      <c r="H9" s="23">
        <v>250000</v>
      </c>
      <c r="I9" s="24"/>
      <c r="J9" s="23">
        <v>1440000</v>
      </c>
      <c r="K9" s="24"/>
      <c r="L9" s="24"/>
      <c r="M9" s="23"/>
      <c r="N9" s="24"/>
      <c r="O9" s="24"/>
      <c r="P9" s="24"/>
      <c r="Q9" s="24"/>
      <c r="R9" s="24"/>
      <c r="S9" s="24"/>
      <c r="T9" s="24"/>
      <c r="U9" s="16">
        <f t="shared" si="0"/>
        <v>1690000</v>
      </c>
      <c r="V9" s="23">
        <f>845000</f>
        <v>845000</v>
      </c>
      <c r="W9" s="17">
        <v>42082</v>
      </c>
      <c r="X9" s="17"/>
      <c r="Y9" s="22">
        <f t="shared" si="1"/>
        <v>845000</v>
      </c>
      <c r="Z9" s="62" t="s">
        <v>126</v>
      </c>
      <c r="AA9" s="29"/>
    </row>
    <row r="10" spans="1:27" ht="46.8">
      <c r="A10" s="64" t="s">
        <v>317</v>
      </c>
      <c r="B10" s="65">
        <v>42072</v>
      </c>
      <c r="C10" s="66" t="s">
        <v>543</v>
      </c>
      <c r="D10" s="67"/>
      <c r="E10" s="67" t="s">
        <v>316</v>
      </c>
      <c r="F10" s="68"/>
      <c r="G10" s="69" t="s">
        <v>62</v>
      </c>
      <c r="H10" s="70"/>
      <c r="I10" s="90"/>
      <c r="J10" s="70"/>
      <c r="K10" s="90"/>
      <c r="L10" s="90"/>
      <c r="M10" s="70"/>
      <c r="N10" s="90"/>
      <c r="O10" s="90"/>
      <c r="P10" s="90">
        <v>800000</v>
      </c>
      <c r="Q10" s="90"/>
      <c r="R10" s="90"/>
      <c r="S10" s="90"/>
      <c r="T10" s="90">
        <v>80000</v>
      </c>
      <c r="U10" s="72">
        <f t="shared" si="0"/>
        <v>880000</v>
      </c>
      <c r="V10" s="70">
        <v>880000</v>
      </c>
      <c r="W10" s="101">
        <v>42116</v>
      </c>
      <c r="X10" s="65" t="s">
        <v>511</v>
      </c>
      <c r="Y10" s="69">
        <f t="shared" si="1"/>
        <v>0</v>
      </c>
      <c r="Z10" s="132"/>
      <c r="AA10" s="29"/>
    </row>
    <row r="11" spans="1:27" s="63" customFormat="1" ht="31.2">
      <c r="A11" s="27"/>
      <c r="B11" s="65">
        <v>42072</v>
      </c>
      <c r="C11" s="98" t="s">
        <v>64</v>
      </c>
      <c r="D11" s="99"/>
      <c r="E11" s="67" t="s">
        <v>65</v>
      </c>
      <c r="F11" s="100" t="s">
        <v>66</v>
      </c>
      <c r="G11" s="69" t="s">
        <v>62</v>
      </c>
      <c r="H11" s="89"/>
      <c r="I11" s="71"/>
      <c r="J11" s="70"/>
      <c r="K11" s="90"/>
      <c r="L11" s="71"/>
      <c r="M11" s="71"/>
      <c r="N11" s="71"/>
      <c r="O11" s="71"/>
      <c r="P11" s="90">
        <v>1040000</v>
      </c>
      <c r="Q11" s="90"/>
      <c r="R11" s="71"/>
      <c r="S11" s="71"/>
      <c r="T11" s="90">
        <v>104000</v>
      </c>
      <c r="U11" s="72">
        <f>+SUM(H11:T11)</f>
        <v>1144000</v>
      </c>
      <c r="V11" s="70">
        <v>1144000</v>
      </c>
      <c r="W11" s="101">
        <v>42116</v>
      </c>
      <c r="X11" s="74" t="s">
        <v>510</v>
      </c>
      <c r="Y11" s="69">
        <f t="shared" si="1"/>
        <v>0</v>
      </c>
      <c r="Z11" s="102"/>
      <c r="AA11" s="120"/>
    </row>
    <row r="12" spans="1:27" ht="46.8">
      <c r="A12" s="27" t="s">
        <v>321</v>
      </c>
      <c r="B12" s="17">
        <v>42073</v>
      </c>
      <c r="C12" s="18" t="s">
        <v>318</v>
      </c>
      <c r="D12" s="20"/>
      <c r="E12" s="28" t="s">
        <v>319</v>
      </c>
      <c r="F12" s="45" t="s">
        <v>320</v>
      </c>
      <c r="G12" s="22" t="s">
        <v>47</v>
      </c>
      <c r="H12" s="23"/>
      <c r="I12" s="23"/>
      <c r="J12" s="23"/>
      <c r="K12" s="24">
        <v>1000000</v>
      </c>
      <c r="L12" s="57"/>
      <c r="M12" s="57"/>
      <c r="N12" s="23"/>
      <c r="O12" s="23"/>
      <c r="P12" s="23"/>
      <c r="Q12" s="23"/>
      <c r="R12" s="23"/>
      <c r="S12" s="23"/>
      <c r="T12" s="24"/>
      <c r="U12" s="16">
        <f t="shared" si="0"/>
        <v>1000000</v>
      </c>
      <c r="V12" s="23">
        <v>1000000</v>
      </c>
      <c r="W12" s="17">
        <v>42076</v>
      </c>
      <c r="X12" s="17" t="s">
        <v>322</v>
      </c>
      <c r="Y12" s="22">
        <f t="shared" si="1"/>
        <v>0</v>
      </c>
      <c r="Z12" s="62"/>
    </row>
    <row r="13" spans="1:27" ht="27.6">
      <c r="A13" s="23"/>
      <c r="B13" s="17">
        <v>42073</v>
      </c>
      <c r="C13" s="143" t="s">
        <v>323</v>
      </c>
      <c r="D13" s="20"/>
      <c r="E13" s="28"/>
      <c r="F13" s="21" t="s">
        <v>422</v>
      </c>
      <c r="G13" s="22" t="s">
        <v>28</v>
      </c>
      <c r="H13" s="23">
        <v>250000</v>
      </c>
      <c r="I13" s="23"/>
      <c r="J13" s="23">
        <v>1440000</v>
      </c>
      <c r="K13" s="24"/>
      <c r="L13" s="57"/>
      <c r="M13" s="57"/>
      <c r="N13" s="23"/>
      <c r="O13" s="23"/>
      <c r="P13" s="23"/>
      <c r="Q13" s="23"/>
      <c r="R13" s="23"/>
      <c r="S13" s="23"/>
      <c r="T13" s="23"/>
      <c r="U13" s="16">
        <f t="shared" si="0"/>
        <v>1690000</v>
      </c>
      <c r="V13" s="23">
        <v>1690000</v>
      </c>
      <c r="W13" s="17">
        <v>42117</v>
      </c>
      <c r="X13" s="57"/>
      <c r="Y13" s="22">
        <f t="shared" si="1"/>
        <v>0</v>
      </c>
      <c r="Z13" s="62"/>
      <c r="AA13" s="29"/>
    </row>
    <row r="14" spans="1:27" s="87" customFormat="1" ht="78">
      <c r="A14" s="27" t="s">
        <v>330</v>
      </c>
      <c r="B14" s="81">
        <v>42074</v>
      </c>
      <c r="C14" s="82" t="s">
        <v>325</v>
      </c>
      <c r="D14" s="84" t="s">
        <v>366</v>
      </c>
      <c r="E14" s="84" t="s">
        <v>332</v>
      </c>
      <c r="F14" s="30" t="s">
        <v>333</v>
      </c>
      <c r="G14" s="27" t="s">
        <v>94</v>
      </c>
      <c r="H14" s="27"/>
      <c r="I14" s="127"/>
      <c r="J14" s="27">
        <v>5500000</v>
      </c>
      <c r="K14" s="30"/>
      <c r="L14" s="127"/>
      <c r="M14" s="127"/>
      <c r="N14" s="127"/>
      <c r="O14" s="127"/>
      <c r="P14" s="127"/>
      <c r="Q14" s="127"/>
      <c r="R14" s="142"/>
      <c r="S14" s="127"/>
      <c r="T14" s="30"/>
      <c r="U14" s="85">
        <v>1360000</v>
      </c>
      <c r="V14" s="27">
        <f>1360000</f>
        <v>1360000</v>
      </c>
      <c r="W14" s="81">
        <v>41815</v>
      </c>
      <c r="X14" s="81"/>
      <c r="Y14" s="27">
        <f t="shared" si="1"/>
        <v>0</v>
      </c>
      <c r="Z14" s="82" t="s">
        <v>673</v>
      </c>
    </row>
    <row r="15" spans="1:27" s="124" customFormat="1" ht="46.8">
      <c r="A15" s="27" t="s">
        <v>331</v>
      </c>
      <c r="B15" s="81">
        <v>42075</v>
      </c>
      <c r="C15" s="82" t="s">
        <v>325</v>
      </c>
      <c r="D15" s="84" t="s">
        <v>464</v>
      </c>
      <c r="E15" s="84" t="s">
        <v>326</v>
      </c>
      <c r="F15" s="30" t="s">
        <v>324</v>
      </c>
      <c r="G15" s="27" t="s">
        <v>94</v>
      </c>
      <c r="H15" s="27">
        <v>250000</v>
      </c>
      <c r="I15" s="27"/>
      <c r="J15" s="27">
        <v>840000</v>
      </c>
      <c r="K15" s="30"/>
      <c r="L15" s="123"/>
      <c r="M15" s="123"/>
      <c r="N15" s="27"/>
      <c r="O15" s="27"/>
      <c r="P15" s="27"/>
      <c r="Q15" s="27"/>
      <c r="R15" s="27"/>
      <c r="S15" s="27"/>
      <c r="T15" s="30">
        <v>109000</v>
      </c>
      <c r="U15" s="85"/>
      <c r="V15" s="27"/>
      <c r="W15" s="81"/>
      <c r="X15" s="123"/>
      <c r="Y15" s="27">
        <f t="shared" ref="Y15" si="2">U15-V15</f>
        <v>0</v>
      </c>
      <c r="Z15" s="83" t="s">
        <v>674</v>
      </c>
    </row>
    <row r="16" spans="1:27" ht="31.2">
      <c r="A16" s="23" t="s">
        <v>334</v>
      </c>
      <c r="B16" s="42">
        <v>42076</v>
      </c>
      <c r="C16" s="18" t="s">
        <v>335</v>
      </c>
      <c r="D16" s="20" t="s">
        <v>804</v>
      </c>
      <c r="E16" s="28" t="s">
        <v>336</v>
      </c>
      <c r="F16" s="21" t="s">
        <v>421</v>
      </c>
      <c r="G16" s="22" t="s">
        <v>28</v>
      </c>
      <c r="H16" s="23"/>
      <c r="I16" s="23">
        <v>1200000</v>
      </c>
      <c r="J16" s="23"/>
      <c r="K16" s="24"/>
      <c r="L16" s="57"/>
      <c r="M16" s="57"/>
      <c r="N16" s="23"/>
      <c r="O16" s="23"/>
      <c r="P16" s="23"/>
      <c r="Q16" s="23"/>
      <c r="R16" s="23"/>
      <c r="S16" s="23"/>
      <c r="T16" s="24"/>
      <c r="U16" s="16">
        <f t="shared" si="0"/>
        <v>1200000</v>
      </c>
      <c r="V16" s="23">
        <v>1200000</v>
      </c>
      <c r="W16" s="17">
        <v>42079</v>
      </c>
      <c r="X16" s="17"/>
      <c r="Y16" s="22">
        <f t="shared" si="1"/>
        <v>0</v>
      </c>
      <c r="Z16" s="62"/>
      <c r="AA16" s="29"/>
    </row>
    <row r="17" spans="1:26" s="124" customFormat="1" ht="31.2">
      <c r="A17" s="27"/>
      <c r="B17" s="128">
        <v>42076</v>
      </c>
      <c r="C17" s="129" t="s">
        <v>309</v>
      </c>
      <c r="D17" s="62"/>
      <c r="E17" s="40" t="s">
        <v>310</v>
      </c>
      <c r="F17" s="21" t="s">
        <v>337</v>
      </c>
      <c r="G17" s="23" t="s">
        <v>91</v>
      </c>
      <c r="H17" s="23">
        <v>500000</v>
      </c>
      <c r="I17" s="123"/>
      <c r="J17" s="23"/>
      <c r="K17" s="24"/>
      <c r="L17" s="123"/>
      <c r="M17" s="123"/>
      <c r="N17" s="27"/>
      <c r="O17" s="27"/>
      <c r="P17" s="27"/>
      <c r="Q17" s="27"/>
      <c r="R17" s="27"/>
      <c r="S17" s="27"/>
      <c r="T17" s="24"/>
      <c r="U17" s="16">
        <f t="shared" si="0"/>
        <v>500000</v>
      </c>
      <c r="V17" s="23">
        <v>500000</v>
      </c>
      <c r="W17" s="17">
        <v>42076</v>
      </c>
      <c r="X17" s="17"/>
      <c r="Y17" s="22">
        <f t="shared" si="1"/>
        <v>0</v>
      </c>
      <c r="Z17" s="83"/>
    </row>
    <row r="18" spans="1:26" s="124" customFormat="1" ht="31.2">
      <c r="A18" s="23" t="s">
        <v>348</v>
      </c>
      <c r="B18" s="128">
        <v>42077</v>
      </c>
      <c r="C18" s="129" t="s">
        <v>349</v>
      </c>
      <c r="D18" s="62" t="s">
        <v>805</v>
      </c>
      <c r="E18" s="40" t="s">
        <v>350</v>
      </c>
      <c r="F18" s="21" t="s">
        <v>351</v>
      </c>
      <c r="G18" s="23" t="s">
        <v>125</v>
      </c>
      <c r="H18" s="23">
        <v>250000</v>
      </c>
      <c r="I18" s="123"/>
      <c r="J18" s="23">
        <v>900000</v>
      </c>
      <c r="K18" s="24"/>
      <c r="L18" s="123"/>
      <c r="M18" s="123"/>
      <c r="N18" s="27"/>
      <c r="O18" s="27"/>
      <c r="P18" s="27"/>
      <c r="Q18" s="27"/>
      <c r="R18" s="27"/>
      <c r="S18" s="27"/>
      <c r="T18" s="24"/>
      <c r="U18" s="16">
        <f t="shared" si="0"/>
        <v>1150000</v>
      </c>
      <c r="V18" s="23">
        <v>1150000</v>
      </c>
      <c r="W18" s="17">
        <v>42079</v>
      </c>
      <c r="X18" s="17"/>
      <c r="Y18" s="22">
        <f t="shared" si="1"/>
        <v>0</v>
      </c>
      <c r="Z18" s="83"/>
    </row>
    <row r="19" spans="1:26" s="124" customFormat="1" ht="31.2">
      <c r="A19" s="27"/>
      <c r="B19" s="128">
        <v>42140</v>
      </c>
      <c r="C19" s="129" t="s">
        <v>339</v>
      </c>
      <c r="D19" s="62" t="s">
        <v>340</v>
      </c>
      <c r="E19" s="40" t="s">
        <v>310</v>
      </c>
      <c r="F19" s="21" t="s">
        <v>338</v>
      </c>
      <c r="G19" s="23" t="s">
        <v>94</v>
      </c>
      <c r="H19" s="23">
        <v>480000</v>
      </c>
      <c r="I19" s="123"/>
      <c r="J19" s="23"/>
      <c r="K19" s="24"/>
      <c r="L19" s="123"/>
      <c r="M19" s="123"/>
      <c r="N19" s="27"/>
      <c r="O19" s="27"/>
      <c r="P19" s="27"/>
      <c r="Q19" s="27"/>
      <c r="R19" s="27"/>
      <c r="S19" s="27"/>
      <c r="T19" s="24"/>
      <c r="U19" s="16">
        <f t="shared" si="0"/>
        <v>480000</v>
      </c>
      <c r="V19" s="23">
        <v>480000</v>
      </c>
      <c r="W19" s="17">
        <v>42079</v>
      </c>
      <c r="X19" s="17"/>
      <c r="Y19" s="22">
        <f t="shared" si="1"/>
        <v>0</v>
      </c>
      <c r="Z19" s="83"/>
    </row>
    <row r="20" spans="1:26" s="124" customFormat="1" ht="31.2">
      <c r="A20" s="27" t="s">
        <v>341</v>
      </c>
      <c r="B20" s="128">
        <v>42079</v>
      </c>
      <c r="C20" s="129" t="s">
        <v>342</v>
      </c>
      <c r="D20" s="62" t="s">
        <v>343</v>
      </c>
      <c r="E20" s="40" t="s">
        <v>195</v>
      </c>
      <c r="F20" s="21" t="s">
        <v>360</v>
      </c>
      <c r="G20" s="23" t="s">
        <v>275</v>
      </c>
      <c r="H20" s="23"/>
      <c r="I20" s="123"/>
      <c r="J20" s="23">
        <v>1440000</v>
      </c>
      <c r="K20" s="24">
        <v>1000000</v>
      </c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0"/>
        <v>2440000</v>
      </c>
      <c r="V20" s="23">
        <v>2440000</v>
      </c>
      <c r="W20" s="17">
        <v>42177</v>
      </c>
      <c r="X20" s="17"/>
      <c r="Y20" s="22">
        <f t="shared" si="1"/>
        <v>0</v>
      </c>
      <c r="Z20" s="83"/>
    </row>
    <row r="21" spans="1:26" ht="41.4">
      <c r="A21" s="27" t="s">
        <v>424</v>
      </c>
      <c r="B21" s="17">
        <v>42079</v>
      </c>
      <c r="C21" s="18" t="s">
        <v>423</v>
      </c>
      <c r="D21" s="139">
        <v>936036733</v>
      </c>
      <c r="E21" s="40" t="s">
        <v>195</v>
      </c>
      <c r="F21" s="21" t="s">
        <v>420</v>
      </c>
      <c r="G21" s="22" t="s">
        <v>275</v>
      </c>
      <c r="H21" s="23"/>
      <c r="I21" s="57"/>
      <c r="J21" s="23">
        <v>1440000</v>
      </c>
      <c r="K21" s="24">
        <v>1000000</v>
      </c>
      <c r="L21" s="57"/>
      <c r="M21" s="57"/>
      <c r="N21" s="57"/>
      <c r="O21" s="57"/>
      <c r="P21" s="57"/>
      <c r="Q21" s="57"/>
      <c r="R21" s="57"/>
      <c r="S21" s="57"/>
      <c r="T21" s="24"/>
      <c r="U21" s="16">
        <f t="shared" ref="U21" si="3">+SUM(H21:T21)</f>
        <v>2440000</v>
      </c>
      <c r="V21" s="57"/>
      <c r="W21" s="57"/>
      <c r="X21" s="57"/>
      <c r="Y21" s="22">
        <f t="shared" ref="Y21" si="4">U21-V21</f>
        <v>2440000</v>
      </c>
      <c r="Z21" s="57"/>
    </row>
    <row r="22" spans="1:26" s="124" customFormat="1" ht="31.2">
      <c r="A22" s="27" t="s">
        <v>344</v>
      </c>
      <c r="B22" s="128">
        <v>42079</v>
      </c>
      <c r="C22" s="129" t="s">
        <v>345</v>
      </c>
      <c r="D22" s="62" t="s">
        <v>346</v>
      </c>
      <c r="E22" s="40" t="s">
        <v>347</v>
      </c>
      <c r="F22" s="21" t="s">
        <v>586</v>
      </c>
      <c r="G22" s="23" t="s">
        <v>28</v>
      </c>
      <c r="H22" s="23">
        <v>250000</v>
      </c>
      <c r="I22" s="123"/>
      <c r="J22" s="23">
        <v>1920000</v>
      </c>
      <c r="K22" s="24">
        <v>2189000</v>
      </c>
      <c r="L22" s="123"/>
      <c r="M22" s="123"/>
      <c r="N22" s="27"/>
      <c r="O22" s="27"/>
      <c r="P22" s="27"/>
      <c r="Q22" s="27"/>
      <c r="R22" s="27"/>
      <c r="S22" s="27"/>
      <c r="T22" s="24"/>
      <c r="U22" s="16">
        <f t="shared" si="0"/>
        <v>4359000</v>
      </c>
      <c r="V22" s="23">
        <v>2210000</v>
      </c>
      <c r="W22" s="17">
        <v>42081</v>
      </c>
      <c r="X22" s="17"/>
      <c r="Y22" s="22">
        <f t="shared" si="1"/>
        <v>2149000</v>
      </c>
      <c r="Z22" s="62" t="s">
        <v>362</v>
      </c>
    </row>
    <row r="23" spans="1:26" s="124" customFormat="1" ht="31.2">
      <c r="A23" s="64" t="s">
        <v>352</v>
      </c>
      <c r="B23" s="134">
        <v>42080</v>
      </c>
      <c r="C23" s="135" t="s">
        <v>353</v>
      </c>
      <c r="D23" s="77"/>
      <c r="E23" s="77" t="s">
        <v>224</v>
      </c>
      <c r="F23" s="68" t="s">
        <v>354</v>
      </c>
      <c r="G23" s="70" t="s">
        <v>62</v>
      </c>
      <c r="H23" s="70"/>
      <c r="I23" s="95"/>
      <c r="J23" s="70">
        <v>576000</v>
      </c>
      <c r="K23" s="95"/>
      <c r="L23" s="95"/>
      <c r="M23" s="95"/>
      <c r="N23" s="64"/>
      <c r="O23" s="64"/>
      <c r="P23" s="64"/>
      <c r="Q23" s="64"/>
      <c r="R23" s="64"/>
      <c r="S23" s="64"/>
      <c r="T23" s="90">
        <v>57600</v>
      </c>
      <c r="U23" s="72">
        <f t="shared" si="0"/>
        <v>633600</v>
      </c>
      <c r="V23" s="70">
        <v>633600</v>
      </c>
      <c r="W23" s="65">
        <v>42116</v>
      </c>
      <c r="X23" s="65" t="s">
        <v>512</v>
      </c>
      <c r="Y23" s="69">
        <f t="shared" si="1"/>
        <v>0</v>
      </c>
      <c r="Z23" s="88"/>
    </row>
    <row r="24" spans="1:26" s="124" customFormat="1" ht="31.2">
      <c r="A24" s="23" t="s">
        <v>355</v>
      </c>
      <c r="B24" s="128">
        <v>42080</v>
      </c>
      <c r="C24" s="129" t="s">
        <v>356</v>
      </c>
      <c r="D24" s="62" t="s">
        <v>357</v>
      </c>
      <c r="E24" s="40" t="s">
        <v>361</v>
      </c>
      <c r="F24" s="21" t="s">
        <v>358</v>
      </c>
      <c r="G24" s="23" t="s">
        <v>125</v>
      </c>
      <c r="H24" s="23">
        <v>250000</v>
      </c>
      <c r="I24" s="123"/>
      <c r="J24" s="23">
        <v>1920000</v>
      </c>
      <c r="K24" s="24">
        <v>1000000</v>
      </c>
      <c r="L24" s="123"/>
      <c r="M24" s="123"/>
      <c r="N24" s="27"/>
      <c r="O24" s="27"/>
      <c r="P24" s="27"/>
      <c r="Q24" s="27"/>
      <c r="R24" s="27"/>
      <c r="S24" s="27"/>
      <c r="T24" s="24"/>
      <c r="U24" s="16">
        <f t="shared" si="0"/>
        <v>3170000</v>
      </c>
      <c r="V24" s="23">
        <f>1585000</f>
        <v>1585000</v>
      </c>
      <c r="W24" s="17">
        <v>42080</v>
      </c>
      <c r="X24" s="17"/>
      <c r="Y24" s="22">
        <f t="shared" si="1"/>
        <v>1585000</v>
      </c>
      <c r="Z24" s="83"/>
    </row>
    <row r="25" spans="1:26" s="124" customFormat="1" ht="46.8">
      <c r="A25" s="23" t="s">
        <v>363</v>
      </c>
      <c r="B25" s="128">
        <v>42081</v>
      </c>
      <c r="C25" s="18" t="s">
        <v>283</v>
      </c>
      <c r="D25" s="62"/>
      <c r="E25" s="40" t="s">
        <v>319</v>
      </c>
      <c r="F25" s="21" t="s">
        <v>284</v>
      </c>
      <c r="G25" s="23" t="s">
        <v>28</v>
      </c>
      <c r="H25" s="23"/>
      <c r="I25" s="123"/>
      <c r="J25" s="23"/>
      <c r="K25" s="24">
        <v>1000000</v>
      </c>
      <c r="L25" s="123"/>
      <c r="M25" s="123"/>
      <c r="N25" s="27"/>
      <c r="O25" s="27"/>
      <c r="P25" s="27"/>
      <c r="Q25" s="27"/>
      <c r="R25" s="27"/>
      <c r="S25" s="27"/>
      <c r="T25" s="24"/>
      <c r="U25" s="16">
        <f t="shared" si="0"/>
        <v>1000000</v>
      </c>
      <c r="V25" s="23">
        <v>1000000</v>
      </c>
      <c r="W25" s="17">
        <v>42083</v>
      </c>
      <c r="X25" s="17"/>
      <c r="Y25" s="22">
        <f t="shared" si="1"/>
        <v>0</v>
      </c>
      <c r="Z25" s="83"/>
    </row>
    <row r="26" spans="1:26" s="124" customFormat="1" ht="27.6">
      <c r="A26" s="27"/>
      <c r="B26" s="128">
        <v>42082</v>
      </c>
      <c r="C26" s="129" t="s">
        <v>364</v>
      </c>
      <c r="D26" s="62"/>
      <c r="E26" s="40" t="s">
        <v>310</v>
      </c>
      <c r="F26" s="21" t="s">
        <v>365</v>
      </c>
      <c r="G26" s="23" t="s">
        <v>91</v>
      </c>
      <c r="H26" s="23">
        <v>480000</v>
      </c>
      <c r="I26" s="123"/>
      <c r="J26" s="23"/>
      <c r="K26" s="24"/>
      <c r="L26" s="123"/>
      <c r="M26" s="123"/>
      <c r="N26" s="27"/>
      <c r="O26" s="27"/>
      <c r="P26" s="27"/>
      <c r="Q26" s="27"/>
      <c r="R26" s="27"/>
      <c r="S26" s="27"/>
      <c r="T26" s="24"/>
      <c r="U26" s="16">
        <f t="shared" si="0"/>
        <v>480000</v>
      </c>
      <c r="V26" s="23">
        <v>480000</v>
      </c>
      <c r="W26" s="17">
        <v>42081</v>
      </c>
      <c r="X26" s="17"/>
      <c r="Y26" s="22">
        <f t="shared" si="1"/>
        <v>0</v>
      </c>
      <c r="Z26" s="83"/>
    </row>
    <row r="27" spans="1:26" s="124" customFormat="1" ht="27.6">
      <c r="A27" s="27"/>
      <c r="B27" s="128">
        <v>42082</v>
      </c>
      <c r="C27" s="129" t="s">
        <v>367</v>
      </c>
      <c r="D27" s="62"/>
      <c r="E27" s="40" t="s">
        <v>319</v>
      </c>
      <c r="F27" s="21" t="s">
        <v>218</v>
      </c>
      <c r="G27" s="23" t="s">
        <v>28</v>
      </c>
      <c r="H27" s="23"/>
      <c r="I27" s="123"/>
      <c r="J27" s="23"/>
      <c r="K27" s="24">
        <v>1000000</v>
      </c>
      <c r="L27" s="123"/>
      <c r="M27" s="123"/>
      <c r="N27" s="27"/>
      <c r="O27" s="27"/>
      <c r="P27" s="27"/>
      <c r="Q27" s="27"/>
      <c r="R27" s="27"/>
      <c r="S27" s="27"/>
      <c r="T27" s="24"/>
      <c r="U27" s="16">
        <f t="shared" si="0"/>
        <v>1000000</v>
      </c>
      <c r="V27" s="23">
        <v>1000000</v>
      </c>
      <c r="W27" s="17">
        <v>42093</v>
      </c>
      <c r="X27" s="17"/>
      <c r="Y27" s="22">
        <f t="shared" si="1"/>
        <v>0</v>
      </c>
      <c r="Z27" s="83"/>
    </row>
    <row r="28" spans="1:26" s="124" customFormat="1" ht="31.2">
      <c r="A28" s="23" t="s">
        <v>377</v>
      </c>
      <c r="B28" s="128">
        <v>42082</v>
      </c>
      <c r="C28" s="129" t="s">
        <v>372</v>
      </c>
      <c r="D28" s="62" t="s">
        <v>373</v>
      </c>
      <c r="E28" s="40" t="s">
        <v>361</v>
      </c>
      <c r="F28" s="21" t="s">
        <v>437</v>
      </c>
      <c r="G28" s="23" t="s">
        <v>28</v>
      </c>
      <c r="H28" s="23">
        <v>830000</v>
      </c>
      <c r="I28" s="123"/>
      <c r="J28" s="23">
        <v>900000</v>
      </c>
      <c r="K28" s="24">
        <v>120000</v>
      </c>
      <c r="L28" s="123"/>
      <c r="M28" s="123"/>
      <c r="N28" s="27"/>
      <c r="O28" s="27"/>
      <c r="P28" s="27"/>
      <c r="Q28" s="27"/>
      <c r="R28" s="27"/>
      <c r="S28" s="27"/>
      <c r="T28" s="24"/>
      <c r="U28" s="16">
        <f t="shared" si="0"/>
        <v>1850000</v>
      </c>
      <c r="V28" s="23">
        <v>1850000</v>
      </c>
      <c r="W28" s="17">
        <v>42083</v>
      </c>
      <c r="X28" s="17"/>
      <c r="Y28" s="22">
        <f t="shared" si="1"/>
        <v>0</v>
      </c>
      <c r="Z28" s="83"/>
    </row>
    <row r="29" spans="1:26" s="124" customFormat="1" ht="31.2">
      <c r="A29" s="23" t="s">
        <v>368</v>
      </c>
      <c r="B29" s="128">
        <v>42082</v>
      </c>
      <c r="C29" s="129" t="s">
        <v>369</v>
      </c>
      <c r="D29" s="136" t="s">
        <v>370</v>
      </c>
      <c r="E29" s="40" t="s">
        <v>224</v>
      </c>
      <c r="F29" s="21" t="s">
        <v>371</v>
      </c>
      <c r="G29" s="23" t="s">
        <v>91</v>
      </c>
      <c r="H29" s="23"/>
      <c r="I29" s="123"/>
      <c r="J29" s="23">
        <v>0</v>
      </c>
      <c r="K29" s="24">
        <v>9000000</v>
      </c>
      <c r="L29" s="123"/>
      <c r="M29" s="123"/>
      <c r="N29" s="27"/>
      <c r="O29" s="27"/>
      <c r="P29" s="27"/>
      <c r="Q29" s="27"/>
      <c r="R29" s="27"/>
      <c r="S29" s="27"/>
      <c r="T29" s="24"/>
      <c r="U29" s="16">
        <f t="shared" si="0"/>
        <v>9000000</v>
      </c>
      <c r="V29" s="23">
        <f>2000000+7000000</f>
        <v>9000000</v>
      </c>
      <c r="W29" s="17" t="s">
        <v>853</v>
      </c>
      <c r="X29" s="17"/>
      <c r="Y29" s="22">
        <f t="shared" si="1"/>
        <v>0</v>
      </c>
      <c r="Z29" s="83"/>
    </row>
    <row r="30" spans="1:26" s="124" customFormat="1" ht="31.2">
      <c r="A30" s="23" t="s">
        <v>374</v>
      </c>
      <c r="B30" s="128">
        <v>42083</v>
      </c>
      <c r="C30" s="129" t="s">
        <v>375</v>
      </c>
      <c r="D30" s="136">
        <v>986277886</v>
      </c>
      <c r="E30" s="40" t="s">
        <v>361</v>
      </c>
      <c r="F30" s="21" t="s">
        <v>376</v>
      </c>
      <c r="G30" s="23" t="s">
        <v>125</v>
      </c>
      <c r="H30" s="23">
        <v>830000</v>
      </c>
      <c r="I30" s="123"/>
      <c r="J30" s="23">
        <v>660000</v>
      </c>
      <c r="K30" s="24">
        <v>2000000</v>
      </c>
      <c r="L30" s="123"/>
      <c r="M30" s="123"/>
      <c r="N30" s="27"/>
      <c r="O30" s="27"/>
      <c r="P30" s="27"/>
      <c r="Q30" s="27"/>
      <c r="R30" s="27"/>
      <c r="S30" s="27"/>
      <c r="T30" s="24"/>
      <c r="U30" s="16">
        <f t="shared" si="0"/>
        <v>3490000</v>
      </c>
      <c r="V30" s="23">
        <f>1745000+1745000</f>
        <v>3490000</v>
      </c>
      <c r="W30" s="17" t="s">
        <v>914</v>
      </c>
      <c r="X30" s="17"/>
      <c r="Y30" s="22">
        <f t="shared" si="1"/>
        <v>0</v>
      </c>
      <c r="Z30" s="83"/>
    </row>
    <row r="31" spans="1:26" s="124" customFormat="1" ht="62.4">
      <c r="A31" s="23" t="s">
        <v>378</v>
      </c>
      <c r="B31" s="128">
        <v>42083</v>
      </c>
      <c r="C31" s="129" t="s">
        <v>43</v>
      </c>
      <c r="D31" s="136"/>
      <c r="E31" s="40" t="s">
        <v>144</v>
      </c>
      <c r="F31" s="21" t="s">
        <v>46</v>
      </c>
      <c r="G31" s="23" t="s">
        <v>47</v>
      </c>
      <c r="H31" s="23"/>
      <c r="I31" s="123"/>
      <c r="J31" s="23"/>
      <c r="K31" s="24">
        <v>7690000</v>
      </c>
      <c r="L31" s="123"/>
      <c r="M31" s="123"/>
      <c r="N31" s="27"/>
      <c r="O31" s="27"/>
      <c r="P31" s="27"/>
      <c r="Q31" s="27"/>
      <c r="R31" s="27"/>
      <c r="S31" s="27"/>
      <c r="T31" s="24"/>
      <c r="U31" s="16">
        <f t="shared" si="0"/>
        <v>7690000</v>
      </c>
      <c r="V31" s="23">
        <v>3845000</v>
      </c>
      <c r="W31" s="17">
        <v>42089</v>
      </c>
      <c r="X31" s="17"/>
      <c r="Y31" s="22">
        <f t="shared" si="1"/>
        <v>3845000</v>
      </c>
      <c r="Z31" s="62" t="s">
        <v>397</v>
      </c>
    </row>
    <row r="32" spans="1:26" s="124" customFormat="1" ht="31.2">
      <c r="A32" s="23" t="s">
        <v>379</v>
      </c>
      <c r="B32" s="128">
        <v>42083</v>
      </c>
      <c r="C32" s="129" t="s">
        <v>381</v>
      </c>
      <c r="D32" s="62" t="s">
        <v>380</v>
      </c>
      <c r="E32" s="40" t="s">
        <v>361</v>
      </c>
      <c r="F32" s="21"/>
      <c r="G32" s="23" t="s">
        <v>140</v>
      </c>
      <c r="H32" s="23"/>
      <c r="I32" s="123"/>
      <c r="J32" s="23">
        <v>1440000</v>
      </c>
      <c r="K32" s="24">
        <v>1000000</v>
      </c>
      <c r="L32" s="123"/>
      <c r="M32" s="123"/>
      <c r="N32" s="27"/>
      <c r="O32" s="27"/>
      <c r="P32" s="27"/>
      <c r="Q32" s="27"/>
      <c r="R32" s="27"/>
      <c r="S32" s="27"/>
      <c r="T32" s="24"/>
      <c r="U32" s="16">
        <f t="shared" si="0"/>
        <v>2440000</v>
      </c>
      <c r="V32" s="23">
        <f>1000000</f>
        <v>1000000</v>
      </c>
      <c r="W32" s="17">
        <v>42086</v>
      </c>
      <c r="X32" s="17"/>
      <c r="Y32" s="22">
        <f t="shared" si="1"/>
        <v>1440000</v>
      </c>
      <c r="Z32" s="83"/>
    </row>
    <row r="33" spans="1:27" s="157" customFormat="1" ht="31.2">
      <c r="A33" s="145" t="s">
        <v>439</v>
      </c>
      <c r="B33" s="146">
        <v>42083</v>
      </c>
      <c r="C33" s="147" t="s">
        <v>440</v>
      </c>
      <c r="D33" s="148" t="s">
        <v>441</v>
      </c>
      <c r="E33" s="149" t="s">
        <v>51</v>
      </c>
      <c r="F33" s="150" t="s">
        <v>442</v>
      </c>
      <c r="G33" s="151" t="s">
        <v>102</v>
      </c>
      <c r="H33" s="152"/>
      <c r="I33" s="153"/>
      <c r="J33" s="152"/>
      <c r="K33" s="153">
        <v>1000000</v>
      </c>
      <c r="L33" s="153"/>
      <c r="M33" s="152"/>
      <c r="N33" s="153"/>
      <c r="O33" s="153"/>
      <c r="P33" s="153"/>
      <c r="Q33" s="153"/>
      <c r="R33" s="153"/>
      <c r="S33" s="153"/>
      <c r="T33" s="153"/>
      <c r="U33" s="154">
        <f t="shared" ref="U33" si="5">+SUM(H33:T33)</f>
        <v>1000000</v>
      </c>
      <c r="V33" s="152">
        <v>1000000</v>
      </c>
      <c r="W33" s="146" t="s">
        <v>443</v>
      </c>
      <c r="X33" s="146"/>
      <c r="Y33" s="151">
        <f t="shared" si="1"/>
        <v>0</v>
      </c>
      <c r="Z33" s="155" t="s">
        <v>678</v>
      </c>
      <c r="AA33" s="156"/>
    </row>
    <row r="34" spans="1:27" s="124" customFormat="1" ht="46.8">
      <c r="A34" s="23" t="s">
        <v>470</v>
      </c>
      <c r="B34" s="128">
        <v>42083</v>
      </c>
      <c r="C34" s="129" t="s">
        <v>383</v>
      </c>
      <c r="D34" s="62" t="s">
        <v>471</v>
      </c>
      <c r="E34" s="40" t="s">
        <v>361</v>
      </c>
      <c r="F34" s="21" t="s">
        <v>382</v>
      </c>
      <c r="G34" s="23" t="s">
        <v>94</v>
      </c>
      <c r="H34" s="23">
        <v>250000</v>
      </c>
      <c r="I34" s="123"/>
      <c r="J34" s="23">
        <v>0</v>
      </c>
      <c r="K34" s="24">
        <v>3750000</v>
      </c>
      <c r="L34" s="123"/>
      <c r="M34" s="123"/>
      <c r="N34" s="27"/>
      <c r="O34" s="27"/>
      <c r="P34" s="27"/>
      <c r="Q34" s="27"/>
      <c r="R34" s="27"/>
      <c r="S34" s="27"/>
      <c r="T34" s="24"/>
      <c r="U34" s="16">
        <f t="shared" si="0"/>
        <v>4000000</v>
      </c>
      <c r="V34" s="23">
        <v>4000000</v>
      </c>
      <c r="W34" s="17">
        <v>42111</v>
      </c>
      <c r="X34" s="17"/>
      <c r="Y34" s="22">
        <f t="shared" si="1"/>
        <v>0</v>
      </c>
      <c r="Z34" s="83"/>
    </row>
    <row r="35" spans="1:27" s="124" customFormat="1" ht="31.2">
      <c r="A35" s="23" t="s">
        <v>384</v>
      </c>
      <c r="B35" s="128">
        <v>42087</v>
      </c>
      <c r="C35" s="129" t="s">
        <v>385</v>
      </c>
      <c r="D35" s="62" t="s">
        <v>386</v>
      </c>
      <c r="E35" s="40" t="s">
        <v>387</v>
      </c>
      <c r="F35" s="21" t="s">
        <v>409</v>
      </c>
      <c r="G35" s="23" t="s">
        <v>28</v>
      </c>
      <c r="H35" s="23">
        <v>250000</v>
      </c>
      <c r="I35" s="123"/>
      <c r="J35" s="23"/>
      <c r="K35" s="24">
        <v>2000000</v>
      </c>
      <c r="L35" s="123"/>
      <c r="M35" s="123"/>
      <c r="N35" s="27"/>
      <c r="O35" s="27"/>
      <c r="P35" s="27"/>
      <c r="Q35" s="27"/>
      <c r="R35" s="27"/>
      <c r="S35" s="27"/>
      <c r="T35" s="24"/>
      <c r="U35" s="16">
        <f t="shared" si="0"/>
        <v>2250000</v>
      </c>
      <c r="V35" s="23">
        <f>1000000+1250000</f>
        <v>2250000</v>
      </c>
      <c r="W35" s="17" t="s">
        <v>518</v>
      </c>
      <c r="X35" s="17"/>
      <c r="Y35" s="22">
        <f t="shared" si="1"/>
        <v>0</v>
      </c>
      <c r="Z35" s="83"/>
    </row>
    <row r="36" spans="1:27" s="124" customFormat="1" ht="31.2">
      <c r="A36" s="64" t="s">
        <v>388</v>
      </c>
      <c r="B36" s="91">
        <v>42087</v>
      </c>
      <c r="C36" s="92" t="s">
        <v>389</v>
      </c>
      <c r="D36" s="88" t="s">
        <v>108</v>
      </c>
      <c r="E36" s="88" t="s">
        <v>391</v>
      </c>
      <c r="F36" s="93" t="s">
        <v>390</v>
      </c>
      <c r="G36" s="64" t="s">
        <v>62</v>
      </c>
      <c r="H36" s="64"/>
      <c r="I36" s="95"/>
      <c r="J36" s="64"/>
      <c r="K36" s="95"/>
      <c r="L36" s="95"/>
      <c r="M36" s="95"/>
      <c r="N36" s="64"/>
      <c r="O36" s="64"/>
      <c r="P36" s="64"/>
      <c r="Q36" s="64">
        <v>1600000</v>
      </c>
      <c r="R36" s="64"/>
      <c r="S36" s="64"/>
      <c r="T36" s="93">
        <v>160000</v>
      </c>
      <c r="U36" s="93"/>
      <c r="V36" s="64"/>
      <c r="W36" s="96"/>
      <c r="X36" s="96"/>
      <c r="Y36" s="64">
        <f t="shared" si="1"/>
        <v>0</v>
      </c>
      <c r="Z36" s="88" t="s">
        <v>672</v>
      </c>
    </row>
    <row r="37" spans="1:27" s="124" customFormat="1" ht="31.2">
      <c r="A37" s="70" t="s">
        <v>392</v>
      </c>
      <c r="B37" s="134">
        <v>42089</v>
      </c>
      <c r="C37" s="135" t="s">
        <v>676</v>
      </c>
      <c r="D37" s="137"/>
      <c r="E37" s="137" t="s">
        <v>361</v>
      </c>
      <c r="F37" s="68" t="s">
        <v>393</v>
      </c>
      <c r="G37" s="70" t="s">
        <v>62</v>
      </c>
      <c r="H37" s="70">
        <v>630000</v>
      </c>
      <c r="I37" s="95"/>
      <c r="J37" s="70">
        <v>768000</v>
      </c>
      <c r="K37" s="90">
        <v>400000</v>
      </c>
      <c r="L37" s="95"/>
      <c r="M37" s="95"/>
      <c r="N37" s="64"/>
      <c r="O37" s="64"/>
      <c r="P37" s="64"/>
      <c r="Q37" s="64"/>
      <c r="R37" s="64"/>
      <c r="S37" s="64"/>
      <c r="T37" s="90">
        <v>76800</v>
      </c>
      <c r="U37" s="72">
        <f t="shared" si="0"/>
        <v>1874800</v>
      </c>
      <c r="V37" s="70">
        <v>1874800</v>
      </c>
      <c r="W37" s="65">
        <v>42153</v>
      </c>
      <c r="X37" s="65" t="s">
        <v>563</v>
      </c>
      <c r="Y37" s="69">
        <f t="shared" si="1"/>
        <v>0</v>
      </c>
      <c r="Z37" s="88"/>
    </row>
    <row r="38" spans="1:27" s="124" customFormat="1" ht="31.2">
      <c r="A38" s="23" t="s">
        <v>394</v>
      </c>
      <c r="B38" s="128">
        <v>42089</v>
      </c>
      <c r="C38" s="129" t="s">
        <v>395</v>
      </c>
      <c r="D38" s="136"/>
      <c r="E38" s="40" t="s">
        <v>361</v>
      </c>
      <c r="F38" s="21" t="s">
        <v>396</v>
      </c>
      <c r="G38" s="23" t="s">
        <v>125</v>
      </c>
      <c r="H38" s="23">
        <v>250000</v>
      </c>
      <c r="I38" s="123"/>
      <c r="J38" s="23">
        <v>4320000</v>
      </c>
      <c r="K38" s="24">
        <v>2430000</v>
      </c>
      <c r="L38" s="123"/>
      <c r="M38" s="123"/>
      <c r="N38" s="27"/>
      <c r="O38" s="27"/>
      <c r="P38" s="27"/>
      <c r="Q38" s="27"/>
      <c r="R38" s="27"/>
      <c r="S38" s="27"/>
      <c r="T38" s="24"/>
      <c r="U38" s="16">
        <f t="shared" si="0"/>
        <v>7000000</v>
      </c>
      <c r="V38" s="23">
        <f>3500000</f>
        <v>3500000</v>
      </c>
      <c r="W38" s="17">
        <v>42089</v>
      </c>
      <c r="X38" s="17"/>
      <c r="Y38" s="22">
        <f t="shared" si="1"/>
        <v>3500000</v>
      </c>
      <c r="Z38" s="83"/>
    </row>
    <row r="39" spans="1:27" s="124" customFormat="1" ht="31.2">
      <c r="A39" s="27"/>
      <c r="B39" s="128">
        <v>42089</v>
      </c>
      <c r="C39" s="129" t="s">
        <v>398</v>
      </c>
      <c r="D39" s="62"/>
      <c r="E39" s="40" t="s">
        <v>361</v>
      </c>
      <c r="F39" s="21" t="s">
        <v>438</v>
      </c>
      <c r="G39" s="23" t="s">
        <v>125</v>
      </c>
      <c r="H39" s="23">
        <v>250000</v>
      </c>
      <c r="I39" s="123"/>
      <c r="J39" s="23">
        <v>1440000</v>
      </c>
      <c r="K39" s="24"/>
      <c r="L39" s="123"/>
      <c r="M39" s="123"/>
      <c r="N39" s="27"/>
      <c r="O39" s="27"/>
      <c r="P39" s="27"/>
      <c r="Q39" s="27"/>
      <c r="R39" s="27"/>
      <c r="S39" s="27"/>
      <c r="T39" s="24"/>
      <c r="U39" s="16">
        <f t="shared" si="0"/>
        <v>1690000</v>
      </c>
      <c r="V39" s="23">
        <v>1690000</v>
      </c>
      <c r="W39" s="17">
        <v>42089</v>
      </c>
      <c r="X39" s="17"/>
      <c r="Y39" s="22">
        <f t="shared" si="1"/>
        <v>0</v>
      </c>
      <c r="Z39" s="83"/>
      <c r="AA39" s="161" t="s">
        <v>591</v>
      </c>
    </row>
    <row r="40" spans="1:27" s="124" customFormat="1" ht="31.2">
      <c r="A40" s="27"/>
      <c r="B40" s="128">
        <v>42089</v>
      </c>
      <c r="C40" s="129" t="s">
        <v>402</v>
      </c>
      <c r="D40" s="62"/>
      <c r="E40" s="40" t="s">
        <v>96</v>
      </c>
      <c r="F40" s="21" t="s">
        <v>400</v>
      </c>
      <c r="G40" s="23" t="s">
        <v>140</v>
      </c>
      <c r="H40" s="23">
        <v>250000</v>
      </c>
      <c r="I40" s="123"/>
      <c r="J40" s="23">
        <v>1440000</v>
      </c>
      <c r="K40" s="24"/>
      <c r="L40" s="123"/>
      <c r="M40" s="123"/>
      <c r="N40" s="27"/>
      <c r="O40" s="27"/>
      <c r="P40" s="27"/>
      <c r="Q40" s="27"/>
      <c r="R40" s="27"/>
      <c r="S40" s="27"/>
      <c r="T40" s="24"/>
      <c r="U40" s="16">
        <f t="shared" si="0"/>
        <v>1690000</v>
      </c>
      <c r="V40" s="23">
        <f>500000+1190000</f>
        <v>1690000</v>
      </c>
      <c r="W40" s="17" t="s">
        <v>490</v>
      </c>
      <c r="X40" s="17"/>
      <c r="Y40" s="22">
        <f t="shared" si="1"/>
        <v>0</v>
      </c>
      <c r="Z40" s="83"/>
    </row>
    <row r="41" spans="1:27" s="63" customFormat="1" ht="31.2">
      <c r="A41" s="23" t="s">
        <v>403</v>
      </c>
      <c r="B41" s="42">
        <v>42094</v>
      </c>
      <c r="C41" s="125" t="s">
        <v>404</v>
      </c>
      <c r="D41" s="20"/>
      <c r="E41" s="40" t="s">
        <v>361</v>
      </c>
      <c r="F41" s="126" t="s">
        <v>834</v>
      </c>
      <c r="G41" s="22" t="s">
        <v>140</v>
      </c>
      <c r="H41" s="23">
        <v>830000</v>
      </c>
      <c r="I41" s="121"/>
      <c r="J41" s="23"/>
      <c r="K41" s="24">
        <v>2670000</v>
      </c>
      <c r="L41" s="121"/>
      <c r="M41" s="121"/>
      <c r="N41" s="121"/>
      <c r="O41" s="121"/>
      <c r="P41" s="24"/>
      <c r="Q41" s="24"/>
      <c r="R41" s="121"/>
      <c r="S41" s="121"/>
      <c r="T41" s="24"/>
      <c r="U41" s="16">
        <f t="shared" si="0"/>
        <v>3500000</v>
      </c>
      <c r="V41" s="23">
        <f>1750000</f>
        <v>1750000</v>
      </c>
      <c r="W41" s="122">
        <v>42094</v>
      </c>
      <c r="X41" s="17"/>
      <c r="Y41" s="22" t="s">
        <v>493</v>
      </c>
      <c r="Z41" s="33"/>
      <c r="AA41" s="75"/>
    </row>
    <row r="42" spans="1:27" ht="31.2">
      <c r="A42" s="27" t="s">
        <v>405</v>
      </c>
      <c r="B42" s="17">
        <v>42094</v>
      </c>
      <c r="C42" s="18" t="s">
        <v>406</v>
      </c>
      <c r="D42" s="20"/>
      <c r="E42" s="40" t="s">
        <v>361</v>
      </c>
      <c r="F42" s="21" t="s">
        <v>407</v>
      </c>
      <c r="G42" s="22" t="s">
        <v>91</v>
      </c>
      <c r="H42" s="23">
        <v>830000</v>
      </c>
      <c r="I42" s="57"/>
      <c r="J42" s="23"/>
      <c r="K42" s="24">
        <v>4000000</v>
      </c>
      <c r="L42" s="57"/>
      <c r="M42" s="57"/>
      <c r="N42" s="57"/>
      <c r="O42" s="57"/>
      <c r="P42" s="57"/>
      <c r="Q42" s="57"/>
      <c r="R42" s="57"/>
      <c r="S42" s="57"/>
      <c r="T42" s="24"/>
      <c r="U42" s="16">
        <f t="shared" ref="U42" si="6">+SUM(H42:T42)</f>
        <v>4830000</v>
      </c>
      <c r="V42" s="23">
        <f>2830000+2000000</f>
        <v>4830000</v>
      </c>
      <c r="W42" s="17" t="s">
        <v>534</v>
      </c>
      <c r="X42" s="17"/>
      <c r="Y42" s="22">
        <f t="shared" si="1"/>
        <v>0</v>
      </c>
      <c r="Z42" s="57"/>
    </row>
    <row r="43" spans="1:27" ht="16.8">
      <c r="A43" s="27"/>
      <c r="B43" s="17"/>
      <c r="C43" s="18"/>
      <c r="D43" s="139"/>
      <c r="E43" s="28"/>
      <c r="F43" s="21"/>
      <c r="G43" s="22"/>
      <c r="H43" s="23"/>
      <c r="I43" s="57"/>
      <c r="J43" s="23"/>
      <c r="K43" s="24"/>
      <c r="L43" s="57"/>
      <c r="M43" s="57"/>
      <c r="N43" s="57"/>
      <c r="O43" s="57"/>
      <c r="P43" s="57"/>
      <c r="Q43" s="57"/>
      <c r="R43" s="57"/>
      <c r="S43" s="57"/>
      <c r="T43" s="24"/>
      <c r="U43" s="16"/>
      <c r="V43" s="57"/>
      <c r="W43" s="57"/>
      <c r="X43" s="57"/>
      <c r="Y43" s="22"/>
      <c r="Z43" s="57"/>
    </row>
    <row r="44" spans="1:27" ht="15.6">
      <c r="A44" s="27"/>
      <c r="B44" s="17"/>
      <c r="C44" s="79" t="s">
        <v>107</v>
      </c>
      <c r="D44" s="57"/>
      <c r="E44" s="57"/>
      <c r="F44" s="57"/>
      <c r="G44" s="57"/>
      <c r="H44" s="80">
        <f>SUM(H6:H43)</f>
        <v>8660000</v>
      </c>
      <c r="I44" s="80">
        <f t="shared" ref="I44:Y44" si="7">SUM(I6:I43)</f>
        <v>1200000</v>
      </c>
      <c r="J44" s="80">
        <f t="shared" si="7"/>
        <v>29824000</v>
      </c>
      <c r="K44" s="80">
        <f t="shared" si="7"/>
        <v>45249000</v>
      </c>
      <c r="L44" s="80">
        <f t="shared" si="7"/>
        <v>0</v>
      </c>
      <c r="M44" s="80">
        <f t="shared" si="7"/>
        <v>0</v>
      </c>
      <c r="N44" s="80">
        <f t="shared" si="7"/>
        <v>0</v>
      </c>
      <c r="O44" s="80">
        <f t="shared" si="7"/>
        <v>0</v>
      </c>
      <c r="P44" s="80">
        <f t="shared" si="7"/>
        <v>1840000</v>
      </c>
      <c r="Q44" s="80">
        <f t="shared" si="7"/>
        <v>1600000</v>
      </c>
      <c r="R44" s="80">
        <f t="shared" si="7"/>
        <v>0</v>
      </c>
      <c r="S44" s="80">
        <f t="shared" si="7"/>
        <v>0</v>
      </c>
      <c r="T44" s="80">
        <f t="shared" si="7"/>
        <v>587400</v>
      </c>
      <c r="U44" s="80">
        <f t="shared" si="7"/>
        <v>81861400</v>
      </c>
      <c r="V44" s="80">
        <f t="shared" si="7"/>
        <v>64307400</v>
      </c>
      <c r="W44" s="80"/>
      <c r="X44" s="80">
        <f t="shared" si="7"/>
        <v>0</v>
      </c>
      <c r="Y44" s="80">
        <f t="shared" si="7"/>
        <v>15804000</v>
      </c>
      <c r="Z44" s="57"/>
    </row>
    <row r="48" spans="1:27">
      <c r="O48" t="s">
        <v>95</v>
      </c>
      <c r="U48" s="78"/>
    </row>
    <row r="49" spans="1:1">
      <c r="A49" s="133" t="s">
        <v>327</v>
      </c>
    </row>
  </sheetData>
  <autoFilter ref="A5:Z44">
    <filterColumn colId="6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D11:F11 E38:E43 E1:E36">
    <cfRule type="containsText" dxfId="247" priority="27" stopIfTrue="1" operator="containsText" text="Gia hạn">
      <formula>NOT(ISERROR(SEARCH("Gia hạn",D1)))</formula>
    </cfRule>
    <cfRule type="cellIs" dxfId="246" priority="28" stopIfTrue="1" operator="equal">
      <formula>"Gia hạn"</formula>
    </cfRule>
  </conditionalFormatting>
  <conditionalFormatting sqref="F11:H11 G1:G41">
    <cfRule type="containsText" dxfId="245" priority="26" stopIfTrue="1" operator="containsText" text="THV">
      <formula>NOT(ISERROR(SEARCH("THV",F1)))</formula>
    </cfRule>
  </conditionalFormatting>
  <conditionalFormatting sqref="D11:F11 E38:E65494 E1:E36">
    <cfRule type="containsText" dxfId="244" priority="25" stopIfTrue="1" operator="containsText" text="gia hạn">
      <formula>NOT(ISERROR(SEARCH("gia hạn",D1)))</formula>
    </cfRule>
  </conditionalFormatting>
  <conditionalFormatting sqref="F11:H11 G1:G1048576">
    <cfRule type="containsText" dxfId="243" priority="24" operator="containsText" text="Tịnh">
      <formula>NOT(ISERROR(SEARCH("Tịnh",F1)))</formula>
    </cfRule>
  </conditionalFormatting>
  <conditionalFormatting sqref="G42">
    <cfRule type="containsText" dxfId="242" priority="8" stopIfTrue="1" operator="containsText" text="THV">
      <formula>NOT(ISERROR(SEARCH("THV",G42)))</formula>
    </cfRule>
  </conditionalFormatting>
  <conditionalFormatting sqref="G43">
    <cfRule type="containsText" dxfId="241" priority="7" stopIfTrue="1" operator="containsText" text="THV">
      <formula>NOT(ISERROR(SEARCH("THV",G43)))</formula>
    </cfRule>
  </conditionalFormatting>
  <conditionalFormatting sqref="G21">
    <cfRule type="containsText" dxfId="240" priority="6" stopIfTrue="1" operator="containsText" text="THV">
      <formula>NOT(ISERROR(SEARCH("THV",G21)))</formula>
    </cfRule>
  </conditionalFormatting>
  <conditionalFormatting sqref="E33:F33">
    <cfRule type="containsText" dxfId="239" priority="4" stopIfTrue="1" operator="containsText" text="Gia hạn">
      <formula>NOT(ISERROR(SEARCH("Gia hạn",E33)))</formula>
    </cfRule>
    <cfRule type="cellIs" dxfId="238" priority="5" stopIfTrue="1" operator="equal">
      <formula>"Gia hạn"</formula>
    </cfRule>
  </conditionalFormatting>
  <conditionalFormatting sqref="F33:G33">
    <cfRule type="containsText" dxfId="237" priority="3" stopIfTrue="1" operator="containsText" text="THV">
      <formula>NOT(ISERROR(SEARCH("THV",F33)))</formula>
    </cfRule>
  </conditionalFormatting>
  <conditionalFormatting sqref="E33:F33">
    <cfRule type="containsText" dxfId="236" priority="2" stopIfTrue="1" operator="containsText" text="gia hạn">
      <formula>NOT(ISERROR(SEARCH("gia hạn",E33)))</formula>
    </cfRule>
  </conditionalFormatting>
  <conditionalFormatting sqref="G33">
    <cfRule type="containsText" dxfId="235" priority="1" operator="containsText" text="Tịnh">
      <formula>NOT(ISERROR(SEARCH("Tịnh",G33)))</formula>
    </cfRule>
  </conditionalFormatting>
  <hyperlinks>
    <hyperlink ref="F12" r:id="rId1" display="http://www.medfatop.com/"/>
    <hyperlink ref="F14" r:id="rId2" display="www.goldideas.com.vn "/>
  </hyperlinks>
  <pageMargins left="0.7" right="0.7" top="0.75" bottom="0.75" header="0.3" footer="0.3"/>
  <pageSetup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pane xSplit="3" ySplit="5" topLeftCell="D30" activePane="bottomRight" state="frozen"/>
      <selection pane="topRight" activeCell="D1" sqref="D1"/>
      <selection pane="bottomLeft" activeCell="A6" sqref="A6"/>
      <selection pane="bottomRight" activeCell="A5" sqref="A5:XFD37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38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410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46.8">
      <c r="A6" s="27" t="s">
        <v>411</v>
      </c>
      <c r="B6" s="17">
        <v>42096</v>
      </c>
      <c r="C6" s="18" t="s">
        <v>412</v>
      </c>
      <c r="D6" s="52" t="s">
        <v>413</v>
      </c>
      <c r="E6" s="28" t="s">
        <v>361</v>
      </c>
      <c r="F6" s="21" t="s">
        <v>435</v>
      </c>
      <c r="G6" s="22" t="s">
        <v>91</v>
      </c>
      <c r="H6" s="23">
        <f>830000+500000</f>
        <v>1330000</v>
      </c>
      <c r="I6" s="24"/>
      <c r="J6" s="23">
        <v>480000</v>
      </c>
      <c r="K6" s="24">
        <f>13310000-H6-J6</f>
        <v>11500000</v>
      </c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:U35" si="0">+SUM(H6:T6)</f>
        <v>13310000</v>
      </c>
      <c r="V6" s="23">
        <f>7000000+6310000</f>
        <v>13310000</v>
      </c>
      <c r="W6" s="17" t="s">
        <v>852</v>
      </c>
      <c r="X6" s="17"/>
      <c r="Y6" s="22">
        <f>U6-V6</f>
        <v>0</v>
      </c>
      <c r="Z6" s="62"/>
      <c r="AA6" s="29"/>
    </row>
    <row r="7" spans="1:27" ht="31.2">
      <c r="A7" s="27" t="s">
        <v>415</v>
      </c>
      <c r="B7" s="17">
        <v>42096</v>
      </c>
      <c r="C7" s="18" t="s">
        <v>416</v>
      </c>
      <c r="D7" s="52" t="s">
        <v>417</v>
      </c>
      <c r="E7" s="28" t="s">
        <v>418</v>
      </c>
      <c r="F7" s="45" t="s">
        <v>419</v>
      </c>
      <c r="G7" s="22" t="s">
        <v>102</v>
      </c>
      <c r="H7" s="23">
        <v>250000</v>
      </c>
      <c r="I7" s="24"/>
      <c r="J7" s="23">
        <v>900000</v>
      </c>
      <c r="K7" s="24"/>
      <c r="L7" s="24"/>
      <c r="M7" s="23"/>
      <c r="N7" s="24"/>
      <c r="O7" s="24"/>
      <c r="P7" s="24"/>
      <c r="Q7" s="24"/>
      <c r="R7" s="24"/>
      <c r="S7" s="24"/>
      <c r="T7" s="24">
        <v>25000</v>
      </c>
      <c r="U7" s="16">
        <f t="shared" si="0"/>
        <v>1175000</v>
      </c>
      <c r="V7" s="23">
        <v>1175000</v>
      </c>
      <c r="W7" s="17">
        <v>42096</v>
      </c>
      <c r="X7" s="17" t="s">
        <v>414</v>
      </c>
      <c r="Y7" s="22">
        <f>U7-V7</f>
        <v>0</v>
      </c>
      <c r="Z7" s="18"/>
      <c r="AA7" s="29"/>
    </row>
    <row r="8" spans="1:27" ht="31.2">
      <c r="A8" s="64" t="s">
        <v>425</v>
      </c>
      <c r="B8" s="65">
        <v>42098</v>
      </c>
      <c r="C8" s="66" t="s">
        <v>427</v>
      </c>
      <c r="D8" s="67"/>
      <c r="E8" s="67" t="s">
        <v>361</v>
      </c>
      <c r="F8" s="140" t="s">
        <v>426</v>
      </c>
      <c r="G8" s="69" t="s">
        <v>62</v>
      </c>
      <c r="H8" s="70">
        <v>225000</v>
      </c>
      <c r="I8" s="90"/>
      <c r="J8" s="70">
        <v>576000</v>
      </c>
      <c r="K8" s="90"/>
      <c r="L8" s="90"/>
      <c r="M8" s="70"/>
      <c r="N8" s="90"/>
      <c r="O8" s="90"/>
      <c r="P8" s="90"/>
      <c r="Q8" s="90"/>
      <c r="R8" s="90"/>
      <c r="S8" s="90"/>
      <c r="T8" s="90">
        <v>80100</v>
      </c>
      <c r="U8" s="72">
        <f t="shared" si="0"/>
        <v>881100</v>
      </c>
      <c r="V8" s="70">
        <v>881100</v>
      </c>
      <c r="W8" s="65">
        <v>42153</v>
      </c>
      <c r="X8" s="74" t="s">
        <v>567</v>
      </c>
      <c r="Y8" s="69">
        <f t="shared" ref="Y8" si="1">U8-V8</f>
        <v>0</v>
      </c>
      <c r="Z8" s="18" t="s">
        <v>509</v>
      </c>
      <c r="AA8" s="29"/>
    </row>
    <row r="9" spans="1:27" s="63" customFormat="1" ht="46.8">
      <c r="A9" s="27"/>
      <c r="B9" s="17">
        <v>42099</v>
      </c>
      <c r="C9" s="129" t="s">
        <v>372</v>
      </c>
      <c r="D9" s="20"/>
      <c r="E9" s="20" t="s">
        <v>101</v>
      </c>
      <c r="F9" s="21" t="s">
        <v>436</v>
      </c>
      <c r="G9" s="22" t="s">
        <v>28</v>
      </c>
      <c r="H9" s="23">
        <f>250000+700000+830000</f>
        <v>1780000</v>
      </c>
      <c r="I9" s="24"/>
      <c r="J9" s="23"/>
      <c r="K9" s="24"/>
      <c r="L9" s="24"/>
      <c r="M9" s="23"/>
      <c r="N9" s="24"/>
      <c r="O9" s="24"/>
      <c r="P9" s="24"/>
      <c r="Q9" s="24"/>
      <c r="R9" s="24"/>
      <c r="S9" s="24"/>
      <c r="T9" s="24"/>
      <c r="U9" s="16">
        <f t="shared" si="0"/>
        <v>1780000</v>
      </c>
      <c r="V9" s="23">
        <f>1780000</f>
        <v>1780000</v>
      </c>
      <c r="W9" s="17">
        <v>42103</v>
      </c>
      <c r="X9" s="17"/>
      <c r="Y9" s="22">
        <f>U9-V9</f>
        <v>0</v>
      </c>
      <c r="Z9" s="18"/>
      <c r="AA9" s="29"/>
    </row>
    <row r="10" spans="1:27" ht="31.2">
      <c r="A10" s="27" t="s">
        <v>431</v>
      </c>
      <c r="B10" s="17">
        <v>42101</v>
      </c>
      <c r="C10" s="18" t="s">
        <v>432</v>
      </c>
      <c r="D10" s="28" t="s">
        <v>433</v>
      </c>
      <c r="E10" s="28" t="s">
        <v>361</v>
      </c>
      <c r="F10" s="141" t="s">
        <v>542</v>
      </c>
      <c r="G10" s="22" t="s">
        <v>102</v>
      </c>
      <c r="H10" s="23">
        <v>250000</v>
      </c>
      <c r="I10" s="57"/>
      <c r="J10" s="23">
        <v>0</v>
      </c>
      <c r="K10" s="24">
        <v>2250000</v>
      </c>
      <c r="L10" s="57"/>
      <c r="M10" s="57"/>
      <c r="N10" s="57"/>
      <c r="O10" s="57"/>
      <c r="P10" s="57"/>
      <c r="Q10" s="57"/>
      <c r="R10" s="76"/>
      <c r="S10" s="57"/>
      <c r="T10" s="24"/>
      <c r="U10" s="16">
        <f t="shared" si="0"/>
        <v>2500000</v>
      </c>
      <c r="V10" s="23">
        <f>1250000</f>
        <v>1250000</v>
      </c>
      <c r="W10" s="17" t="s">
        <v>519</v>
      </c>
      <c r="X10" s="17" t="s">
        <v>631</v>
      </c>
      <c r="Y10" s="22">
        <f t="shared" ref="Y10:Y11" si="2">U10-V10</f>
        <v>1250000</v>
      </c>
      <c r="Z10" s="82" t="s">
        <v>520</v>
      </c>
    </row>
    <row r="11" spans="1:27" ht="27.6">
      <c r="A11" s="27"/>
      <c r="B11" s="17"/>
      <c r="C11" s="18" t="s">
        <v>465</v>
      </c>
      <c r="D11" s="20">
        <v>939485485</v>
      </c>
      <c r="E11" s="28" t="s">
        <v>224</v>
      </c>
      <c r="F11" s="21" t="s">
        <v>466</v>
      </c>
      <c r="G11" s="22" t="s">
        <v>28</v>
      </c>
      <c r="H11" s="23"/>
      <c r="I11" s="57"/>
      <c r="J11" s="23">
        <v>1440000</v>
      </c>
      <c r="K11" s="24"/>
      <c r="L11" s="57"/>
      <c r="M11" s="57"/>
      <c r="N11" s="57"/>
      <c r="O11" s="57"/>
      <c r="P11" s="57"/>
      <c r="Q11" s="57"/>
      <c r="R11" s="76"/>
      <c r="S11" s="57"/>
      <c r="T11" s="24"/>
      <c r="U11" s="16">
        <f t="shared" si="0"/>
        <v>1440000</v>
      </c>
      <c r="V11" s="23">
        <v>1440000</v>
      </c>
      <c r="W11" s="17">
        <v>42119</v>
      </c>
      <c r="X11" s="17"/>
      <c r="Y11" s="22">
        <f t="shared" si="2"/>
        <v>0</v>
      </c>
      <c r="Z11" s="18"/>
    </row>
    <row r="12" spans="1:27" s="63" customFormat="1" ht="31.2">
      <c r="A12" s="64" t="s">
        <v>434</v>
      </c>
      <c r="B12" s="65">
        <v>42102</v>
      </c>
      <c r="C12" s="135" t="s">
        <v>389</v>
      </c>
      <c r="D12" s="99"/>
      <c r="E12" s="67" t="s">
        <v>224</v>
      </c>
      <c r="F12" s="68" t="s">
        <v>390</v>
      </c>
      <c r="G12" s="69" t="s">
        <v>62</v>
      </c>
      <c r="H12" s="70"/>
      <c r="I12" s="70"/>
      <c r="J12" s="70">
        <v>768000</v>
      </c>
      <c r="K12" s="90">
        <v>0</v>
      </c>
      <c r="L12" s="71"/>
      <c r="M12" s="71"/>
      <c r="N12" s="70"/>
      <c r="O12" s="70"/>
      <c r="P12" s="70"/>
      <c r="Q12" s="70"/>
      <c r="R12" s="70"/>
      <c r="S12" s="70"/>
      <c r="T12" s="90">
        <v>76800</v>
      </c>
      <c r="U12" s="72">
        <f t="shared" si="0"/>
        <v>844800</v>
      </c>
      <c r="V12" s="70">
        <v>844800</v>
      </c>
      <c r="W12" s="65">
        <v>42153</v>
      </c>
      <c r="X12" s="74" t="s">
        <v>564</v>
      </c>
      <c r="Y12" s="69">
        <f t="shared" ref="Y12:Y36" si="3">U12-V12</f>
        <v>0</v>
      </c>
      <c r="Z12" s="18" t="s">
        <v>509</v>
      </c>
    </row>
    <row r="13" spans="1:27" s="63" customFormat="1" ht="31.2">
      <c r="A13" s="64"/>
      <c r="B13" s="97">
        <v>42102</v>
      </c>
      <c r="C13" s="98" t="s">
        <v>64</v>
      </c>
      <c r="D13" s="99"/>
      <c r="E13" s="67" t="s">
        <v>65</v>
      </c>
      <c r="F13" s="100" t="s">
        <v>66</v>
      </c>
      <c r="G13" s="69" t="s">
        <v>62</v>
      </c>
      <c r="H13" s="89"/>
      <c r="I13" s="71"/>
      <c r="J13" s="70"/>
      <c r="K13" s="90"/>
      <c r="L13" s="71"/>
      <c r="M13" s="71"/>
      <c r="N13" s="71"/>
      <c r="O13" s="71"/>
      <c r="P13" s="90">
        <v>1040000</v>
      </c>
      <c r="Q13" s="90"/>
      <c r="R13" s="71"/>
      <c r="S13" s="71"/>
      <c r="T13" s="90">
        <v>104000</v>
      </c>
      <c r="U13" s="72">
        <f>+SUM(H13:T13)</f>
        <v>1144000</v>
      </c>
      <c r="V13" s="70">
        <v>1144000</v>
      </c>
      <c r="W13" s="65">
        <v>42153</v>
      </c>
      <c r="X13" s="74" t="s">
        <v>565</v>
      </c>
      <c r="Y13" s="69">
        <f t="shared" si="3"/>
        <v>0</v>
      </c>
      <c r="Z13" s="18"/>
      <c r="AA13" s="75" t="s">
        <v>67</v>
      </c>
    </row>
    <row r="14" spans="1:27" ht="31.2">
      <c r="A14" s="64"/>
      <c r="B14" s="65">
        <v>42103</v>
      </c>
      <c r="C14" s="66" t="s">
        <v>543</v>
      </c>
      <c r="D14" s="67"/>
      <c r="E14" s="67" t="s">
        <v>316</v>
      </c>
      <c r="F14" s="68"/>
      <c r="G14" s="69" t="s">
        <v>62</v>
      </c>
      <c r="H14" s="70"/>
      <c r="I14" s="90"/>
      <c r="J14" s="70"/>
      <c r="K14" s="90"/>
      <c r="L14" s="90"/>
      <c r="M14" s="70"/>
      <c r="N14" s="90"/>
      <c r="O14" s="90"/>
      <c r="P14" s="90">
        <v>800000</v>
      </c>
      <c r="Q14" s="90"/>
      <c r="R14" s="90"/>
      <c r="S14" s="90"/>
      <c r="T14" s="90">
        <v>80000</v>
      </c>
      <c r="U14" s="72">
        <f t="shared" ref="U14" si="4">+SUM(H14:T14)</f>
        <v>880000</v>
      </c>
      <c r="V14" s="70">
        <v>880000</v>
      </c>
      <c r="W14" s="65">
        <v>42153</v>
      </c>
      <c r="X14" s="74" t="s">
        <v>566</v>
      </c>
      <c r="Y14" s="69">
        <f t="shared" si="3"/>
        <v>0</v>
      </c>
      <c r="Z14" s="18"/>
      <c r="AA14" s="29"/>
    </row>
    <row r="15" spans="1:27" s="124" customFormat="1" ht="31.2">
      <c r="A15" s="27"/>
      <c r="B15" s="128"/>
      <c r="C15" s="18" t="s">
        <v>179</v>
      </c>
      <c r="D15" s="62"/>
      <c r="E15" s="40" t="s">
        <v>559</v>
      </c>
      <c r="F15" s="21" t="s">
        <v>444</v>
      </c>
      <c r="G15" s="23" t="s">
        <v>91</v>
      </c>
      <c r="H15" s="23"/>
      <c r="I15" s="123"/>
      <c r="J15" s="23">
        <v>1800000</v>
      </c>
      <c r="K15" s="24"/>
      <c r="L15" s="123"/>
      <c r="M15" s="123"/>
      <c r="N15" s="27"/>
      <c r="O15" s="27"/>
      <c r="P15" s="27"/>
      <c r="Q15" s="27"/>
      <c r="R15" s="27"/>
      <c r="S15" s="27"/>
      <c r="T15" s="24">
        <v>180000</v>
      </c>
      <c r="U15" s="16">
        <f t="shared" si="0"/>
        <v>1980000</v>
      </c>
      <c r="V15" s="23">
        <v>1980000</v>
      </c>
      <c r="W15" s="17">
        <v>42137</v>
      </c>
      <c r="X15" s="17" t="s">
        <v>562</v>
      </c>
      <c r="Y15" s="22">
        <f t="shared" si="3"/>
        <v>0</v>
      </c>
      <c r="Z15" s="18"/>
    </row>
    <row r="16" spans="1:27" s="124" customFormat="1" ht="31.2">
      <c r="A16" s="23"/>
      <c r="B16" s="128"/>
      <c r="C16" s="18" t="s">
        <v>179</v>
      </c>
      <c r="D16" s="62"/>
      <c r="E16" s="40" t="s">
        <v>559</v>
      </c>
      <c r="F16" s="21" t="s">
        <v>192</v>
      </c>
      <c r="G16" s="23" t="s">
        <v>91</v>
      </c>
      <c r="H16" s="23"/>
      <c r="I16" s="123"/>
      <c r="J16" s="23">
        <v>1800000</v>
      </c>
      <c r="K16" s="24"/>
      <c r="L16" s="123"/>
      <c r="M16" s="123"/>
      <c r="N16" s="27"/>
      <c r="O16" s="27"/>
      <c r="P16" s="27"/>
      <c r="Q16" s="27"/>
      <c r="R16" s="27"/>
      <c r="S16" s="27"/>
      <c r="T16" s="24">
        <v>180000</v>
      </c>
      <c r="U16" s="16">
        <f t="shared" si="0"/>
        <v>1980000</v>
      </c>
      <c r="V16" s="23">
        <v>1980000</v>
      </c>
      <c r="W16" s="17">
        <v>42137</v>
      </c>
      <c r="X16" s="17" t="s">
        <v>562</v>
      </c>
      <c r="Y16" s="22">
        <f t="shared" si="3"/>
        <v>0</v>
      </c>
      <c r="Z16" s="18"/>
    </row>
    <row r="17" spans="1:27" s="124" customFormat="1" ht="31.2">
      <c r="A17" s="23" t="s">
        <v>445</v>
      </c>
      <c r="B17" s="128">
        <v>42104</v>
      </c>
      <c r="C17" s="129" t="s">
        <v>446</v>
      </c>
      <c r="D17" s="62" t="s">
        <v>447</v>
      </c>
      <c r="E17" s="28" t="s">
        <v>361</v>
      </c>
      <c r="F17" s="21" t="s">
        <v>450</v>
      </c>
      <c r="G17" s="23" t="s">
        <v>28</v>
      </c>
      <c r="H17" s="23">
        <v>250000</v>
      </c>
      <c r="I17" s="123"/>
      <c r="J17" s="23">
        <v>1440000</v>
      </c>
      <c r="K17" s="24">
        <v>1000000</v>
      </c>
      <c r="L17" s="123"/>
      <c r="M17" s="123"/>
      <c r="N17" s="27"/>
      <c r="O17" s="27"/>
      <c r="P17" s="27"/>
      <c r="Q17" s="27"/>
      <c r="R17" s="27"/>
      <c r="S17" s="27"/>
      <c r="T17" s="24"/>
      <c r="U17" s="16">
        <f t="shared" si="0"/>
        <v>2690000</v>
      </c>
      <c r="V17" s="23">
        <f>1000000+1690000</f>
        <v>2690000</v>
      </c>
      <c r="W17" s="17" t="s">
        <v>654</v>
      </c>
      <c r="X17" s="17"/>
      <c r="Y17" s="22">
        <f t="shared" si="3"/>
        <v>0</v>
      </c>
      <c r="Z17" s="18"/>
    </row>
    <row r="18" spans="1:27" s="124" customFormat="1" ht="27.6">
      <c r="A18" s="27"/>
      <c r="B18" s="128">
        <v>42104</v>
      </c>
      <c r="C18" s="129" t="s">
        <v>367</v>
      </c>
      <c r="D18" s="62"/>
      <c r="E18" s="40" t="s">
        <v>449</v>
      </c>
      <c r="F18" s="21" t="s">
        <v>218</v>
      </c>
      <c r="G18" s="23" t="s">
        <v>28</v>
      </c>
      <c r="H18" s="23"/>
      <c r="I18" s="123"/>
      <c r="J18" s="23">
        <v>1200000</v>
      </c>
      <c r="K18" s="24"/>
      <c r="L18" s="123"/>
      <c r="M18" s="123"/>
      <c r="N18" s="27"/>
      <c r="O18" s="27"/>
      <c r="P18" s="27"/>
      <c r="Q18" s="27"/>
      <c r="R18" s="27"/>
      <c r="S18" s="27"/>
      <c r="T18" s="24"/>
      <c r="U18" s="16">
        <f t="shared" si="0"/>
        <v>1200000</v>
      </c>
      <c r="V18" s="23">
        <v>1200000</v>
      </c>
      <c r="W18" s="17">
        <v>42104</v>
      </c>
      <c r="X18" s="17"/>
      <c r="Y18" s="22">
        <f t="shared" si="3"/>
        <v>0</v>
      </c>
      <c r="Z18" s="18"/>
    </row>
    <row r="19" spans="1:27" s="124" customFormat="1" ht="41.4">
      <c r="A19" s="27" t="s">
        <v>451</v>
      </c>
      <c r="B19" s="128">
        <v>42105</v>
      </c>
      <c r="C19" s="129" t="s">
        <v>452</v>
      </c>
      <c r="D19" s="62" t="s">
        <v>453</v>
      </c>
      <c r="E19" s="40" t="s">
        <v>449</v>
      </c>
      <c r="F19" s="21"/>
      <c r="G19" s="23" t="s">
        <v>28</v>
      </c>
      <c r="H19" s="23"/>
      <c r="I19" s="123"/>
      <c r="J19" s="23">
        <v>600000</v>
      </c>
      <c r="K19" s="24"/>
      <c r="L19" s="123"/>
      <c r="M19" s="123"/>
      <c r="N19" s="27"/>
      <c r="O19" s="27"/>
      <c r="P19" s="27"/>
      <c r="Q19" s="27"/>
      <c r="R19" s="27"/>
      <c r="S19" s="27"/>
      <c r="T19" s="24">
        <v>60000</v>
      </c>
      <c r="U19" s="16">
        <f t="shared" si="0"/>
        <v>660000</v>
      </c>
      <c r="V19" s="23">
        <v>660000</v>
      </c>
      <c r="W19" s="17">
        <v>42115</v>
      </c>
      <c r="X19" s="17" t="s">
        <v>454</v>
      </c>
      <c r="Y19" s="22">
        <f t="shared" si="3"/>
        <v>0</v>
      </c>
      <c r="Z19" s="18"/>
    </row>
    <row r="20" spans="1:27" s="124" customFormat="1" ht="15.6">
      <c r="A20" s="23"/>
      <c r="B20" s="128">
        <v>42107</v>
      </c>
      <c r="C20" s="18" t="s">
        <v>456</v>
      </c>
      <c r="D20" s="62"/>
      <c r="E20" s="40" t="s">
        <v>101</v>
      </c>
      <c r="F20" s="21" t="s">
        <v>455</v>
      </c>
      <c r="G20" s="23" t="s">
        <v>91</v>
      </c>
      <c r="H20" s="23">
        <v>830000</v>
      </c>
      <c r="I20" s="123"/>
      <c r="J20" s="23"/>
      <c r="K20" s="24"/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0"/>
        <v>830000</v>
      </c>
      <c r="V20" s="23">
        <v>830000</v>
      </c>
      <c r="W20" s="17">
        <v>42107</v>
      </c>
      <c r="X20" s="17"/>
      <c r="Y20" s="22">
        <f t="shared" si="3"/>
        <v>0</v>
      </c>
      <c r="Z20" s="18"/>
    </row>
    <row r="21" spans="1:27" s="124" customFormat="1" ht="31.2">
      <c r="A21" s="27"/>
      <c r="B21" s="128">
        <v>42107</v>
      </c>
      <c r="C21" s="129" t="s">
        <v>458</v>
      </c>
      <c r="D21" s="62"/>
      <c r="E21" s="40" t="s">
        <v>459</v>
      </c>
      <c r="F21" s="21" t="s">
        <v>460</v>
      </c>
      <c r="G21" s="23" t="s">
        <v>91</v>
      </c>
      <c r="H21" s="23"/>
      <c r="I21" s="123"/>
      <c r="J21" s="23">
        <v>1440000</v>
      </c>
      <c r="K21" s="24"/>
      <c r="L21" s="123"/>
      <c r="M21" s="123"/>
      <c r="N21" s="27"/>
      <c r="O21" s="27"/>
      <c r="P21" s="27"/>
      <c r="Q21" s="27"/>
      <c r="R21" s="27"/>
      <c r="S21" s="27"/>
      <c r="T21" s="24"/>
      <c r="U21" s="16">
        <f t="shared" si="0"/>
        <v>1440000</v>
      </c>
      <c r="V21" s="23">
        <v>1440000</v>
      </c>
      <c r="W21" s="17">
        <v>42107</v>
      </c>
      <c r="X21" s="17"/>
      <c r="Y21" s="22">
        <f t="shared" si="3"/>
        <v>0</v>
      </c>
      <c r="Z21" s="18"/>
    </row>
    <row r="22" spans="1:27" s="124" customFormat="1" ht="31.2">
      <c r="A22" s="23"/>
      <c r="B22" s="128">
        <v>42107</v>
      </c>
      <c r="C22" s="129" t="s">
        <v>461</v>
      </c>
      <c r="D22" s="62"/>
      <c r="E22" s="40" t="s">
        <v>462</v>
      </c>
      <c r="F22" s="21" t="s">
        <v>463</v>
      </c>
      <c r="G22" s="23" t="s">
        <v>91</v>
      </c>
      <c r="H22" s="23">
        <v>250000</v>
      </c>
      <c r="I22" s="123"/>
      <c r="J22" s="23">
        <v>660000</v>
      </c>
      <c r="K22" s="24"/>
      <c r="L22" s="123"/>
      <c r="M22" s="123"/>
      <c r="N22" s="27"/>
      <c r="O22" s="27"/>
      <c r="P22" s="27"/>
      <c r="Q22" s="27"/>
      <c r="R22" s="27"/>
      <c r="S22" s="27"/>
      <c r="T22" s="24"/>
      <c r="U22" s="16">
        <f t="shared" si="0"/>
        <v>910000</v>
      </c>
      <c r="V22" s="23">
        <v>910000</v>
      </c>
      <c r="W22" s="17">
        <v>42107</v>
      </c>
      <c r="X22" s="17"/>
      <c r="Y22" s="22">
        <f t="shared" si="3"/>
        <v>0</v>
      </c>
      <c r="Z22" s="18"/>
    </row>
    <row r="23" spans="1:27" s="124" customFormat="1" ht="31.2">
      <c r="A23" s="23" t="s">
        <v>472</v>
      </c>
      <c r="B23" s="128">
        <v>42109</v>
      </c>
      <c r="C23" s="129" t="s">
        <v>473</v>
      </c>
      <c r="D23" s="136" t="s">
        <v>474</v>
      </c>
      <c r="E23" s="28" t="s">
        <v>361</v>
      </c>
      <c r="F23" s="21" t="s">
        <v>475</v>
      </c>
      <c r="G23" s="23" t="s">
        <v>499</v>
      </c>
      <c r="H23" s="23">
        <v>250000</v>
      </c>
      <c r="I23" s="123"/>
      <c r="J23" s="23">
        <v>1440000</v>
      </c>
      <c r="K23" s="24"/>
      <c r="L23" s="123"/>
      <c r="M23" s="123"/>
      <c r="N23" s="27"/>
      <c r="O23" s="27"/>
      <c r="P23" s="27"/>
      <c r="Q23" s="27"/>
      <c r="R23" s="27"/>
      <c r="S23" s="27"/>
      <c r="T23" s="24"/>
      <c r="U23" s="16">
        <f t="shared" si="0"/>
        <v>1690000</v>
      </c>
      <c r="V23" s="23">
        <v>1690000</v>
      </c>
      <c r="W23" s="17">
        <v>42114</v>
      </c>
      <c r="X23" s="17"/>
      <c r="Y23" s="22">
        <f t="shared" si="3"/>
        <v>0</v>
      </c>
      <c r="Z23" s="18"/>
    </row>
    <row r="24" spans="1:27" s="124" customFormat="1" ht="31.2">
      <c r="A24" s="23"/>
      <c r="B24" s="128">
        <v>42109</v>
      </c>
      <c r="C24" s="129" t="s">
        <v>476</v>
      </c>
      <c r="D24" s="136"/>
      <c r="E24" s="40" t="s">
        <v>462</v>
      </c>
      <c r="F24" s="21" t="s">
        <v>478</v>
      </c>
      <c r="G24" s="23" t="s">
        <v>91</v>
      </c>
      <c r="H24" s="23">
        <v>250000</v>
      </c>
      <c r="I24" s="123"/>
      <c r="J24" s="23">
        <v>900000</v>
      </c>
      <c r="K24" s="24"/>
      <c r="L24" s="123"/>
      <c r="M24" s="123"/>
      <c r="N24" s="27"/>
      <c r="O24" s="27"/>
      <c r="P24" s="27"/>
      <c r="Q24" s="27"/>
      <c r="R24" s="27"/>
      <c r="S24" s="27"/>
      <c r="T24" s="24"/>
      <c r="U24" s="16">
        <f t="shared" si="0"/>
        <v>1150000</v>
      </c>
      <c r="V24" s="23">
        <v>1150000</v>
      </c>
      <c r="W24" s="17">
        <v>42110</v>
      </c>
      <c r="X24" s="17"/>
      <c r="Y24" s="22">
        <f t="shared" si="3"/>
        <v>0</v>
      </c>
      <c r="Z24" s="18"/>
    </row>
    <row r="25" spans="1:27" s="124" customFormat="1" ht="31.2">
      <c r="A25" s="23"/>
      <c r="B25" s="128">
        <v>42110</v>
      </c>
      <c r="C25" s="129" t="s">
        <v>477</v>
      </c>
      <c r="D25" s="136"/>
      <c r="E25" s="40" t="s">
        <v>96</v>
      </c>
      <c r="F25" s="21" t="s">
        <v>479</v>
      </c>
      <c r="G25" s="23" t="s">
        <v>91</v>
      </c>
      <c r="H25" s="23">
        <v>480000</v>
      </c>
      <c r="I25" s="123"/>
      <c r="J25" s="23">
        <v>660000</v>
      </c>
      <c r="K25" s="24"/>
      <c r="L25" s="123"/>
      <c r="M25" s="123"/>
      <c r="N25" s="27"/>
      <c r="O25" s="27"/>
      <c r="P25" s="27"/>
      <c r="Q25" s="27"/>
      <c r="R25" s="27"/>
      <c r="S25" s="27"/>
      <c r="T25" s="24"/>
      <c r="U25" s="16">
        <f t="shared" si="0"/>
        <v>1140000</v>
      </c>
      <c r="V25" s="23">
        <v>1140000</v>
      </c>
      <c r="W25" s="17">
        <v>42110</v>
      </c>
      <c r="X25" s="17"/>
      <c r="Y25" s="22">
        <f t="shared" si="3"/>
        <v>0</v>
      </c>
      <c r="Z25" s="18"/>
    </row>
    <row r="26" spans="1:27" s="124" customFormat="1" ht="15.6">
      <c r="A26" s="23"/>
      <c r="B26" s="128">
        <v>42110</v>
      </c>
      <c r="C26" s="129" t="s">
        <v>480</v>
      </c>
      <c r="D26" s="136"/>
      <c r="E26" s="40" t="s">
        <v>481</v>
      </c>
      <c r="F26" s="21" t="s">
        <v>482</v>
      </c>
      <c r="G26" s="23" t="s">
        <v>140</v>
      </c>
      <c r="H26" s="23"/>
      <c r="I26" s="123"/>
      <c r="J26" s="23"/>
      <c r="K26" s="24">
        <v>700000</v>
      </c>
      <c r="L26" s="123"/>
      <c r="M26" s="123"/>
      <c r="N26" s="27"/>
      <c r="O26" s="27"/>
      <c r="P26" s="27"/>
      <c r="Q26" s="27"/>
      <c r="R26" s="27"/>
      <c r="S26" s="27"/>
      <c r="T26" s="24"/>
      <c r="U26" s="16">
        <f t="shared" si="0"/>
        <v>700000</v>
      </c>
      <c r="V26" s="23">
        <v>700000</v>
      </c>
      <c r="W26" s="17">
        <v>42118</v>
      </c>
      <c r="X26" s="17" t="s">
        <v>95</v>
      </c>
      <c r="Y26" s="22">
        <f t="shared" si="3"/>
        <v>0</v>
      </c>
      <c r="Z26" s="18"/>
    </row>
    <row r="27" spans="1:27" s="124" customFormat="1" ht="31.2">
      <c r="A27" s="23"/>
      <c r="B27" s="128">
        <v>42111</v>
      </c>
      <c r="C27" s="129" t="s">
        <v>483</v>
      </c>
      <c r="D27" s="62" t="s">
        <v>484</v>
      </c>
      <c r="E27" s="40" t="s">
        <v>96</v>
      </c>
      <c r="F27" s="21" t="s">
        <v>485</v>
      </c>
      <c r="G27" s="23" t="s">
        <v>94</v>
      </c>
      <c r="H27" s="23">
        <v>250000</v>
      </c>
      <c r="I27" s="123"/>
      <c r="J27" s="23">
        <v>1440000</v>
      </c>
      <c r="K27" s="24"/>
      <c r="L27" s="123"/>
      <c r="M27" s="123"/>
      <c r="N27" s="27"/>
      <c r="O27" s="27"/>
      <c r="P27" s="27"/>
      <c r="Q27" s="27"/>
      <c r="R27" s="27"/>
      <c r="S27" s="27"/>
      <c r="T27" s="24">
        <v>169000</v>
      </c>
      <c r="U27" s="16">
        <f t="shared" si="0"/>
        <v>1859000</v>
      </c>
      <c r="V27" s="23">
        <v>1859000</v>
      </c>
      <c r="W27" s="17">
        <v>42114</v>
      </c>
      <c r="X27" s="17" t="s">
        <v>489</v>
      </c>
      <c r="Y27" s="22">
        <f t="shared" si="3"/>
        <v>0</v>
      </c>
      <c r="Z27" s="18" t="s">
        <v>494</v>
      </c>
    </row>
    <row r="28" spans="1:27" s="124" customFormat="1" ht="46.8">
      <c r="A28" s="27" t="s">
        <v>486</v>
      </c>
      <c r="B28" s="128">
        <v>42111</v>
      </c>
      <c r="C28" s="129" t="s">
        <v>483</v>
      </c>
      <c r="D28" s="62" t="s">
        <v>487</v>
      </c>
      <c r="E28" s="28" t="s">
        <v>361</v>
      </c>
      <c r="F28" s="21" t="s">
        <v>488</v>
      </c>
      <c r="G28" s="23" t="s">
        <v>140</v>
      </c>
      <c r="H28" s="23">
        <v>250000</v>
      </c>
      <c r="I28" s="123"/>
      <c r="J28" s="23">
        <v>1440000</v>
      </c>
      <c r="K28" s="24">
        <v>2750000</v>
      </c>
      <c r="L28" s="123"/>
      <c r="M28" s="123"/>
      <c r="N28" s="27"/>
      <c r="O28" s="27"/>
      <c r="P28" s="27"/>
      <c r="Q28" s="27"/>
      <c r="R28" s="27"/>
      <c r="S28" s="27"/>
      <c r="T28" s="24"/>
      <c r="U28" s="16">
        <f t="shared" si="0"/>
        <v>4440000</v>
      </c>
      <c r="V28" s="23">
        <f>1330000+1000000+2110000</f>
        <v>4440000</v>
      </c>
      <c r="W28" s="17" t="s">
        <v>831</v>
      </c>
      <c r="X28" s="17"/>
      <c r="Y28" s="22">
        <f t="shared" si="3"/>
        <v>0</v>
      </c>
      <c r="Z28" s="18"/>
    </row>
    <row r="29" spans="1:27" s="124" customFormat="1" ht="31.2">
      <c r="A29" s="27"/>
      <c r="B29" s="128">
        <v>42114</v>
      </c>
      <c r="C29" s="129" t="s">
        <v>491</v>
      </c>
      <c r="D29" s="62"/>
      <c r="E29" s="40" t="s">
        <v>310</v>
      </c>
      <c r="F29" s="21" t="s">
        <v>492</v>
      </c>
      <c r="G29" s="23" t="s">
        <v>91</v>
      </c>
      <c r="H29" s="23">
        <v>500000</v>
      </c>
      <c r="I29" s="123"/>
      <c r="J29" s="23"/>
      <c r="K29" s="24"/>
      <c r="L29" s="123"/>
      <c r="M29" s="123"/>
      <c r="N29" s="27"/>
      <c r="O29" s="27"/>
      <c r="P29" s="27"/>
      <c r="Q29" s="27"/>
      <c r="R29" s="27"/>
      <c r="S29" s="27"/>
      <c r="T29" s="24"/>
      <c r="U29" s="16">
        <f t="shared" si="0"/>
        <v>500000</v>
      </c>
      <c r="V29" s="23">
        <v>500000</v>
      </c>
      <c r="W29" s="17">
        <v>42114</v>
      </c>
      <c r="X29" s="17"/>
      <c r="Y29" s="22">
        <f t="shared" si="3"/>
        <v>0</v>
      </c>
      <c r="Z29" s="18"/>
    </row>
    <row r="30" spans="1:27" s="124" customFormat="1" ht="31.2">
      <c r="A30" s="27" t="s">
        <v>495</v>
      </c>
      <c r="B30" s="128">
        <v>42116</v>
      </c>
      <c r="C30" s="129" t="s">
        <v>498</v>
      </c>
      <c r="D30" s="62" t="s">
        <v>496</v>
      </c>
      <c r="E30" s="28" t="s">
        <v>361</v>
      </c>
      <c r="F30" s="21" t="s">
        <v>497</v>
      </c>
      <c r="G30" s="23" t="s">
        <v>102</v>
      </c>
      <c r="H30" s="23">
        <v>250000</v>
      </c>
      <c r="I30" s="123"/>
      <c r="J30" s="23">
        <v>660000</v>
      </c>
      <c r="K30" s="24">
        <v>2310000</v>
      </c>
      <c r="L30" s="123"/>
      <c r="M30" s="123"/>
      <c r="N30" s="27"/>
      <c r="O30" s="27"/>
      <c r="P30" s="27"/>
      <c r="Q30" s="27"/>
      <c r="R30" s="27"/>
      <c r="S30" s="27"/>
      <c r="T30" s="24"/>
      <c r="U30" s="16">
        <f t="shared" si="0"/>
        <v>3220000</v>
      </c>
      <c r="V30" s="23">
        <f>1610000+1610000</f>
        <v>3220000</v>
      </c>
      <c r="W30" s="17" t="s">
        <v>677</v>
      </c>
      <c r="X30" s="17" t="s">
        <v>648</v>
      </c>
      <c r="Y30" s="22">
        <f t="shared" si="3"/>
        <v>0</v>
      </c>
      <c r="Z30" s="82" t="s">
        <v>520</v>
      </c>
    </row>
    <row r="31" spans="1:27" s="124" customFormat="1" ht="31.2">
      <c r="A31" s="27" t="s">
        <v>500</v>
      </c>
      <c r="B31" s="128">
        <v>42116</v>
      </c>
      <c r="C31" s="129" t="s">
        <v>501</v>
      </c>
      <c r="D31" s="62" t="s">
        <v>502</v>
      </c>
      <c r="E31" s="28" t="s">
        <v>361</v>
      </c>
      <c r="F31" s="21" t="s">
        <v>503</v>
      </c>
      <c r="G31" s="23" t="s">
        <v>102</v>
      </c>
      <c r="H31" s="23">
        <v>400000</v>
      </c>
      <c r="I31" s="123"/>
      <c r="J31" s="23">
        <v>900000</v>
      </c>
      <c r="K31" s="24">
        <v>1700000</v>
      </c>
      <c r="L31" s="123"/>
      <c r="M31" s="123"/>
      <c r="N31" s="27"/>
      <c r="O31" s="27"/>
      <c r="P31" s="27"/>
      <c r="Q31" s="27"/>
      <c r="R31" s="27"/>
      <c r="S31" s="27"/>
      <c r="T31" s="24"/>
      <c r="U31" s="16">
        <f t="shared" si="0"/>
        <v>3000000</v>
      </c>
      <c r="V31" s="23">
        <f>1500000</f>
        <v>1500000</v>
      </c>
      <c r="W31" s="17">
        <v>42121</v>
      </c>
      <c r="X31" s="17" t="s">
        <v>997</v>
      </c>
      <c r="Y31" s="22">
        <f t="shared" si="3"/>
        <v>1500000</v>
      </c>
      <c r="Z31" s="82" t="s">
        <v>520</v>
      </c>
    </row>
    <row r="32" spans="1:27" s="63" customFormat="1" ht="31.2">
      <c r="A32" s="23" t="s">
        <v>504</v>
      </c>
      <c r="B32" s="42">
        <v>42116</v>
      </c>
      <c r="C32" s="125" t="s">
        <v>505</v>
      </c>
      <c r="D32" s="20" t="s">
        <v>506</v>
      </c>
      <c r="E32" s="28" t="s">
        <v>361</v>
      </c>
      <c r="F32" s="21" t="s">
        <v>507</v>
      </c>
      <c r="G32" s="22" t="s">
        <v>94</v>
      </c>
      <c r="H32" s="23">
        <v>250000</v>
      </c>
      <c r="I32" s="121"/>
      <c r="J32" s="23">
        <v>600000</v>
      </c>
      <c r="K32" s="24">
        <v>4250000</v>
      </c>
      <c r="L32" s="121"/>
      <c r="M32" s="121"/>
      <c r="N32" s="121"/>
      <c r="O32" s="121"/>
      <c r="P32" s="24"/>
      <c r="Q32" s="24"/>
      <c r="R32" s="121"/>
      <c r="S32" s="121"/>
      <c r="T32" s="24"/>
      <c r="U32" s="16">
        <f t="shared" si="0"/>
        <v>5100000</v>
      </c>
      <c r="V32" s="23">
        <v>5100000</v>
      </c>
      <c r="W32" s="122">
        <v>42151</v>
      </c>
      <c r="X32" s="17" t="s">
        <v>636</v>
      </c>
      <c r="Y32" s="22">
        <f t="shared" si="3"/>
        <v>0</v>
      </c>
      <c r="Z32" s="33"/>
      <c r="AA32" s="75"/>
    </row>
    <row r="33" spans="1:27" s="63" customFormat="1" ht="31.2">
      <c r="A33" s="23"/>
      <c r="B33" s="42">
        <v>42116</v>
      </c>
      <c r="C33" s="125" t="s">
        <v>514</v>
      </c>
      <c r="D33" s="20"/>
      <c r="E33" s="28" t="s">
        <v>96</v>
      </c>
      <c r="F33" s="21" t="s">
        <v>513</v>
      </c>
      <c r="G33" s="22" t="s">
        <v>94</v>
      </c>
      <c r="H33" s="23">
        <v>250000</v>
      </c>
      <c r="I33" s="121"/>
      <c r="J33" s="23">
        <v>1440000</v>
      </c>
      <c r="K33" s="24"/>
      <c r="L33" s="121"/>
      <c r="M33" s="121"/>
      <c r="N33" s="121"/>
      <c r="O33" s="121"/>
      <c r="P33" s="24"/>
      <c r="Q33" s="24"/>
      <c r="R33" s="121"/>
      <c r="S33" s="121"/>
      <c r="T33" s="24"/>
      <c r="U33" s="16">
        <f t="shared" si="0"/>
        <v>1690000</v>
      </c>
      <c r="V33" s="23">
        <v>1690000</v>
      </c>
      <c r="W33" s="122">
        <v>42117</v>
      </c>
      <c r="X33" s="17"/>
      <c r="Y33" s="22">
        <f t="shared" si="3"/>
        <v>0</v>
      </c>
      <c r="Z33" s="33"/>
      <c r="AA33" s="158"/>
    </row>
    <row r="34" spans="1:27" s="63" customFormat="1" ht="27.6">
      <c r="A34" s="23"/>
      <c r="B34" s="42">
        <v>42116</v>
      </c>
      <c r="C34" s="125" t="s">
        <v>688</v>
      </c>
      <c r="D34" s="20"/>
      <c r="E34" s="28" t="s">
        <v>689</v>
      </c>
      <c r="F34" s="21" t="s">
        <v>690</v>
      </c>
      <c r="G34" s="22" t="s">
        <v>94</v>
      </c>
      <c r="H34" s="23"/>
      <c r="I34" s="121"/>
      <c r="J34" s="23">
        <v>2160000</v>
      </c>
      <c r="K34" s="24"/>
      <c r="L34" s="121"/>
      <c r="M34" s="121"/>
      <c r="N34" s="121"/>
      <c r="O34" s="121"/>
      <c r="P34" s="24"/>
      <c r="Q34" s="24"/>
      <c r="R34" s="121"/>
      <c r="S34" s="121"/>
      <c r="T34" s="24"/>
      <c r="U34" s="16">
        <f t="shared" si="0"/>
        <v>2160000</v>
      </c>
      <c r="V34" s="23">
        <v>2160000</v>
      </c>
      <c r="W34" s="122">
        <v>42172</v>
      </c>
      <c r="X34" s="17"/>
      <c r="Y34" s="22">
        <f t="shared" si="3"/>
        <v>0</v>
      </c>
      <c r="Z34" s="33"/>
      <c r="AA34" s="158"/>
    </row>
    <row r="35" spans="1:27" ht="15.6">
      <c r="A35" s="27"/>
      <c r="B35" s="17"/>
      <c r="C35" s="18"/>
      <c r="D35" s="20"/>
      <c r="E35" s="40"/>
      <c r="F35" s="21"/>
      <c r="G35" s="22"/>
      <c r="H35" s="23"/>
      <c r="I35" s="57"/>
      <c r="J35" s="23"/>
      <c r="K35" s="24"/>
      <c r="L35" s="57"/>
      <c r="M35" s="57"/>
      <c r="N35" s="57"/>
      <c r="O35" s="57"/>
      <c r="P35" s="57"/>
      <c r="Q35" s="57"/>
      <c r="R35" s="57"/>
      <c r="S35" s="57"/>
      <c r="T35" s="24"/>
      <c r="U35" s="16">
        <f t="shared" si="0"/>
        <v>0</v>
      </c>
      <c r="V35" s="57"/>
      <c r="W35" s="57"/>
      <c r="X35" s="17"/>
      <c r="Y35" s="22">
        <f t="shared" si="3"/>
        <v>0</v>
      </c>
      <c r="Z35" s="57"/>
    </row>
    <row r="36" spans="1:27" ht="15.6">
      <c r="A36" s="27"/>
      <c r="B36" s="17"/>
      <c r="C36" s="18"/>
      <c r="D36" s="20"/>
      <c r="E36" s="28"/>
      <c r="F36" s="57"/>
      <c r="G36" s="57"/>
      <c r="H36" s="23"/>
      <c r="I36" s="57"/>
      <c r="J36" s="23"/>
      <c r="K36" s="57"/>
      <c r="L36" s="57"/>
      <c r="M36" s="57"/>
      <c r="N36" s="57"/>
      <c r="O36" s="57"/>
      <c r="P36" s="57"/>
      <c r="Q36" s="57"/>
      <c r="R36" s="57"/>
      <c r="S36" s="57"/>
      <c r="T36" s="24"/>
      <c r="U36" s="16">
        <f t="shared" ref="U36" si="5">+SUM(H36:T36)</f>
        <v>0</v>
      </c>
      <c r="V36" s="57"/>
      <c r="W36" s="57"/>
      <c r="X36" s="57"/>
      <c r="Y36" s="22">
        <f t="shared" si="3"/>
        <v>0</v>
      </c>
      <c r="Z36" s="57"/>
    </row>
    <row r="37" spans="1:27" ht="15.6">
      <c r="A37" s="27"/>
      <c r="B37" s="17"/>
      <c r="C37" s="79" t="s">
        <v>107</v>
      </c>
      <c r="D37" s="57"/>
      <c r="E37" s="57"/>
      <c r="F37" s="57"/>
      <c r="G37" s="57"/>
      <c r="H37" s="80">
        <f>SUM(H6:H36)</f>
        <v>8295000</v>
      </c>
      <c r="I37" s="80">
        <f t="shared" ref="I37:Y37" si="6">SUM(I6:I36)</f>
        <v>0</v>
      </c>
      <c r="J37" s="80">
        <f t="shared" si="6"/>
        <v>24744000</v>
      </c>
      <c r="K37" s="80">
        <f t="shared" si="6"/>
        <v>26460000</v>
      </c>
      <c r="L37" s="80">
        <f t="shared" si="6"/>
        <v>0</v>
      </c>
      <c r="M37" s="80">
        <f t="shared" si="6"/>
        <v>0</v>
      </c>
      <c r="N37" s="80">
        <f t="shared" si="6"/>
        <v>0</v>
      </c>
      <c r="O37" s="80">
        <f t="shared" si="6"/>
        <v>0</v>
      </c>
      <c r="P37" s="80">
        <f t="shared" si="6"/>
        <v>1840000</v>
      </c>
      <c r="Q37" s="80">
        <f t="shared" si="6"/>
        <v>0</v>
      </c>
      <c r="R37" s="80">
        <f t="shared" si="6"/>
        <v>0</v>
      </c>
      <c r="S37" s="80">
        <f t="shared" si="6"/>
        <v>0</v>
      </c>
      <c r="T37" s="80">
        <f t="shared" si="6"/>
        <v>954900</v>
      </c>
      <c r="U37" s="80">
        <f t="shared" si="6"/>
        <v>62293900</v>
      </c>
      <c r="V37" s="80">
        <f t="shared" si="6"/>
        <v>59543900</v>
      </c>
      <c r="W37" s="80"/>
      <c r="X37" s="80">
        <f t="shared" si="6"/>
        <v>0</v>
      </c>
      <c r="Y37" s="80">
        <f t="shared" si="6"/>
        <v>2750000</v>
      </c>
      <c r="Z37" s="57"/>
    </row>
    <row r="41" spans="1:27">
      <c r="O41" t="s">
        <v>95</v>
      </c>
      <c r="U41" s="78"/>
    </row>
    <row r="42" spans="1:27">
      <c r="A42" s="133" t="s">
        <v>327</v>
      </c>
    </row>
  </sheetData>
  <autoFilter ref="A5:Z37">
    <filterColumn colId="6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1:E36">
    <cfRule type="containsText" dxfId="234" priority="15" stopIfTrue="1" operator="containsText" text="Gia hạn">
      <formula>NOT(ISERROR(SEARCH("Gia hạn",E1)))</formula>
    </cfRule>
    <cfRule type="cellIs" dxfId="233" priority="16" stopIfTrue="1" operator="equal">
      <formula>"Gia hạn"</formula>
    </cfRule>
  </conditionalFormatting>
  <conditionalFormatting sqref="G1:G34">
    <cfRule type="containsText" dxfId="232" priority="14" stopIfTrue="1" operator="containsText" text="THV">
      <formula>NOT(ISERROR(SEARCH("THV",G1)))</formula>
    </cfRule>
  </conditionalFormatting>
  <conditionalFormatting sqref="E1:E65487">
    <cfRule type="containsText" dxfId="231" priority="13" stopIfTrue="1" operator="containsText" text="gia hạn">
      <formula>NOT(ISERROR(SEARCH("gia hạn",E1)))</formula>
    </cfRule>
  </conditionalFormatting>
  <conditionalFormatting sqref="G1:G1048576">
    <cfRule type="containsText" dxfId="230" priority="12" operator="containsText" text="Tịnh">
      <formula>NOT(ISERROR(SEARCH("Tịnh",G1)))</formula>
    </cfRule>
  </conditionalFormatting>
  <conditionalFormatting sqref="G35">
    <cfRule type="containsText" dxfId="229" priority="11" stopIfTrue="1" operator="containsText" text="THV">
      <formula>NOT(ISERROR(SEARCH("THV",G35)))</formula>
    </cfRule>
  </conditionalFormatting>
  <conditionalFormatting sqref="E13:E14">
    <cfRule type="containsText" dxfId="228" priority="9" stopIfTrue="1" operator="containsText" text="Gia hạn">
      <formula>NOT(ISERROR(SEARCH("Gia hạn",E13)))</formula>
    </cfRule>
    <cfRule type="cellIs" dxfId="227" priority="10" stopIfTrue="1" operator="equal">
      <formula>"Gia hạn"</formula>
    </cfRule>
  </conditionalFormatting>
  <conditionalFormatting sqref="G13:G14">
    <cfRule type="containsText" dxfId="226" priority="8" stopIfTrue="1" operator="containsText" text="THV">
      <formula>NOT(ISERROR(SEARCH("THV",G13)))</formula>
    </cfRule>
  </conditionalFormatting>
  <conditionalFormatting sqref="E13:E14">
    <cfRule type="containsText" dxfId="225" priority="7" stopIfTrue="1" operator="containsText" text="gia hạn">
      <formula>NOT(ISERROR(SEARCH("gia hạn",E13)))</formula>
    </cfRule>
  </conditionalFormatting>
  <conditionalFormatting sqref="G13:G14">
    <cfRule type="containsText" dxfId="224" priority="6" operator="containsText" text="Tịnh">
      <formula>NOT(ISERROR(SEARCH("Tịnh",G13)))</formula>
    </cfRule>
  </conditionalFormatting>
  <conditionalFormatting sqref="E14">
    <cfRule type="containsText" dxfId="223" priority="4" stopIfTrue="1" operator="containsText" text="Gia hạn">
      <formula>NOT(ISERROR(SEARCH("Gia hạn",E14)))</formula>
    </cfRule>
    <cfRule type="cellIs" dxfId="222" priority="5" stopIfTrue="1" operator="equal">
      <formula>"Gia hạn"</formula>
    </cfRule>
  </conditionalFormatting>
  <conditionalFormatting sqref="G14">
    <cfRule type="containsText" dxfId="221" priority="3" stopIfTrue="1" operator="containsText" text="THV">
      <formula>NOT(ISERROR(SEARCH("THV",G14)))</formula>
    </cfRule>
  </conditionalFormatting>
  <conditionalFormatting sqref="E14">
    <cfRule type="containsText" dxfId="220" priority="2" stopIfTrue="1" operator="containsText" text="gia hạn">
      <formula>NOT(ISERROR(SEARCH("gia hạn",E14)))</formula>
    </cfRule>
  </conditionalFormatting>
  <conditionalFormatting sqref="G14">
    <cfRule type="containsText" dxfId="219" priority="1" operator="containsText" text="Tịnh">
      <formula>NOT(ISERROR(SEARCH("Tịnh",G14)))</formula>
    </cfRule>
  </conditionalFormatting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>
      <pane xSplit="5" ySplit="5" topLeftCell="F34" activePane="bottomRight" state="frozen"/>
      <selection pane="topRight" activeCell="F1" sqref="F1"/>
      <selection pane="bottomLeft" activeCell="A6" sqref="A6"/>
      <selection pane="bottomRight" activeCell="A5" sqref="A5:XFD40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59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521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31.2">
      <c r="A6" s="27"/>
      <c r="B6" s="17">
        <v>42128</v>
      </c>
      <c r="C6" s="125" t="s">
        <v>526</v>
      </c>
      <c r="D6" s="20"/>
      <c r="E6" s="28" t="s">
        <v>96</v>
      </c>
      <c r="F6" s="21" t="s">
        <v>527</v>
      </c>
      <c r="G6" s="22" t="s">
        <v>91</v>
      </c>
      <c r="H6" s="23">
        <v>250000</v>
      </c>
      <c r="I6" s="24"/>
      <c r="J6" s="23">
        <v>660000</v>
      </c>
      <c r="K6" s="24"/>
      <c r="L6" s="24"/>
      <c r="M6" s="23"/>
      <c r="N6" s="24"/>
      <c r="O6" s="24"/>
      <c r="P6" s="24"/>
      <c r="Q6" s="24"/>
      <c r="R6" s="24"/>
      <c r="S6" s="24"/>
      <c r="T6" s="24"/>
      <c r="U6" s="16">
        <f>+SUM(H6:T6)</f>
        <v>910000</v>
      </c>
      <c r="V6" s="23">
        <v>910000</v>
      </c>
      <c r="W6" s="17">
        <v>42128</v>
      </c>
      <c r="X6" s="17"/>
      <c r="Y6" s="22">
        <f t="shared" ref="Y6:Y19" si="0">U6-V6</f>
        <v>0</v>
      </c>
      <c r="Z6" s="62"/>
      <c r="AA6" s="29"/>
    </row>
    <row r="7" spans="1:27" ht="46.8">
      <c r="A7" s="27" t="s">
        <v>523</v>
      </c>
      <c r="B7" s="17">
        <v>42129</v>
      </c>
      <c r="C7" s="125" t="s">
        <v>522</v>
      </c>
      <c r="D7" s="20" t="s">
        <v>524</v>
      </c>
      <c r="E7" s="28" t="s">
        <v>525</v>
      </c>
      <c r="F7" s="21" t="s">
        <v>531</v>
      </c>
      <c r="G7" s="22" t="s">
        <v>28</v>
      </c>
      <c r="H7" s="23"/>
      <c r="I7" s="24"/>
      <c r="J7" s="23">
        <v>3600000</v>
      </c>
      <c r="K7" s="24"/>
      <c r="L7" s="24"/>
      <c r="M7" s="23"/>
      <c r="N7" s="24"/>
      <c r="O7" s="24"/>
      <c r="P7" s="24"/>
      <c r="Q7" s="24"/>
      <c r="R7" s="24"/>
      <c r="S7" s="24"/>
      <c r="T7" s="24"/>
      <c r="U7" s="16">
        <f t="shared" ref="U7" si="1">+SUM(H7:T7)</f>
        <v>3600000</v>
      </c>
      <c r="V7" s="23">
        <v>3600000</v>
      </c>
      <c r="W7" s="17">
        <v>42129</v>
      </c>
      <c r="X7" s="17"/>
      <c r="Y7" s="22">
        <f t="shared" si="0"/>
        <v>0</v>
      </c>
      <c r="Z7" s="62" t="s">
        <v>528</v>
      </c>
      <c r="AA7" s="29"/>
    </row>
    <row r="8" spans="1:27" ht="31.2">
      <c r="A8" s="64"/>
      <c r="B8" s="65">
        <v>42130</v>
      </c>
      <c r="C8" s="66" t="s">
        <v>530</v>
      </c>
      <c r="D8" s="67" t="s">
        <v>529</v>
      </c>
      <c r="E8" s="67" t="s">
        <v>361</v>
      </c>
      <c r="F8" s="68" t="s">
        <v>393</v>
      </c>
      <c r="G8" s="69" t="s">
        <v>953</v>
      </c>
      <c r="H8" s="70"/>
      <c r="I8" s="71"/>
      <c r="J8" s="70"/>
      <c r="K8" s="90">
        <v>3000000</v>
      </c>
      <c r="L8" s="71"/>
      <c r="M8" s="71"/>
      <c r="N8" s="71"/>
      <c r="O8" s="71"/>
      <c r="P8" s="71"/>
      <c r="Q8" s="71"/>
      <c r="R8" s="118"/>
      <c r="S8" s="71"/>
      <c r="T8" s="90"/>
      <c r="U8" s="72">
        <f t="shared" ref="U8:U39" si="2">+SUM(H8:T8)</f>
        <v>3000000</v>
      </c>
      <c r="V8" s="70">
        <v>3000000</v>
      </c>
      <c r="W8" s="65"/>
      <c r="X8" s="65"/>
      <c r="Y8" s="22">
        <f t="shared" si="0"/>
        <v>0</v>
      </c>
      <c r="Z8" s="92"/>
    </row>
    <row r="9" spans="1:27" ht="15.6">
      <c r="A9" s="27"/>
      <c r="B9" s="17">
        <v>42131</v>
      </c>
      <c r="C9" s="18" t="s">
        <v>532</v>
      </c>
      <c r="D9" s="20"/>
      <c r="E9" s="28" t="s">
        <v>310</v>
      </c>
      <c r="F9" s="21" t="s">
        <v>533</v>
      </c>
      <c r="G9" s="22" t="s">
        <v>91</v>
      </c>
      <c r="H9" s="23">
        <v>480000</v>
      </c>
      <c r="I9" s="57"/>
      <c r="J9" s="23"/>
      <c r="K9" s="24"/>
      <c r="L9" s="57"/>
      <c r="M9" s="57"/>
      <c r="N9" s="57"/>
      <c r="O9" s="57"/>
      <c r="P9" s="57"/>
      <c r="Q9" s="57"/>
      <c r="R9" s="76"/>
      <c r="S9" s="57"/>
      <c r="T9" s="24"/>
      <c r="U9" s="16">
        <f t="shared" si="2"/>
        <v>480000</v>
      </c>
      <c r="V9" s="23">
        <v>480000</v>
      </c>
      <c r="W9" s="17">
        <v>42131</v>
      </c>
      <c r="X9" s="17"/>
      <c r="Y9" s="22">
        <f t="shared" si="0"/>
        <v>0</v>
      </c>
      <c r="Z9" s="18"/>
    </row>
    <row r="10" spans="1:27" s="124" customFormat="1" ht="31.2">
      <c r="A10" s="27"/>
      <c r="B10" s="128">
        <v>42132</v>
      </c>
      <c r="C10" s="129" t="s">
        <v>535</v>
      </c>
      <c r="D10" s="62" t="s">
        <v>536</v>
      </c>
      <c r="E10" s="40" t="s">
        <v>538</v>
      </c>
      <c r="F10" s="21" t="s">
        <v>537</v>
      </c>
      <c r="G10" s="23" t="s">
        <v>94</v>
      </c>
      <c r="H10" s="23"/>
      <c r="I10" s="123"/>
      <c r="J10" s="23">
        <v>1320000</v>
      </c>
      <c r="K10" s="24"/>
      <c r="L10" s="123"/>
      <c r="M10" s="123"/>
      <c r="N10" s="27"/>
      <c r="O10" s="27"/>
      <c r="P10" s="27"/>
      <c r="Q10" s="27"/>
      <c r="R10" s="27"/>
      <c r="S10" s="27"/>
      <c r="T10" s="24">
        <v>132000</v>
      </c>
      <c r="U10" s="16">
        <f t="shared" si="2"/>
        <v>1452000</v>
      </c>
      <c r="V10" s="23">
        <v>1452000</v>
      </c>
      <c r="W10" s="17">
        <v>42132</v>
      </c>
      <c r="X10" s="17" t="s">
        <v>539</v>
      </c>
      <c r="Y10" s="22">
        <f t="shared" si="0"/>
        <v>0</v>
      </c>
      <c r="Z10" s="18"/>
    </row>
    <row r="11" spans="1:27" s="124" customFormat="1" ht="46.8">
      <c r="A11" s="23" t="s">
        <v>652</v>
      </c>
      <c r="B11" s="128">
        <v>42132</v>
      </c>
      <c r="C11" s="129" t="s">
        <v>540</v>
      </c>
      <c r="D11" s="62" t="s">
        <v>630</v>
      </c>
      <c r="E11" s="28" t="s">
        <v>96</v>
      </c>
      <c r="F11" s="21" t="s">
        <v>541</v>
      </c>
      <c r="G11" s="23" t="s">
        <v>94</v>
      </c>
      <c r="H11" s="23">
        <v>200000</v>
      </c>
      <c r="I11" s="123"/>
      <c r="J11" s="23">
        <v>1920000</v>
      </c>
      <c r="K11" s="24"/>
      <c r="L11" s="123"/>
      <c r="M11" s="123"/>
      <c r="N11" s="27"/>
      <c r="O11" s="27"/>
      <c r="P11" s="27"/>
      <c r="Q11" s="27"/>
      <c r="R11" s="27"/>
      <c r="S11" s="27"/>
      <c r="T11" s="24">
        <v>192000</v>
      </c>
      <c r="U11" s="16">
        <f t="shared" si="2"/>
        <v>2312000</v>
      </c>
      <c r="V11" s="23">
        <v>2312000</v>
      </c>
      <c r="W11" s="17">
        <v>42167</v>
      </c>
      <c r="X11" s="17" t="s">
        <v>548</v>
      </c>
      <c r="Y11" s="22">
        <f t="shared" si="0"/>
        <v>0</v>
      </c>
      <c r="Z11" s="18"/>
    </row>
    <row r="12" spans="1:27" s="124" customFormat="1" ht="31.2">
      <c r="A12" s="27" t="s">
        <v>544</v>
      </c>
      <c r="B12" s="128">
        <v>42135</v>
      </c>
      <c r="C12" s="129" t="s">
        <v>545</v>
      </c>
      <c r="D12" s="62" t="s">
        <v>546</v>
      </c>
      <c r="E12" s="40" t="s">
        <v>361</v>
      </c>
      <c r="F12" s="21" t="s">
        <v>823</v>
      </c>
      <c r="G12" s="23" t="s">
        <v>125</v>
      </c>
      <c r="H12" s="23">
        <v>250000</v>
      </c>
      <c r="I12" s="123"/>
      <c r="J12" s="23">
        <v>1440000</v>
      </c>
      <c r="K12" s="24"/>
      <c r="L12" s="123"/>
      <c r="M12" s="123"/>
      <c r="N12" s="27"/>
      <c r="O12" s="27"/>
      <c r="P12" s="27"/>
      <c r="Q12" s="27"/>
      <c r="R12" s="27"/>
      <c r="S12" s="27"/>
      <c r="T12" s="24">
        <v>169000</v>
      </c>
      <c r="U12" s="16">
        <f t="shared" si="2"/>
        <v>1859000</v>
      </c>
      <c r="V12" s="23">
        <v>1859000</v>
      </c>
      <c r="W12" s="17">
        <v>42135</v>
      </c>
      <c r="X12" s="17" t="s">
        <v>547</v>
      </c>
      <c r="Y12" s="22">
        <f t="shared" si="0"/>
        <v>0</v>
      </c>
      <c r="Z12" s="18"/>
    </row>
    <row r="13" spans="1:27" s="124" customFormat="1" ht="31.2">
      <c r="A13" s="27" t="s">
        <v>549</v>
      </c>
      <c r="B13" s="128">
        <v>42135</v>
      </c>
      <c r="C13" s="129" t="s">
        <v>550</v>
      </c>
      <c r="D13" s="62"/>
      <c r="E13" s="40" t="s">
        <v>361</v>
      </c>
      <c r="F13" s="21" t="s">
        <v>551</v>
      </c>
      <c r="G13" s="23" t="s">
        <v>28</v>
      </c>
      <c r="H13" s="23">
        <v>250000</v>
      </c>
      <c r="I13" s="123"/>
      <c r="J13" s="23">
        <v>1440000</v>
      </c>
      <c r="K13" s="24"/>
      <c r="L13" s="123"/>
      <c r="M13" s="123"/>
      <c r="N13" s="27"/>
      <c r="O13" s="27"/>
      <c r="P13" s="27"/>
      <c r="Q13" s="27"/>
      <c r="R13" s="27"/>
      <c r="S13" s="27"/>
      <c r="T13" s="24"/>
      <c r="U13" s="16">
        <f t="shared" si="2"/>
        <v>1690000</v>
      </c>
      <c r="V13" s="23"/>
      <c r="W13" s="17"/>
      <c r="X13" s="17"/>
      <c r="Y13" s="22">
        <f t="shared" si="0"/>
        <v>1690000</v>
      </c>
      <c r="Z13" s="18" t="s">
        <v>557</v>
      </c>
    </row>
    <row r="14" spans="1:27" s="124" customFormat="1" ht="46.8">
      <c r="A14" s="23"/>
      <c r="B14" s="128">
        <v>42135</v>
      </c>
      <c r="C14" s="129" t="s">
        <v>555</v>
      </c>
      <c r="D14" s="62" t="s">
        <v>556</v>
      </c>
      <c r="E14" s="40" t="s">
        <v>558</v>
      </c>
      <c r="F14" s="21" t="s">
        <v>552</v>
      </c>
      <c r="G14" s="23" t="s">
        <v>47</v>
      </c>
      <c r="H14" s="23">
        <f>250000*3</f>
        <v>750000</v>
      </c>
      <c r="I14" s="123"/>
      <c r="J14" s="23">
        <v>2700000</v>
      </c>
      <c r="K14" s="24">
        <v>2050000</v>
      </c>
      <c r="L14" s="123"/>
      <c r="M14" s="123"/>
      <c r="N14" s="27"/>
      <c r="O14" s="27"/>
      <c r="P14" s="27"/>
      <c r="Q14" s="27"/>
      <c r="R14" s="27"/>
      <c r="S14" s="27"/>
      <c r="T14" s="24"/>
      <c r="U14" s="16">
        <f t="shared" si="2"/>
        <v>5500000</v>
      </c>
      <c r="V14" s="23">
        <f>5000000+500000</f>
        <v>5500000</v>
      </c>
      <c r="W14" s="17" t="s">
        <v>754</v>
      </c>
      <c r="X14" s="17" t="s">
        <v>748</v>
      </c>
      <c r="Y14" s="22">
        <f t="shared" si="0"/>
        <v>0</v>
      </c>
      <c r="Z14" s="18" t="s">
        <v>554</v>
      </c>
    </row>
    <row r="15" spans="1:27" s="124" customFormat="1" ht="46.8">
      <c r="A15" s="27"/>
      <c r="B15" s="175">
        <v>42135</v>
      </c>
      <c r="C15" s="82" t="s">
        <v>555</v>
      </c>
      <c r="D15" s="83" t="s">
        <v>556</v>
      </c>
      <c r="E15" s="84" t="s">
        <v>558</v>
      </c>
      <c r="F15" s="30" t="s">
        <v>553</v>
      </c>
      <c r="G15" s="27" t="s">
        <v>47</v>
      </c>
      <c r="H15" s="27">
        <f>250000*3</f>
        <v>750000</v>
      </c>
      <c r="I15" s="123"/>
      <c r="J15" s="27">
        <v>2700000</v>
      </c>
      <c r="K15" s="30">
        <v>2050000</v>
      </c>
      <c r="L15" s="123"/>
      <c r="M15" s="123"/>
      <c r="N15" s="27"/>
      <c r="O15" s="27"/>
      <c r="P15" s="27"/>
      <c r="Q15" s="27"/>
      <c r="R15" s="27"/>
      <c r="S15" s="27"/>
      <c r="T15" s="30"/>
      <c r="U15" s="85"/>
      <c r="V15" s="27"/>
      <c r="W15" s="81"/>
      <c r="X15" s="81"/>
      <c r="Y15" s="27">
        <f t="shared" si="0"/>
        <v>0</v>
      </c>
      <c r="Z15" s="82" t="s">
        <v>108</v>
      </c>
    </row>
    <row r="16" spans="1:27" s="124" customFormat="1" ht="31.2">
      <c r="A16" s="23"/>
      <c r="B16" s="128">
        <v>42136</v>
      </c>
      <c r="C16" s="160" t="s">
        <v>576</v>
      </c>
      <c r="D16" s="62" t="s">
        <v>579</v>
      </c>
      <c r="E16" s="40" t="s">
        <v>577</v>
      </c>
      <c r="F16" s="21" t="s">
        <v>592</v>
      </c>
      <c r="G16" s="23" t="s">
        <v>578</v>
      </c>
      <c r="H16" s="23"/>
      <c r="I16" s="123"/>
      <c r="J16" s="23">
        <v>1008000</v>
      </c>
      <c r="K16" s="24"/>
      <c r="L16" s="123"/>
      <c r="M16" s="123"/>
      <c r="N16" s="27"/>
      <c r="O16" s="27"/>
      <c r="P16" s="27"/>
      <c r="Q16" s="27"/>
      <c r="R16" s="27"/>
      <c r="S16" s="27"/>
      <c r="T16" s="24"/>
      <c r="U16" s="16">
        <f t="shared" ref="U16" si="3">+SUM(H16:T16)</f>
        <v>1008000</v>
      </c>
      <c r="V16" s="23">
        <v>1008000</v>
      </c>
      <c r="W16" s="17"/>
      <c r="X16" s="17"/>
      <c r="Y16" s="22">
        <f t="shared" si="0"/>
        <v>0</v>
      </c>
      <c r="Z16" s="18" t="s">
        <v>1003</v>
      </c>
    </row>
    <row r="17" spans="1:27" s="124" customFormat="1" ht="31.2">
      <c r="A17" s="23" t="s">
        <v>568</v>
      </c>
      <c r="B17" s="128">
        <v>42137</v>
      </c>
      <c r="C17" s="129" t="s">
        <v>569</v>
      </c>
      <c r="D17" s="62" t="s">
        <v>570</v>
      </c>
      <c r="E17" s="40" t="s">
        <v>224</v>
      </c>
      <c r="F17" s="21"/>
      <c r="G17" s="23" t="s">
        <v>91</v>
      </c>
      <c r="H17" s="23"/>
      <c r="I17" s="123"/>
      <c r="J17" s="23">
        <v>1440000</v>
      </c>
      <c r="K17" s="24"/>
      <c r="L17" s="123"/>
      <c r="M17" s="123"/>
      <c r="N17" s="27"/>
      <c r="O17" s="27"/>
      <c r="P17" s="27"/>
      <c r="Q17" s="27"/>
      <c r="R17" s="27"/>
      <c r="S17" s="27"/>
      <c r="T17" s="24">
        <v>144000</v>
      </c>
      <c r="U17" s="16">
        <f t="shared" si="2"/>
        <v>1584000</v>
      </c>
      <c r="V17" s="23">
        <v>1584000</v>
      </c>
      <c r="W17" s="17">
        <v>42138</v>
      </c>
      <c r="X17" s="17" t="s">
        <v>571</v>
      </c>
      <c r="Y17" s="22">
        <f t="shared" si="0"/>
        <v>0</v>
      </c>
      <c r="Z17" s="18"/>
    </row>
    <row r="18" spans="1:27" s="124" customFormat="1" ht="46.8">
      <c r="A18" s="23" t="s">
        <v>572</v>
      </c>
      <c r="B18" s="128">
        <v>42138</v>
      </c>
      <c r="C18" s="129" t="s">
        <v>573</v>
      </c>
      <c r="D18" s="62" t="s">
        <v>575</v>
      </c>
      <c r="E18" s="40" t="s">
        <v>361</v>
      </c>
      <c r="F18" s="21" t="s">
        <v>574</v>
      </c>
      <c r="G18" s="23" t="s">
        <v>91</v>
      </c>
      <c r="H18" s="23">
        <v>250000</v>
      </c>
      <c r="I18" s="123"/>
      <c r="J18" s="23">
        <v>1440000</v>
      </c>
      <c r="K18" s="24"/>
      <c r="L18" s="23">
        <v>500000</v>
      </c>
      <c r="M18" s="123"/>
      <c r="N18" s="27"/>
      <c r="O18" s="27"/>
      <c r="P18" s="27"/>
      <c r="Q18" s="27"/>
      <c r="R18" s="27"/>
      <c r="S18" s="27"/>
      <c r="T18" s="24"/>
      <c r="U18" s="16">
        <f t="shared" si="2"/>
        <v>2190000</v>
      </c>
      <c r="V18" s="23"/>
      <c r="W18" s="17"/>
      <c r="X18" s="17"/>
      <c r="Y18" s="22">
        <f t="shared" si="0"/>
        <v>2190000</v>
      </c>
      <c r="Z18" s="18" t="s">
        <v>675</v>
      </c>
    </row>
    <row r="19" spans="1:27" s="124" customFormat="1" ht="46.8">
      <c r="A19" s="23" t="s">
        <v>584</v>
      </c>
      <c r="B19" s="128">
        <v>42138</v>
      </c>
      <c r="C19" s="129" t="s">
        <v>580</v>
      </c>
      <c r="D19" s="62" t="s">
        <v>581</v>
      </c>
      <c r="E19" s="40" t="s">
        <v>583</v>
      </c>
      <c r="F19" s="21" t="s">
        <v>582</v>
      </c>
      <c r="G19" s="23" t="s">
        <v>28</v>
      </c>
      <c r="H19" s="23">
        <v>700000</v>
      </c>
      <c r="I19" s="123"/>
      <c r="J19" s="23">
        <v>1440000</v>
      </c>
      <c r="K19" s="24">
        <v>500000</v>
      </c>
      <c r="L19" s="123"/>
      <c r="M19" s="123"/>
      <c r="N19" s="27"/>
      <c r="O19" s="27"/>
      <c r="P19" s="27"/>
      <c r="Q19" s="27"/>
      <c r="R19" s="27"/>
      <c r="S19" s="27"/>
      <c r="T19" s="24"/>
      <c r="U19" s="16">
        <f t="shared" si="2"/>
        <v>2640000</v>
      </c>
      <c r="V19" s="23">
        <v>2640000</v>
      </c>
      <c r="W19" s="17">
        <v>42143</v>
      </c>
      <c r="X19" s="17"/>
      <c r="Y19" s="22">
        <f t="shared" si="0"/>
        <v>0</v>
      </c>
      <c r="Z19" s="18"/>
    </row>
    <row r="20" spans="1:27" s="124" customFormat="1" ht="31.2">
      <c r="A20" s="27" t="s">
        <v>590</v>
      </c>
      <c r="B20" s="128">
        <v>42139</v>
      </c>
      <c r="C20" s="129" t="s">
        <v>587</v>
      </c>
      <c r="D20" s="62" t="s">
        <v>588</v>
      </c>
      <c r="E20" s="40" t="s">
        <v>361</v>
      </c>
      <c r="F20" s="21" t="s">
        <v>589</v>
      </c>
      <c r="G20" s="23" t="s">
        <v>275</v>
      </c>
      <c r="H20" s="23">
        <v>830000</v>
      </c>
      <c r="I20" s="123"/>
      <c r="J20" s="23">
        <v>1440000</v>
      </c>
      <c r="K20" s="24">
        <v>1000000</v>
      </c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2"/>
        <v>3270000</v>
      </c>
      <c r="V20" s="23"/>
      <c r="W20" s="17"/>
      <c r="X20" s="17"/>
      <c r="Y20" s="22">
        <f t="shared" ref="Y20:Y34" si="4">U20-V20</f>
        <v>3270000</v>
      </c>
      <c r="Z20" s="82" t="s">
        <v>557</v>
      </c>
    </row>
    <row r="21" spans="1:27" s="124" customFormat="1" ht="31.2">
      <c r="A21" s="23" t="s">
        <v>595</v>
      </c>
      <c r="B21" s="128">
        <v>42143</v>
      </c>
      <c r="C21" s="129" t="s">
        <v>593</v>
      </c>
      <c r="D21" s="62" t="s">
        <v>596</v>
      </c>
      <c r="E21" s="40" t="s">
        <v>361</v>
      </c>
      <c r="F21" s="21" t="s">
        <v>597</v>
      </c>
      <c r="G21" s="23" t="s">
        <v>28</v>
      </c>
      <c r="H21" s="23">
        <v>250000</v>
      </c>
      <c r="I21" s="123"/>
      <c r="J21" s="23">
        <v>1440000</v>
      </c>
      <c r="K21" s="24"/>
      <c r="L21" s="123"/>
      <c r="M21" s="123"/>
      <c r="N21" s="27"/>
      <c r="O21" s="27"/>
      <c r="P21" s="27"/>
      <c r="Q21" s="27"/>
      <c r="R21" s="27"/>
      <c r="S21" s="27"/>
      <c r="T21" s="24">
        <v>169000</v>
      </c>
      <c r="U21" s="16">
        <f t="shared" si="2"/>
        <v>1859000</v>
      </c>
      <c r="V21" s="23">
        <v>1859000</v>
      </c>
      <c r="W21" s="17">
        <v>42144</v>
      </c>
      <c r="X21" s="17" t="s">
        <v>594</v>
      </c>
      <c r="Y21" s="22">
        <f t="shared" si="4"/>
        <v>0</v>
      </c>
      <c r="Z21" s="18"/>
    </row>
    <row r="22" spans="1:27" s="124" customFormat="1" ht="27.6">
      <c r="A22" s="27"/>
      <c r="B22" s="128">
        <v>42144</v>
      </c>
      <c r="C22" s="129" t="s">
        <v>601</v>
      </c>
      <c r="D22" s="62"/>
      <c r="E22" s="28" t="s">
        <v>600</v>
      </c>
      <c r="F22" s="21" t="s">
        <v>599</v>
      </c>
      <c r="G22" s="23" t="s">
        <v>602</v>
      </c>
      <c r="H22" s="23"/>
      <c r="I22" s="123"/>
      <c r="J22" s="23">
        <v>1440000</v>
      </c>
      <c r="K22" s="24"/>
      <c r="L22" s="123"/>
      <c r="M22" s="123"/>
      <c r="N22" s="27"/>
      <c r="O22" s="27"/>
      <c r="P22" s="27"/>
      <c r="Q22" s="27"/>
      <c r="R22" s="27"/>
      <c r="S22" s="27"/>
      <c r="T22" s="24"/>
      <c r="U22" s="16">
        <f t="shared" si="2"/>
        <v>1440000</v>
      </c>
      <c r="V22" s="23">
        <v>1440000</v>
      </c>
      <c r="W22" s="17">
        <v>42144</v>
      </c>
      <c r="X22" s="17"/>
      <c r="Y22" s="22">
        <f t="shared" si="4"/>
        <v>0</v>
      </c>
      <c r="Z22" s="18"/>
    </row>
    <row r="23" spans="1:27" s="124" customFormat="1" ht="31.2">
      <c r="A23" s="23" t="s">
        <v>603</v>
      </c>
      <c r="B23" s="128">
        <v>42145</v>
      </c>
      <c r="C23" s="129" t="s">
        <v>604</v>
      </c>
      <c r="D23" s="62" t="s">
        <v>605</v>
      </c>
      <c r="E23" s="40" t="s">
        <v>361</v>
      </c>
      <c r="F23" s="21" t="s">
        <v>606</v>
      </c>
      <c r="G23" s="23" t="s">
        <v>28</v>
      </c>
      <c r="H23" s="23">
        <v>250000</v>
      </c>
      <c r="I23" s="123"/>
      <c r="J23" s="23">
        <v>1440000</v>
      </c>
      <c r="K23" s="24">
        <v>1500000</v>
      </c>
      <c r="L23" s="123"/>
      <c r="M23" s="123"/>
      <c r="N23" s="27"/>
      <c r="O23" s="27"/>
      <c r="P23" s="27"/>
      <c r="Q23" s="27"/>
      <c r="R23" s="27"/>
      <c r="S23" s="27"/>
      <c r="T23" s="24"/>
      <c r="U23" s="16">
        <f t="shared" si="2"/>
        <v>3190000</v>
      </c>
      <c r="V23" s="23">
        <f>1595000+1595000</f>
        <v>3190000</v>
      </c>
      <c r="W23" s="17" t="s">
        <v>753</v>
      </c>
      <c r="X23" s="17"/>
      <c r="Y23" s="22">
        <f t="shared" si="4"/>
        <v>0</v>
      </c>
      <c r="Z23" s="18"/>
    </row>
    <row r="24" spans="1:27" s="124" customFormat="1" ht="31.2">
      <c r="A24" s="23" t="s">
        <v>607</v>
      </c>
      <c r="B24" s="128">
        <v>42145</v>
      </c>
      <c r="C24" s="129" t="s">
        <v>608</v>
      </c>
      <c r="D24" s="62" t="s">
        <v>609</v>
      </c>
      <c r="E24" s="40" t="s">
        <v>361</v>
      </c>
      <c r="F24" s="21" t="s">
        <v>610</v>
      </c>
      <c r="G24" s="23" t="s">
        <v>28</v>
      </c>
      <c r="H24" s="23">
        <v>830000</v>
      </c>
      <c r="I24" s="123"/>
      <c r="J24" s="23">
        <v>1440000</v>
      </c>
      <c r="K24" s="24">
        <v>4800000</v>
      </c>
      <c r="L24" s="123"/>
      <c r="M24" s="123"/>
      <c r="N24" s="27"/>
      <c r="O24" s="27"/>
      <c r="P24" s="27"/>
      <c r="Q24" s="27"/>
      <c r="R24" s="27"/>
      <c r="S24" s="27"/>
      <c r="T24" s="24"/>
      <c r="U24" s="16">
        <f t="shared" si="2"/>
        <v>7070000</v>
      </c>
      <c r="V24" s="23">
        <f>3535000+3535000</f>
        <v>7070000</v>
      </c>
      <c r="W24" s="17" t="s">
        <v>832</v>
      </c>
      <c r="X24" s="17"/>
      <c r="Y24" s="22">
        <f t="shared" si="4"/>
        <v>0</v>
      </c>
      <c r="Z24" s="82"/>
    </row>
    <row r="25" spans="1:27" s="124" customFormat="1" ht="31.2">
      <c r="A25" s="27"/>
      <c r="B25" s="42">
        <v>42145</v>
      </c>
      <c r="C25" s="129" t="s">
        <v>611</v>
      </c>
      <c r="D25" s="62" t="s">
        <v>612</v>
      </c>
      <c r="E25" s="28" t="s">
        <v>134</v>
      </c>
      <c r="F25" s="21" t="s">
        <v>613</v>
      </c>
      <c r="G25" s="23" t="s">
        <v>94</v>
      </c>
      <c r="H25" s="23">
        <v>250000</v>
      </c>
      <c r="I25" s="123"/>
      <c r="J25" s="23">
        <v>660000</v>
      </c>
      <c r="K25" s="24"/>
      <c r="L25" s="123"/>
      <c r="M25" s="123"/>
      <c r="N25" s="27"/>
      <c r="O25" s="27"/>
      <c r="P25" s="27"/>
      <c r="Q25" s="27"/>
      <c r="R25" s="27"/>
      <c r="S25" s="27"/>
      <c r="T25" s="24"/>
      <c r="U25" s="16">
        <f t="shared" si="2"/>
        <v>910000</v>
      </c>
      <c r="V25" s="23">
        <v>910000</v>
      </c>
      <c r="W25" s="17">
        <v>42145</v>
      </c>
      <c r="X25" s="17"/>
      <c r="Y25" s="22">
        <f t="shared" si="4"/>
        <v>0</v>
      </c>
      <c r="Z25" s="82"/>
    </row>
    <row r="26" spans="1:27" s="63" customFormat="1" ht="31.2">
      <c r="A26" s="23" t="s">
        <v>615</v>
      </c>
      <c r="B26" s="42">
        <v>42146</v>
      </c>
      <c r="C26" s="125" t="s">
        <v>653</v>
      </c>
      <c r="D26" s="52" t="s">
        <v>616</v>
      </c>
      <c r="E26" s="40" t="s">
        <v>361</v>
      </c>
      <c r="F26" s="21" t="s">
        <v>617</v>
      </c>
      <c r="G26" s="22" t="s">
        <v>91</v>
      </c>
      <c r="H26" s="23"/>
      <c r="I26" s="121"/>
      <c r="J26" s="23"/>
      <c r="K26" s="24">
        <v>4000000</v>
      </c>
      <c r="L26" s="121"/>
      <c r="M26" s="121"/>
      <c r="N26" s="121"/>
      <c r="O26" s="121"/>
      <c r="P26" s="24"/>
      <c r="Q26" s="24"/>
      <c r="R26" s="121"/>
      <c r="S26" s="121"/>
      <c r="T26" s="24"/>
      <c r="U26" s="16">
        <f t="shared" si="2"/>
        <v>4000000</v>
      </c>
      <c r="V26" s="23">
        <v>2000000</v>
      </c>
      <c r="W26" s="122">
        <v>42151</v>
      </c>
      <c r="X26" s="17"/>
      <c r="Y26" s="22">
        <f t="shared" si="4"/>
        <v>2000000</v>
      </c>
      <c r="Z26" s="33"/>
      <c r="AA26" s="158"/>
    </row>
    <row r="27" spans="1:27" s="63" customFormat="1" ht="15.6">
      <c r="A27" s="27"/>
      <c r="B27" s="42">
        <v>42149</v>
      </c>
      <c r="C27" s="125" t="s">
        <v>622</v>
      </c>
      <c r="D27" s="52"/>
      <c r="E27" s="40" t="s">
        <v>101</v>
      </c>
      <c r="F27" s="21" t="s">
        <v>618</v>
      </c>
      <c r="G27" s="22" t="s">
        <v>91</v>
      </c>
      <c r="H27" s="23">
        <v>250000</v>
      </c>
      <c r="I27" s="121"/>
      <c r="J27" s="23"/>
      <c r="K27" s="24"/>
      <c r="L27" s="121"/>
      <c r="M27" s="121"/>
      <c r="N27" s="121"/>
      <c r="O27" s="121"/>
      <c r="P27" s="24"/>
      <c r="Q27" s="24"/>
      <c r="R27" s="121"/>
      <c r="S27" s="121"/>
      <c r="T27" s="24"/>
      <c r="U27" s="16">
        <f t="shared" si="2"/>
        <v>250000</v>
      </c>
      <c r="V27" s="23">
        <v>250000</v>
      </c>
      <c r="W27" s="122">
        <v>42149</v>
      </c>
      <c r="X27" s="17"/>
      <c r="Y27" s="22">
        <f t="shared" si="4"/>
        <v>0</v>
      </c>
      <c r="Z27" s="33"/>
      <c r="AA27" s="158"/>
    </row>
    <row r="28" spans="1:27" s="63" customFormat="1" ht="15.6">
      <c r="A28" s="27"/>
      <c r="B28" s="42">
        <v>42149</v>
      </c>
      <c r="C28" s="125" t="s">
        <v>623</v>
      </c>
      <c r="D28" s="52"/>
      <c r="E28" s="40" t="s">
        <v>101</v>
      </c>
      <c r="F28" s="21" t="s">
        <v>619</v>
      </c>
      <c r="G28" s="22" t="s">
        <v>91</v>
      </c>
      <c r="H28" s="23">
        <v>250000</v>
      </c>
      <c r="I28" s="121"/>
      <c r="J28" s="23"/>
      <c r="K28" s="24"/>
      <c r="L28" s="121"/>
      <c r="M28" s="121"/>
      <c r="N28" s="121"/>
      <c r="O28" s="121"/>
      <c r="P28" s="24"/>
      <c r="Q28" s="24"/>
      <c r="R28" s="121"/>
      <c r="S28" s="121"/>
      <c r="T28" s="24"/>
      <c r="U28" s="16">
        <f t="shared" si="2"/>
        <v>250000</v>
      </c>
      <c r="V28" s="23">
        <v>250000</v>
      </c>
      <c r="W28" s="122">
        <v>42149</v>
      </c>
      <c r="X28" s="17"/>
      <c r="Y28" s="22">
        <f t="shared" si="4"/>
        <v>0</v>
      </c>
      <c r="Z28" s="33"/>
      <c r="AA28" s="158"/>
    </row>
    <row r="29" spans="1:27" s="63" customFormat="1" ht="15.6">
      <c r="A29" s="27"/>
      <c r="B29" s="42">
        <v>42149</v>
      </c>
      <c r="C29" s="125" t="s">
        <v>624</v>
      </c>
      <c r="D29" s="52"/>
      <c r="E29" s="40" t="s">
        <v>101</v>
      </c>
      <c r="F29" s="21" t="s">
        <v>620</v>
      </c>
      <c r="G29" s="22" t="s">
        <v>91</v>
      </c>
      <c r="H29" s="23">
        <v>830000</v>
      </c>
      <c r="I29" s="121"/>
      <c r="J29" s="23"/>
      <c r="K29" s="24"/>
      <c r="L29" s="121"/>
      <c r="M29" s="121"/>
      <c r="N29" s="121"/>
      <c r="O29" s="121"/>
      <c r="P29" s="24"/>
      <c r="Q29" s="24"/>
      <c r="R29" s="121"/>
      <c r="S29" s="121"/>
      <c r="T29" s="24"/>
      <c r="U29" s="16">
        <f t="shared" si="2"/>
        <v>830000</v>
      </c>
      <c r="V29" s="23">
        <v>830000</v>
      </c>
      <c r="W29" s="122">
        <v>42149</v>
      </c>
      <c r="X29" s="17"/>
      <c r="Y29" s="22">
        <f t="shared" si="4"/>
        <v>0</v>
      </c>
      <c r="Z29" s="33"/>
      <c r="AA29" s="158"/>
    </row>
    <row r="30" spans="1:27" s="63" customFormat="1" ht="15.6">
      <c r="A30" s="27"/>
      <c r="B30" s="42">
        <v>42149</v>
      </c>
      <c r="C30" s="125" t="s">
        <v>625</v>
      </c>
      <c r="D30" s="52"/>
      <c r="E30" s="40" t="s">
        <v>101</v>
      </c>
      <c r="F30" s="21" t="s">
        <v>621</v>
      </c>
      <c r="G30" s="22" t="s">
        <v>91</v>
      </c>
      <c r="H30" s="23">
        <v>700000</v>
      </c>
      <c r="I30" s="121"/>
      <c r="J30" s="23"/>
      <c r="K30" s="24"/>
      <c r="L30" s="121"/>
      <c r="M30" s="121"/>
      <c r="N30" s="121"/>
      <c r="O30" s="121"/>
      <c r="P30" s="24"/>
      <c r="Q30" s="24"/>
      <c r="R30" s="121"/>
      <c r="S30" s="121"/>
      <c r="T30" s="24"/>
      <c r="U30" s="16">
        <f t="shared" si="2"/>
        <v>700000</v>
      </c>
      <c r="V30" s="23">
        <v>700000</v>
      </c>
      <c r="W30" s="122">
        <v>42149</v>
      </c>
      <c r="X30" s="17"/>
      <c r="Y30" s="22">
        <f t="shared" si="4"/>
        <v>0</v>
      </c>
      <c r="Z30" s="33"/>
      <c r="AA30" s="158"/>
    </row>
    <row r="31" spans="1:27" s="63" customFormat="1" ht="46.8">
      <c r="A31" s="23" t="s">
        <v>626</v>
      </c>
      <c r="B31" s="42">
        <v>42149</v>
      </c>
      <c r="C31" s="125" t="s">
        <v>627</v>
      </c>
      <c r="D31" s="20" t="s">
        <v>628</v>
      </c>
      <c r="E31" s="40" t="s">
        <v>361</v>
      </c>
      <c r="F31" s="21" t="s">
        <v>629</v>
      </c>
      <c r="G31" s="22" t="s">
        <v>102</v>
      </c>
      <c r="H31" s="23">
        <v>250000</v>
      </c>
      <c r="I31" s="121"/>
      <c r="J31" s="23"/>
      <c r="K31" s="24">
        <v>5750000</v>
      </c>
      <c r="L31" s="121"/>
      <c r="M31" s="121"/>
      <c r="N31" s="121"/>
      <c r="O31" s="121"/>
      <c r="P31" s="24"/>
      <c r="Q31" s="24"/>
      <c r="R31" s="121"/>
      <c r="S31" s="121"/>
      <c r="T31" s="24"/>
      <c r="U31" s="16">
        <f t="shared" si="2"/>
        <v>6000000</v>
      </c>
      <c r="V31" s="23">
        <v>3000000</v>
      </c>
      <c r="W31" s="122">
        <v>42152</v>
      </c>
      <c r="X31" s="17"/>
      <c r="Y31" s="22">
        <f t="shared" si="4"/>
        <v>3000000</v>
      </c>
      <c r="Z31" s="33" t="s">
        <v>509</v>
      </c>
      <c r="AA31" s="158"/>
    </row>
    <row r="32" spans="1:27" s="124" customFormat="1" ht="31.2">
      <c r="A32" s="27" t="s">
        <v>632</v>
      </c>
      <c r="B32" s="175">
        <v>42150</v>
      </c>
      <c r="C32" s="178" t="s">
        <v>633</v>
      </c>
      <c r="D32" s="179" t="s">
        <v>634</v>
      </c>
      <c r="E32" s="84"/>
      <c r="F32" s="30" t="s">
        <v>635</v>
      </c>
      <c r="G32" s="27" t="s">
        <v>28</v>
      </c>
      <c r="H32" s="27"/>
      <c r="I32" s="123"/>
      <c r="J32" s="27">
        <v>1440000</v>
      </c>
      <c r="K32" s="30"/>
      <c r="L32" s="123"/>
      <c r="M32" s="123"/>
      <c r="N32" s="123"/>
      <c r="O32" s="123"/>
      <c r="P32" s="30"/>
      <c r="Q32" s="30"/>
      <c r="R32" s="123"/>
      <c r="S32" s="123"/>
      <c r="T32" s="30"/>
      <c r="U32" s="85">
        <f t="shared" si="2"/>
        <v>1440000</v>
      </c>
      <c r="V32" s="27"/>
      <c r="W32" s="180"/>
      <c r="X32" s="81"/>
      <c r="Y32" s="27">
        <v>0</v>
      </c>
      <c r="Z32" s="83" t="s">
        <v>464</v>
      </c>
      <c r="AA32" s="181"/>
    </row>
    <row r="33" spans="1:27" s="63" customFormat="1" ht="31.2">
      <c r="A33" s="27" t="s">
        <v>641</v>
      </c>
      <c r="B33" s="42">
        <v>42151</v>
      </c>
      <c r="C33" s="125" t="s">
        <v>446</v>
      </c>
      <c r="D33" s="20" t="s">
        <v>642</v>
      </c>
      <c r="E33" s="40" t="s">
        <v>643</v>
      </c>
      <c r="F33" s="21"/>
      <c r="G33" s="22" t="s">
        <v>28</v>
      </c>
      <c r="H33" s="23"/>
      <c r="I33" s="121"/>
      <c r="J33" s="23">
        <v>600000</v>
      </c>
      <c r="K33" s="24"/>
      <c r="L33" s="121"/>
      <c r="M33" s="121"/>
      <c r="N33" s="121"/>
      <c r="O33" s="121"/>
      <c r="P33" s="24"/>
      <c r="Q33" s="24"/>
      <c r="R33" s="121"/>
      <c r="S33" s="121"/>
      <c r="T33" s="24"/>
      <c r="U33" s="16">
        <f t="shared" si="2"/>
        <v>600000</v>
      </c>
      <c r="V33" s="23">
        <v>600000</v>
      </c>
      <c r="W33" s="122">
        <v>42157</v>
      </c>
      <c r="X33" s="17"/>
      <c r="Y33" s="22">
        <f t="shared" si="4"/>
        <v>0</v>
      </c>
      <c r="Z33" s="33"/>
      <c r="AA33" s="158"/>
    </row>
    <row r="34" spans="1:27" ht="31.2">
      <c r="A34" s="23" t="s">
        <v>645</v>
      </c>
      <c r="B34" s="17">
        <v>42150</v>
      </c>
      <c r="C34" s="125" t="s">
        <v>644</v>
      </c>
      <c r="D34" s="20" t="s">
        <v>646</v>
      </c>
      <c r="E34" s="40" t="s">
        <v>647</v>
      </c>
      <c r="F34" s="21"/>
      <c r="G34" s="22" t="s">
        <v>28</v>
      </c>
      <c r="H34" s="23"/>
      <c r="I34" s="57"/>
      <c r="J34" s="23">
        <v>1440000</v>
      </c>
      <c r="K34" s="24"/>
      <c r="L34" s="57"/>
      <c r="M34" s="57"/>
      <c r="N34" s="57"/>
      <c r="O34" s="57"/>
      <c r="P34" s="57"/>
      <c r="Q34" s="57"/>
      <c r="R34" s="57"/>
      <c r="S34" s="57"/>
      <c r="T34" s="24"/>
      <c r="U34" s="16">
        <f t="shared" si="2"/>
        <v>1440000</v>
      </c>
      <c r="V34" s="23">
        <v>1440000</v>
      </c>
      <c r="W34" s="122">
        <v>42156</v>
      </c>
      <c r="X34" s="17"/>
      <c r="Y34" s="22">
        <f t="shared" si="4"/>
        <v>0</v>
      </c>
      <c r="Z34" s="57"/>
    </row>
    <row r="35" spans="1:27" ht="31.2">
      <c r="A35" s="23" t="s">
        <v>637</v>
      </c>
      <c r="B35" s="17">
        <v>42151</v>
      </c>
      <c r="C35" s="18" t="s">
        <v>638</v>
      </c>
      <c r="D35" s="20">
        <v>39110102</v>
      </c>
      <c r="E35" s="40" t="s">
        <v>361</v>
      </c>
      <c r="F35" s="21" t="s">
        <v>639</v>
      </c>
      <c r="G35" s="22" t="s">
        <v>47</v>
      </c>
      <c r="H35" s="23"/>
      <c r="I35" s="57"/>
      <c r="J35" s="23"/>
      <c r="K35" s="24">
        <v>5000000</v>
      </c>
      <c r="L35" s="57"/>
      <c r="M35" s="57"/>
      <c r="N35" s="57"/>
      <c r="O35" s="57"/>
      <c r="P35" s="57"/>
      <c r="Q35" s="57"/>
      <c r="R35" s="57"/>
      <c r="S35" s="57"/>
      <c r="T35" s="24"/>
      <c r="U35" s="16">
        <f t="shared" si="2"/>
        <v>5000000</v>
      </c>
      <c r="V35" s="23">
        <f>2500000+2500000</f>
        <v>5000000</v>
      </c>
      <c r="W35" s="51" t="s">
        <v>884</v>
      </c>
      <c r="X35" s="40" t="s">
        <v>875</v>
      </c>
      <c r="Y35" s="22">
        <f t="shared" ref="Y35:Y39" si="5">U35-V35</f>
        <v>0</v>
      </c>
      <c r="Z35" s="57"/>
    </row>
    <row r="36" spans="1:27" ht="15.6">
      <c r="A36" s="27"/>
      <c r="B36" s="17"/>
      <c r="C36" s="18" t="s">
        <v>491</v>
      </c>
      <c r="D36" s="20"/>
      <c r="E36" s="40" t="s">
        <v>101</v>
      </c>
      <c r="F36" s="21" t="s">
        <v>640</v>
      </c>
      <c r="G36" s="22" t="s">
        <v>91</v>
      </c>
      <c r="H36" s="23">
        <v>250000</v>
      </c>
      <c r="I36" s="57"/>
      <c r="J36" s="23"/>
      <c r="K36" s="24"/>
      <c r="L36" s="57"/>
      <c r="M36" s="57"/>
      <c r="N36" s="57"/>
      <c r="O36" s="57"/>
      <c r="P36" s="57"/>
      <c r="Q36" s="57"/>
      <c r="R36" s="57"/>
      <c r="S36" s="57"/>
      <c r="T36" s="24"/>
      <c r="U36" s="16">
        <f t="shared" si="2"/>
        <v>250000</v>
      </c>
      <c r="V36" s="23">
        <v>250000</v>
      </c>
      <c r="W36" s="122">
        <v>42151</v>
      </c>
      <c r="X36" s="57"/>
      <c r="Y36" s="22">
        <f t="shared" si="5"/>
        <v>0</v>
      </c>
      <c r="Z36" s="57"/>
    </row>
    <row r="37" spans="1:27" ht="31.2">
      <c r="A37" s="27" t="s">
        <v>649</v>
      </c>
      <c r="B37" s="17">
        <v>42152</v>
      </c>
      <c r="C37" s="18" t="s">
        <v>650</v>
      </c>
      <c r="D37" s="20"/>
      <c r="E37" s="40" t="s">
        <v>647</v>
      </c>
      <c r="F37" s="21"/>
      <c r="G37" s="22" t="s">
        <v>140</v>
      </c>
      <c r="H37" s="23"/>
      <c r="I37" s="57"/>
      <c r="J37" s="23">
        <v>1440000</v>
      </c>
      <c r="K37" s="24">
        <v>2200000</v>
      </c>
      <c r="L37" s="57"/>
      <c r="M37" s="57"/>
      <c r="N37" s="57"/>
      <c r="O37" s="57"/>
      <c r="P37" s="57"/>
      <c r="Q37" s="57"/>
      <c r="R37" s="57"/>
      <c r="S37" s="57"/>
      <c r="T37" s="24"/>
      <c r="U37" s="16">
        <f t="shared" si="2"/>
        <v>3640000</v>
      </c>
      <c r="V37" s="23">
        <v>500000</v>
      </c>
      <c r="W37" s="122">
        <v>42156</v>
      </c>
      <c r="X37" s="57"/>
      <c r="Y37" s="22">
        <f t="shared" si="5"/>
        <v>3140000</v>
      </c>
      <c r="Z37" s="57"/>
    </row>
    <row r="38" spans="1:27" ht="27.6">
      <c r="A38" s="27"/>
      <c r="B38" s="17"/>
      <c r="C38" s="18" t="s">
        <v>210</v>
      </c>
      <c r="D38" s="20"/>
      <c r="E38" s="40" t="s">
        <v>481</v>
      </c>
      <c r="F38" s="21" t="s">
        <v>212</v>
      </c>
      <c r="G38" s="22" t="s">
        <v>140</v>
      </c>
      <c r="H38" s="23"/>
      <c r="I38" s="57"/>
      <c r="J38" s="23"/>
      <c r="K38" s="24">
        <v>1500000</v>
      </c>
      <c r="L38" s="57"/>
      <c r="M38" s="57"/>
      <c r="N38" s="57"/>
      <c r="O38" s="57"/>
      <c r="P38" s="57"/>
      <c r="Q38" s="57"/>
      <c r="R38" s="57"/>
      <c r="S38" s="57"/>
      <c r="T38" s="24"/>
      <c r="U38" s="16">
        <f t="shared" si="2"/>
        <v>1500000</v>
      </c>
      <c r="V38" s="23">
        <v>1500000</v>
      </c>
      <c r="W38" s="57"/>
      <c r="X38" s="57"/>
      <c r="Y38" s="22">
        <f t="shared" si="5"/>
        <v>0</v>
      </c>
      <c r="Z38" s="40" t="s">
        <v>699</v>
      </c>
    </row>
    <row r="39" spans="1:27" ht="27.6">
      <c r="A39" s="27"/>
      <c r="B39" s="17">
        <v>42154</v>
      </c>
      <c r="C39" s="18" t="s">
        <v>762</v>
      </c>
      <c r="D39" s="20"/>
      <c r="E39" s="40"/>
      <c r="F39" s="21" t="s">
        <v>690</v>
      </c>
      <c r="G39" s="22" t="s">
        <v>602</v>
      </c>
      <c r="H39" s="23">
        <v>350000</v>
      </c>
      <c r="I39" s="57"/>
      <c r="J39" s="23">
        <v>1440000</v>
      </c>
      <c r="K39" s="24"/>
      <c r="L39" s="57"/>
      <c r="M39" s="57"/>
      <c r="N39" s="57"/>
      <c r="O39" s="57"/>
      <c r="P39" s="57"/>
      <c r="Q39" s="57"/>
      <c r="R39" s="57"/>
      <c r="S39" s="57"/>
      <c r="T39" s="24"/>
      <c r="U39" s="16">
        <f t="shared" si="2"/>
        <v>1790000</v>
      </c>
      <c r="V39" s="23">
        <v>1790000</v>
      </c>
      <c r="W39" s="122">
        <v>42185</v>
      </c>
      <c r="X39" s="57"/>
      <c r="Y39" s="22">
        <f t="shared" si="5"/>
        <v>0</v>
      </c>
      <c r="Z39" s="57"/>
    </row>
    <row r="40" spans="1:27" ht="15.6">
      <c r="A40" s="27"/>
      <c r="B40" s="17"/>
      <c r="C40" s="79" t="s">
        <v>107</v>
      </c>
      <c r="D40" s="57"/>
      <c r="E40" s="57"/>
      <c r="F40" s="57"/>
      <c r="G40" s="57"/>
      <c r="H40" s="80">
        <f>SUM(H6:H35)</f>
        <v>8570000</v>
      </c>
      <c r="I40" s="80">
        <f t="shared" ref="I40:Y40" si="6">SUM(I6:I35)</f>
        <v>0</v>
      </c>
      <c r="J40" s="80">
        <f t="shared" si="6"/>
        <v>32448000</v>
      </c>
      <c r="K40" s="80">
        <f t="shared" si="6"/>
        <v>29650000</v>
      </c>
      <c r="L40" s="80">
        <f t="shared" si="6"/>
        <v>500000</v>
      </c>
      <c r="M40" s="80">
        <f t="shared" si="6"/>
        <v>0</v>
      </c>
      <c r="N40" s="80">
        <f t="shared" si="6"/>
        <v>0</v>
      </c>
      <c r="O40" s="80">
        <f t="shared" si="6"/>
        <v>0</v>
      </c>
      <c r="P40" s="80">
        <f t="shared" si="6"/>
        <v>0</v>
      </c>
      <c r="Q40" s="80">
        <f t="shared" si="6"/>
        <v>0</v>
      </c>
      <c r="R40" s="80">
        <f t="shared" si="6"/>
        <v>0</v>
      </c>
      <c r="S40" s="80">
        <f t="shared" si="6"/>
        <v>0</v>
      </c>
      <c r="T40" s="80">
        <f t="shared" si="6"/>
        <v>806000</v>
      </c>
      <c r="U40" s="80">
        <f t="shared" si="6"/>
        <v>66474000</v>
      </c>
      <c r="V40" s="80">
        <f t="shared" si="6"/>
        <v>52884000</v>
      </c>
      <c r="W40" s="80"/>
      <c r="X40" s="80">
        <f t="shared" si="6"/>
        <v>0</v>
      </c>
      <c r="Y40" s="80">
        <f t="shared" si="6"/>
        <v>12150000</v>
      </c>
      <c r="Z40" s="57"/>
    </row>
    <row r="42" spans="1:27">
      <c r="V42">
        <f>1250+864+250</f>
        <v>2364</v>
      </c>
    </row>
    <row r="43" spans="1:27">
      <c r="V43">
        <f>2500-V42</f>
        <v>136</v>
      </c>
    </row>
    <row r="44" spans="1:27">
      <c r="O44" t="s">
        <v>95</v>
      </c>
      <c r="U44" s="78"/>
    </row>
    <row r="45" spans="1:27">
      <c r="A45" s="133" t="s">
        <v>327</v>
      </c>
    </row>
  </sheetData>
  <autoFilter ref="A3:Z40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34:E39 E1:E32">
    <cfRule type="containsText" dxfId="218" priority="36" stopIfTrue="1" operator="containsText" text="Gia hạn">
      <formula>NOT(ISERROR(SEARCH("Gia hạn",E1)))</formula>
    </cfRule>
    <cfRule type="cellIs" dxfId="217" priority="37" stopIfTrue="1" operator="equal">
      <formula>"Gia hạn"</formula>
    </cfRule>
  </conditionalFormatting>
  <conditionalFormatting sqref="G1:G33">
    <cfRule type="containsText" dxfId="216" priority="35" stopIfTrue="1" operator="containsText" text="THV">
      <formula>NOT(ISERROR(SEARCH("THV",G1)))</formula>
    </cfRule>
  </conditionalFormatting>
  <conditionalFormatting sqref="E34:E65490 E1:E32">
    <cfRule type="containsText" dxfId="215" priority="34" stopIfTrue="1" operator="containsText" text="gia hạn">
      <formula>NOT(ISERROR(SEARCH("gia hạn",E1)))</formula>
    </cfRule>
  </conditionalFormatting>
  <conditionalFormatting sqref="G1:G1048576">
    <cfRule type="containsText" dxfId="214" priority="33" operator="containsText" text="Tịnh">
      <formula>NOT(ISERROR(SEARCH("Tịnh",G1)))</formula>
    </cfRule>
  </conditionalFormatting>
  <conditionalFormatting sqref="G34">
    <cfRule type="containsText" dxfId="213" priority="32" stopIfTrue="1" operator="containsText" text="THV">
      <formula>NOT(ISERROR(SEARCH("THV",G34)))</formula>
    </cfRule>
  </conditionalFormatting>
  <conditionalFormatting sqref="G35:G39">
    <cfRule type="containsText" dxfId="212" priority="11" stopIfTrue="1" operator="containsText" text="THV">
      <formula>NOT(ISERROR(SEARCH("THV",G35)))</formula>
    </cfRule>
  </conditionalFormatting>
  <conditionalFormatting sqref="G34">
    <cfRule type="containsText" dxfId="211" priority="10" stopIfTrue="1" operator="containsText" text="THV">
      <formula>NOT(ISERROR(SEARCH("THV",G34)))</formula>
    </cfRule>
  </conditionalFormatting>
  <conditionalFormatting sqref="E33">
    <cfRule type="containsText" dxfId="210" priority="8" stopIfTrue="1" operator="containsText" text="Gia hạn">
      <formula>NOT(ISERROR(SEARCH("Gia hạn",E33)))</formula>
    </cfRule>
    <cfRule type="cellIs" dxfId="209" priority="9" stopIfTrue="1" operator="equal">
      <formula>"Gia hạn"</formula>
    </cfRule>
  </conditionalFormatting>
  <conditionalFormatting sqref="E33">
    <cfRule type="containsText" dxfId="208" priority="7" stopIfTrue="1" operator="containsText" text="gia hạn">
      <formula>NOT(ISERROR(SEARCH("gia hạn",E33)))</formula>
    </cfRule>
  </conditionalFormatting>
  <conditionalFormatting sqref="Z38">
    <cfRule type="containsText" dxfId="207" priority="5" stopIfTrue="1" operator="containsText" text="Gia hạn">
      <formula>NOT(ISERROR(SEARCH("Gia hạn",Z38)))</formula>
    </cfRule>
    <cfRule type="cellIs" dxfId="206" priority="6" stopIfTrue="1" operator="equal">
      <formula>"Gia hạn"</formula>
    </cfRule>
  </conditionalFormatting>
  <conditionalFormatting sqref="Z38">
    <cfRule type="containsText" dxfId="205" priority="4" stopIfTrue="1" operator="containsText" text="gia hạn">
      <formula>NOT(ISERROR(SEARCH("gia hạn",Z38)))</formula>
    </cfRule>
  </conditionalFormatting>
  <conditionalFormatting sqref="X35">
    <cfRule type="containsText" dxfId="204" priority="2" stopIfTrue="1" operator="containsText" text="Gia hạn">
      <formula>NOT(ISERROR(SEARCH("Gia hạn",X35)))</formula>
    </cfRule>
    <cfRule type="cellIs" dxfId="203" priority="3" stopIfTrue="1" operator="equal">
      <formula>"Gia hạn"</formula>
    </cfRule>
  </conditionalFormatting>
  <conditionalFormatting sqref="X35">
    <cfRule type="containsText" dxfId="202" priority="1" stopIfTrue="1" operator="containsText" text="gia hạn">
      <formula>NOT(ISERROR(SEARCH("gia hạn",X35)))</formula>
    </cfRule>
  </conditionalFormatting>
  <hyperlinks>
    <hyperlink ref="F22" r:id="rId1" display="http://trungvietco.com.vn/"/>
  </hyperlinks>
  <pageMargins left="0.7" right="0.7" top="0.75" bottom="0.75" header="0.3" footer="0.3"/>
  <pageSetup orientation="portrait" verticalDpi="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3"/>
  <sheetViews>
    <sheetView workbookViewId="0">
      <pane xSplit="3" ySplit="5" topLeftCell="D53" activePane="bottomRight" state="frozen"/>
      <selection pane="topRight" activeCell="D1" sqref="D1"/>
      <selection pane="bottomLeft" activeCell="A6" sqref="A6"/>
      <selection pane="bottomRight" activeCell="Y55" sqref="Y55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62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651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31.2">
      <c r="A6" s="27"/>
      <c r="B6" s="17">
        <v>42156</v>
      </c>
      <c r="C6" s="125" t="s">
        <v>819</v>
      </c>
      <c r="D6" s="20"/>
      <c r="E6" s="40" t="s">
        <v>361</v>
      </c>
      <c r="F6" s="21"/>
      <c r="G6" s="22" t="s">
        <v>102</v>
      </c>
      <c r="H6" s="23"/>
      <c r="I6" s="24"/>
      <c r="J6" s="23"/>
      <c r="K6" s="24">
        <v>3500000</v>
      </c>
      <c r="L6" s="24"/>
      <c r="M6" s="23"/>
      <c r="N6" s="24"/>
      <c r="O6" s="24"/>
      <c r="P6" s="24"/>
      <c r="Q6" s="24"/>
      <c r="R6" s="24"/>
      <c r="S6" s="24"/>
      <c r="T6" s="24"/>
      <c r="U6" s="16">
        <f>+SUM(H6:T6)</f>
        <v>3500000</v>
      </c>
      <c r="V6" s="23">
        <v>1750000</v>
      </c>
      <c r="W6" s="17"/>
      <c r="X6" s="17"/>
      <c r="Y6" s="22">
        <f t="shared" ref="Y6:Y46" si="0">U6-V6</f>
        <v>1750000</v>
      </c>
      <c r="Z6" s="62" t="s">
        <v>761</v>
      </c>
      <c r="AA6" s="29"/>
    </row>
    <row r="7" spans="1:27" ht="31.2">
      <c r="A7" s="27" t="s">
        <v>655</v>
      </c>
      <c r="B7" s="17">
        <v>42159</v>
      </c>
      <c r="C7" s="125" t="s">
        <v>656</v>
      </c>
      <c r="D7" s="20">
        <v>838409861</v>
      </c>
      <c r="E7" s="28" t="s">
        <v>96</v>
      </c>
      <c r="F7" s="21" t="s">
        <v>657</v>
      </c>
      <c r="G7" s="22" t="s">
        <v>91</v>
      </c>
      <c r="H7" s="23">
        <v>258000</v>
      </c>
      <c r="I7" s="24"/>
      <c r="J7" s="23">
        <v>1440000</v>
      </c>
      <c r="K7" s="24"/>
      <c r="L7" s="24"/>
      <c r="M7" s="23"/>
      <c r="N7" s="24"/>
      <c r="O7" s="24"/>
      <c r="P7" s="24"/>
      <c r="Q7" s="24"/>
      <c r="R7" s="24"/>
      <c r="S7" s="24"/>
      <c r="T7" s="24">
        <v>169800</v>
      </c>
      <c r="U7" s="16">
        <f>+SUM(H7:T7)</f>
        <v>1867800</v>
      </c>
      <c r="V7" s="23">
        <v>1867800</v>
      </c>
      <c r="W7" s="17">
        <v>42165</v>
      </c>
      <c r="X7" s="17" t="s">
        <v>658</v>
      </c>
      <c r="Y7" s="22">
        <f t="shared" si="0"/>
        <v>0</v>
      </c>
      <c r="Z7" s="62" t="s">
        <v>528</v>
      </c>
      <c r="AA7" s="29"/>
    </row>
    <row r="8" spans="1:27" ht="31.2">
      <c r="A8" s="27"/>
      <c r="B8" s="17">
        <v>42159</v>
      </c>
      <c r="C8" s="125" t="s">
        <v>659</v>
      </c>
      <c r="D8" s="20">
        <v>838409861</v>
      </c>
      <c r="E8" s="28" t="s">
        <v>661</v>
      </c>
      <c r="F8" s="21" t="s">
        <v>660</v>
      </c>
      <c r="G8" s="22" t="s">
        <v>125</v>
      </c>
      <c r="H8" s="23">
        <v>250000</v>
      </c>
      <c r="I8" s="24"/>
      <c r="J8" s="23">
        <v>660000</v>
      </c>
      <c r="K8" s="24"/>
      <c r="L8" s="24"/>
      <c r="M8" s="23"/>
      <c r="N8" s="24"/>
      <c r="O8" s="24"/>
      <c r="P8" s="24"/>
      <c r="Q8" s="24"/>
      <c r="R8" s="24"/>
      <c r="S8" s="24"/>
      <c r="T8" s="24"/>
      <c r="U8" s="16">
        <f t="shared" ref="U8:U49" si="1">+SUM(H8:T8)</f>
        <v>910000</v>
      </c>
      <c r="V8" s="23">
        <v>910000</v>
      </c>
      <c r="W8" s="17">
        <v>42159</v>
      </c>
      <c r="X8" s="17"/>
      <c r="Y8" s="22">
        <f t="shared" si="0"/>
        <v>0</v>
      </c>
      <c r="Z8" s="62"/>
      <c r="AA8" s="29"/>
    </row>
    <row r="9" spans="1:27" ht="31.2">
      <c r="A9" s="23" t="s">
        <v>669</v>
      </c>
      <c r="B9" s="17">
        <v>42160</v>
      </c>
      <c r="C9" s="18" t="s">
        <v>670</v>
      </c>
      <c r="D9" s="20">
        <v>866742424</v>
      </c>
      <c r="E9" s="28" t="s">
        <v>224</v>
      </c>
      <c r="F9" s="21" t="s">
        <v>783</v>
      </c>
      <c r="G9" s="22" t="s">
        <v>47</v>
      </c>
      <c r="H9" s="23"/>
      <c r="I9" s="57"/>
      <c r="J9" s="23"/>
      <c r="K9" s="24">
        <v>7500000</v>
      </c>
      <c r="L9" s="57"/>
      <c r="M9" s="57"/>
      <c r="N9" s="57"/>
      <c r="O9" s="57"/>
      <c r="P9" s="57"/>
      <c r="Q9" s="57"/>
      <c r="R9" s="76"/>
      <c r="S9" s="24">
        <v>375000</v>
      </c>
      <c r="T9" s="24"/>
      <c r="U9" s="16">
        <f>+SUM(H9:T9)-S9</f>
        <v>7500000</v>
      </c>
      <c r="V9" s="23">
        <v>3750000</v>
      </c>
      <c r="W9" s="17">
        <v>42160</v>
      </c>
      <c r="X9" s="17"/>
      <c r="Y9" s="22">
        <f t="shared" si="0"/>
        <v>3750000</v>
      </c>
      <c r="Z9" s="163" t="s">
        <v>671</v>
      </c>
    </row>
    <row r="10" spans="1:27" s="124" customFormat="1" ht="31.2">
      <c r="A10" s="23" t="s">
        <v>663</v>
      </c>
      <c r="B10" s="17">
        <v>42160</v>
      </c>
      <c r="C10" s="18" t="s">
        <v>664</v>
      </c>
      <c r="D10" s="20">
        <v>866742424</v>
      </c>
      <c r="E10" s="28" t="s">
        <v>224</v>
      </c>
      <c r="F10" s="21" t="s">
        <v>665</v>
      </c>
      <c r="G10" s="23" t="s">
        <v>47</v>
      </c>
      <c r="H10" s="23"/>
      <c r="I10" s="123"/>
      <c r="J10" s="23"/>
      <c r="K10" s="24">
        <v>7500000</v>
      </c>
      <c r="L10" s="123"/>
      <c r="M10" s="123"/>
      <c r="N10" s="27"/>
      <c r="O10" s="27"/>
      <c r="P10" s="27"/>
      <c r="Q10" s="27"/>
      <c r="R10" s="27"/>
      <c r="S10" s="24">
        <v>375000</v>
      </c>
      <c r="T10" s="24"/>
      <c r="U10" s="16">
        <f>+SUM(H10:T10)-S10</f>
        <v>7500000</v>
      </c>
      <c r="V10" s="23">
        <v>3750000</v>
      </c>
      <c r="W10" s="17">
        <v>42160</v>
      </c>
      <c r="X10" s="17"/>
      <c r="Y10" s="22">
        <f t="shared" si="0"/>
        <v>3750000</v>
      </c>
      <c r="Z10" s="163" t="s">
        <v>671</v>
      </c>
    </row>
    <row r="11" spans="1:27" s="124" customFormat="1" ht="31.2">
      <c r="A11" s="23" t="s">
        <v>662</v>
      </c>
      <c r="B11" s="17">
        <v>42160</v>
      </c>
      <c r="C11" s="18" t="s">
        <v>664</v>
      </c>
      <c r="D11" s="20">
        <v>866742424</v>
      </c>
      <c r="E11" s="28" t="s">
        <v>336</v>
      </c>
      <c r="F11" s="21"/>
      <c r="G11" s="23" t="s">
        <v>47</v>
      </c>
      <c r="H11" s="23"/>
      <c r="I11" s="123"/>
      <c r="J11" s="23">
        <v>2160000</v>
      </c>
      <c r="K11" s="24"/>
      <c r="L11" s="123"/>
      <c r="M11" s="123"/>
      <c r="N11" s="27"/>
      <c r="O11" s="27"/>
      <c r="P11" s="27"/>
      <c r="Q11" s="27"/>
      <c r="R11" s="27"/>
      <c r="S11" s="24"/>
      <c r="T11" s="24">
        <v>216000</v>
      </c>
      <c r="U11" s="16">
        <f t="shared" si="1"/>
        <v>2376000</v>
      </c>
      <c r="V11" s="23">
        <v>2376000</v>
      </c>
      <c r="W11" s="17">
        <v>42160</v>
      </c>
      <c r="X11" s="17" t="s">
        <v>687</v>
      </c>
      <c r="Y11" s="22">
        <f t="shared" si="0"/>
        <v>0</v>
      </c>
      <c r="Z11" s="163" t="s">
        <v>671</v>
      </c>
    </row>
    <row r="12" spans="1:27" s="124" customFormat="1" ht="31.2">
      <c r="A12" s="64"/>
      <c r="B12" s="65">
        <v>42160</v>
      </c>
      <c r="C12" s="135" t="s">
        <v>666</v>
      </c>
      <c r="D12" s="77"/>
      <c r="E12" s="77" t="s">
        <v>667</v>
      </c>
      <c r="F12" s="68"/>
      <c r="G12" s="70" t="s">
        <v>953</v>
      </c>
      <c r="H12" s="70"/>
      <c r="I12" s="95"/>
      <c r="J12" s="70">
        <v>1920000</v>
      </c>
      <c r="K12" s="90"/>
      <c r="L12" s="95"/>
      <c r="M12" s="95"/>
      <c r="N12" s="64"/>
      <c r="O12" s="64"/>
      <c r="P12" s="64"/>
      <c r="Q12" s="64"/>
      <c r="R12" s="64"/>
      <c r="S12" s="64"/>
      <c r="T12" s="90">
        <v>192000</v>
      </c>
      <c r="U12" s="72">
        <f t="shared" si="1"/>
        <v>2112000</v>
      </c>
      <c r="V12" s="70">
        <v>2112000</v>
      </c>
      <c r="W12" s="65"/>
      <c r="X12" s="65" t="s">
        <v>668</v>
      </c>
      <c r="Y12" s="22">
        <f t="shared" si="0"/>
        <v>0</v>
      </c>
      <c r="Z12" s="66"/>
    </row>
    <row r="13" spans="1:27" s="124" customFormat="1" ht="15.6">
      <c r="A13" s="27"/>
      <c r="B13" s="128">
        <v>42163</v>
      </c>
      <c r="C13" s="129" t="s">
        <v>681</v>
      </c>
      <c r="D13" s="62"/>
      <c r="E13" s="40" t="s">
        <v>310</v>
      </c>
      <c r="F13" s="21" t="s">
        <v>680</v>
      </c>
      <c r="G13" s="23" t="s">
        <v>91</v>
      </c>
      <c r="H13" s="23">
        <v>480000</v>
      </c>
      <c r="I13" s="123"/>
      <c r="J13" s="23"/>
      <c r="K13" s="24"/>
      <c r="L13" s="123"/>
      <c r="M13" s="123"/>
      <c r="N13" s="27"/>
      <c r="O13" s="27"/>
      <c r="P13" s="27"/>
      <c r="Q13" s="27"/>
      <c r="R13" s="27"/>
      <c r="S13" s="27"/>
      <c r="T13" s="24"/>
      <c r="U13" s="16">
        <f t="shared" si="1"/>
        <v>480000</v>
      </c>
      <c r="V13" s="23">
        <v>480000</v>
      </c>
      <c r="W13" s="17">
        <v>42163</v>
      </c>
      <c r="X13" s="17"/>
      <c r="Y13" s="22">
        <f t="shared" si="0"/>
        <v>0</v>
      </c>
      <c r="Z13" s="18"/>
    </row>
    <row r="14" spans="1:27" s="124" customFormat="1" ht="27.6">
      <c r="A14" s="23"/>
      <c r="B14" s="128">
        <v>42163</v>
      </c>
      <c r="C14" s="129" t="s">
        <v>682</v>
      </c>
      <c r="D14" s="62"/>
      <c r="E14" s="40" t="s">
        <v>101</v>
      </c>
      <c r="F14" s="21" t="s">
        <v>621</v>
      </c>
      <c r="G14" s="23" t="s">
        <v>91</v>
      </c>
      <c r="H14" s="23">
        <v>700000</v>
      </c>
      <c r="I14" s="123"/>
      <c r="J14" s="23"/>
      <c r="K14" s="24"/>
      <c r="L14" s="123"/>
      <c r="M14" s="123"/>
      <c r="N14" s="27"/>
      <c r="O14" s="27"/>
      <c r="P14" s="27"/>
      <c r="Q14" s="27"/>
      <c r="R14" s="27"/>
      <c r="S14" s="27"/>
      <c r="T14" s="24"/>
      <c r="U14" s="16">
        <f t="shared" si="1"/>
        <v>700000</v>
      </c>
      <c r="V14" s="23">
        <v>700000</v>
      </c>
      <c r="W14" s="17">
        <v>42163</v>
      </c>
      <c r="X14" s="17"/>
      <c r="Y14" s="22">
        <f t="shared" si="0"/>
        <v>0</v>
      </c>
      <c r="Z14" s="18"/>
    </row>
    <row r="15" spans="1:27" s="124" customFormat="1" ht="31.2">
      <c r="A15" s="27"/>
      <c r="B15" s="128">
        <v>42163</v>
      </c>
      <c r="C15" s="129" t="s">
        <v>686</v>
      </c>
      <c r="D15" s="62"/>
      <c r="E15" s="40" t="s">
        <v>96</v>
      </c>
      <c r="F15" s="21" t="s">
        <v>684</v>
      </c>
      <c r="G15" s="23" t="s">
        <v>275</v>
      </c>
      <c r="H15" s="23">
        <v>250000</v>
      </c>
      <c r="I15" s="123"/>
      <c r="J15" s="23">
        <v>1440000</v>
      </c>
      <c r="K15" s="24"/>
      <c r="L15" s="123"/>
      <c r="M15" s="123"/>
      <c r="N15" s="27"/>
      <c r="O15" s="27"/>
      <c r="P15" s="27"/>
      <c r="Q15" s="27"/>
      <c r="R15" s="27"/>
      <c r="S15" s="27"/>
      <c r="T15" s="24"/>
      <c r="U15" s="16">
        <f t="shared" si="1"/>
        <v>1690000</v>
      </c>
      <c r="V15" s="23">
        <v>1690000</v>
      </c>
      <c r="W15" s="17">
        <v>42163</v>
      </c>
      <c r="X15" s="17"/>
      <c r="Y15" s="22">
        <f t="shared" si="0"/>
        <v>0</v>
      </c>
      <c r="Z15" s="18"/>
    </row>
    <row r="16" spans="1:27" s="124" customFormat="1" ht="31.2">
      <c r="A16" s="23"/>
      <c r="B16" s="128">
        <v>42163</v>
      </c>
      <c r="C16" s="160" t="s">
        <v>691</v>
      </c>
      <c r="D16" s="62"/>
      <c r="E16" s="40" t="s">
        <v>96</v>
      </c>
      <c r="F16" s="21" t="s">
        <v>482</v>
      </c>
      <c r="G16" s="23" t="s">
        <v>140</v>
      </c>
      <c r="H16" s="23">
        <v>250000</v>
      </c>
      <c r="I16" s="123"/>
      <c r="J16" s="23">
        <v>1440000</v>
      </c>
      <c r="K16" s="24"/>
      <c r="L16" s="123"/>
      <c r="M16" s="123"/>
      <c r="N16" s="27"/>
      <c r="O16" s="27"/>
      <c r="P16" s="27"/>
      <c r="Q16" s="27"/>
      <c r="R16" s="27"/>
      <c r="S16" s="27"/>
      <c r="T16" s="24">
        <v>169000</v>
      </c>
      <c r="U16" s="16">
        <f t="shared" si="1"/>
        <v>1859000</v>
      </c>
      <c r="V16" s="23">
        <v>1859000</v>
      </c>
      <c r="W16" s="17">
        <v>42163</v>
      </c>
      <c r="X16" s="17"/>
      <c r="Y16" s="22">
        <f t="shared" si="0"/>
        <v>0</v>
      </c>
      <c r="Z16" s="18"/>
    </row>
    <row r="17" spans="1:27" s="124" customFormat="1" ht="15.6">
      <c r="A17" s="23"/>
      <c r="B17" s="128">
        <v>42163</v>
      </c>
      <c r="C17" s="129" t="s">
        <v>692</v>
      </c>
      <c r="D17" s="62"/>
      <c r="E17" s="40" t="s">
        <v>600</v>
      </c>
      <c r="F17" s="21"/>
      <c r="G17" s="23" t="s">
        <v>91</v>
      </c>
      <c r="H17" s="23"/>
      <c r="I17" s="123"/>
      <c r="J17" s="23">
        <v>900000</v>
      </c>
      <c r="K17" s="24"/>
      <c r="L17" s="123"/>
      <c r="M17" s="123"/>
      <c r="N17" s="27"/>
      <c r="O17" s="27"/>
      <c r="P17" s="27"/>
      <c r="Q17" s="27"/>
      <c r="R17" s="27"/>
      <c r="S17" s="27"/>
      <c r="T17" s="24">
        <v>90000</v>
      </c>
      <c r="U17" s="16">
        <f t="shared" si="1"/>
        <v>990000</v>
      </c>
      <c r="V17" s="23">
        <v>990000</v>
      </c>
      <c r="W17" s="17">
        <v>42163</v>
      </c>
      <c r="X17" s="17"/>
      <c r="Y17" s="22">
        <f t="shared" si="0"/>
        <v>0</v>
      </c>
      <c r="Z17" s="18"/>
    </row>
    <row r="18" spans="1:27" s="124" customFormat="1" ht="31.2">
      <c r="A18" s="27" t="s">
        <v>693</v>
      </c>
      <c r="B18" s="128">
        <v>42164</v>
      </c>
      <c r="C18" s="129" t="s">
        <v>694</v>
      </c>
      <c r="D18" s="62">
        <v>909205656</v>
      </c>
      <c r="E18" s="40" t="s">
        <v>361</v>
      </c>
      <c r="F18" s="21" t="s">
        <v>894</v>
      </c>
      <c r="G18" s="23" t="s">
        <v>140</v>
      </c>
      <c r="H18" s="23"/>
      <c r="I18" s="123"/>
      <c r="J18" s="23"/>
      <c r="K18" s="24">
        <v>6000000</v>
      </c>
      <c r="L18" s="23"/>
      <c r="M18" s="123"/>
      <c r="N18" s="27"/>
      <c r="O18" s="27"/>
      <c r="P18" s="27"/>
      <c r="Q18" s="27"/>
      <c r="R18" s="27"/>
      <c r="S18" s="27"/>
      <c r="T18" s="24"/>
      <c r="U18" s="16">
        <f t="shared" si="1"/>
        <v>6000000</v>
      </c>
      <c r="V18" s="23">
        <v>3000000</v>
      </c>
      <c r="W18" s="17">
        <v>42165</v>
      </c>
      <c r="X18" s="17"/>
      <c r="Y18" s="22">
        <f t="shared" si="0"/>
        <v>3000000</v>
      </c>
      <c r="Z18" s="18"/>
    </row>
    <row r="19" spans="1:27" s="124" customFormat="1" ht="31.2">
      <c r="A19" s="27" t="s">
        <v>695</v>
      </c>
      <c r="B19" s="128">
        <v>42165</v>
      </c>
      <c r="C19" s="129" t="s">
        <v>696</v>
      </c>
      <c r="D19" s="62">
        <v>6513632161</v>
      </c>
      <c r="E19" s="40" t="s">
        <v>697</v>
      </c>
      <c r="F19" s="21"/>
      <c r="G19" s="23" t="s">
        <v>91</v>
      </c>
      <c r="H19" s="23"/>
      <c r="I19" s="123"/>
      <c r="J19" s="23"/>
      <c r="K19" s="24"/>
      <c r="L19" s="123"/>
      <c r="M19" s="123"/>
      <c r="N19" s="27"/>
      <c r="O19" s="27"/>
      <c r="P19" s="27"/>
      <c r="Q19" s="23">
        <v>16500000</v>
      </c>
      <c r="R19" s="23"/>
      <c r="S19" s="27"/>
      <c r="T19" s="24">
        <v>1650000</v>
      </c>
      <c r="U19" s="16">
        <f t="shared" si="1"/>
        <v>18150000</v>
      </c>
      <c r="V19" s="23">
        <v>18150000</v>
      </c>
      <c r="W19" s="17">
        <v>42171</v>
      </c>
      <c r="X19" s="17" t="s">
        <v>698</v>
      </c>
      <c r="Y19" s="22">
        <f t="shared" si="0"/>
        <v>0</v>
      </c>
      <c r="Z19" s="18" t="s">
        <v>734</v>
      </c>
    </row>
    <row r="20" spans="1:27" s="124" customFormat="1" ht="31.2">
      <c r="A20" s="27" t="s">
        <v>700</v>
      </c>
      <c r="B20" s="128">
        <v>42165</v>
      </c>
      <c r="C20" s="129" t="s">
        <v>701</v>
      </c>
      <c r="D20" s="62">
        <v>916285168</v>
      </c>
      <c r="E20" s="40" t="s">
        <v>361</v>
      </c>
      <c r="F20" s="21" t="s">
        <v>702</v>
      </c>
      <c r="G20" s="23" t="s">
        <v>91</v>
      </c>
      <c r="H20" s="23">
        <v>250000</v>
      </c>
      <c r="I20" s="123"/>
      <c r="J20" s="23">
        <v>1440000</v>
      </c>
      <c r="K20" s="24"/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1"/>
        <v>1690000</v>
      </c>
      <c r="V20" s="23">
        <v>1690000</v>
      </c>
      <c r="W20" s="17">
        <v>42171</v>
      </c>
      <c r="X20" s="17"/>
      <c r="Y20" s="22">
        <f t="shared" si="0"/>
        <v>0</v>
      </c>
      <c r="Z20" s="82"/>
    </row>
    <row r="21" spans="1:27" s="63" customFormat="1" ht="31.2">
      <c r="A21" s="164" t="s">
        <v>703</v>
      </c>
      <c r="B21" s="165">
        <v>42166</v>
      </c>
      <c r="C21" s="166" t="s">
        <v>704</v>
      </c>
      <c r="D21" s="167" t="s">
        <v>705</v>
      </c>
      <c r="E21" s="168" t="s">
        <v>706</v>
      </c>
      <c r="F21" s="169"/>
      <c r="G21" s="170" t="s">
        <v>28</v>
      </c>
      <c r="H21" s="164"/>
      <c r="I21" s="171"/>
      <c r="J21" s="164"/>
      <c r="K21" s="171">
        <v>3000000</v>
      </c>
      <c r="L21" s="171"/>
      <c r="M21" s="164"/>
      <c r="N21" s="171"/>
      <c r="O21" s="171"/>
      <c r="P21" s="171"/>
      <c r="Q21" s="171"/>
      <c r="R21" s="171"/>
      <c r="S21" s="171"/>
      <c r="T21" s="171"/>
      <c r="U21" s="172">
        <f t="shared" ref="U21" si="2">+SUM(H21:T21)</f>
        <v>3000000</v>
      </c>
      <c r="V21" s="164">
        <v>3000000</v>
      </c>
      <c r="W21" s="165">
        <v>42166</v>
      </c>
      <c r="X21" s="165"/>
      <c r="Y21" s="22">
        <f t="shared" si="0"/>
        <v>0</v>
      </c>
      <c r="Z21" s="173"/>
      <c r="AA21" s="29"/>
    </row>
    <row r="22" spans="1:27" s="124" customFormat="1" ht="46.8">
      <c r="A22" s="27"/>
      <c r="B22" s="128">
        <v>42167</v>
      </c>
      <c r="C22" s="129" t="s">
        <v>633</v>
      </c>
      <c r="D22" s="62"/>
      <c r="E22" s="28" t="s">
        <v>101</v>
      </c>
      <c r="F22" s="21" t="s">
        <v>707</v>
      </c>
      <c r="G22" s="23" t="s">
        <v>28</v>
      </c>
      <c r="H22" s="23">
        <v>750000</v>
      </c>
      <c r="I22" s="123"/>
      <c r="J22" s="23"/>
      <c r="K22" s="24"/>
      <c r="L22" s="123"/>
      <c r="M22" s="123"/>
      <c r="N22" s="27"/>
      <c r="O22" s="27"/>
      <c r="P22" s="27"/>
      <c r="Q22" s="27"/>
      <c r="R22" s="27"/>
      <c r="S22" s="27"/>
      <c r="T22" s="24"/>
      <c r="U22" s="16">
        <f t="shared" si="1"/>
        <v>750000</v>
      </c>
      <c r="V22" s="23">
        <v>750000</v>
      </c>
      <c r="W22" s="17">
        <v>42167</v>
      </c>
      <c r="X22" s="17"/>
      <c r="Y22" s="22">
        <f t="shared" si="0"/>
        <v>0</v>
      </c>
      <c r="Z22" s="18"/>
    </row>
    <row r="23" spans="1:27" s="124" customFormat="1" ht="46.8">
      <c r="A23" s="23" t="s">
        <v>708</v>
      </c>
      <c r="B23" s="42">
        <v>42170</v>
      </c>
      <c r="C23" s="129" t="s">
        <v>709</v>
      </c>
      <c r="D23" s="62" t="s">
        <v>710</v>
      </c>
      <c r="E23" s="28" t="s">
        <v>600</v>
      </c>
      <c r="F23" s="21" t="s">
        <v>711</v>
      </c>
      <c r="G23" s="23" t="s">
        <v>28</v>
      </c>
      <c r="H23" s="23"/>
      <c r="I23" s="123"/>
      <c r="J23" s="23">
        <v>1440000</v>
      </c>
      <c r="K23" s="24"/>
      <c r="L23" s="123"/>
      <c r="M23" s="123"/>
      <c r="N23" s="27"/>
      <c r="O23" s="27"/>
      <c r="P23" s="27"/>
      <c r="Q23" s="27"/>
      <c r="R23" s="27"/>
      <c r="S23" s="27"/>
      <c r="T23" s="24">
        <v>144000</v>
      </c>
      <c r="U23" s="16">
        <f t="shared" si="1"/>
        <v>1584000</v>
      </c>
      <c r="V23" s="23">
        <v>1584000</v>
      </c>
      <c r="W23" s="17">
        <v>42172</v>
      </c>
      <c r="X23" s="17" t="s">
        <v>716</v>
      </c>
      <c r="Y23" s="22">
        <f t="shared" si="0"/>
        <v>0</v>
      </c>
      <c r="Z23" s="82"/>
    </row>
    <row r="24" spans="1:27" s="63" customFormat="1" ht="31.2">
      <c r="A24" s="27" t="s">
        <v>712</v>
      </c>
      <c r="B24" s="42">
        <v>42170</v>
      </c>
      <c r="C24" s="125" t="s">
        <v>713</v>
      </c>
      <c r="D24" s="20" t="s">
        <v>714</v>
      </c>
      <c r="E24" s="40" t="s">
        <v>96</v>
      </c>
      <c r="F24" s="21" t="s">
        <v>715</v>
      </c>
      <c r="G24" s="23" t="s">
        <v>28</v>
      </c>
      <c r="H24" s="23">
        <v>250000</v>
      </c>
      <c r="I24" s="121"/>
      <c r="J24" s="23">
        <v>1440000</v>
      </c>
      <c r="K24" s="24"/>
      <c r="L24" s="121"/>
      <c r="M24" s="121"/>
      <c r="N24" s="121"/>
      <c r="O24" s="121"/>
      <c r="P24" s="24"/>
      <c r="Q24" s="24"/>
      <c r="R24" s="121"/>
      <c r="S24" s="121"/>
      <c r="T24" s="24">
        <v>169000</v>
      </c>
      <c r="U24" s="16">
        <f t="shared" si="1"/>
        <v>1859000</v>
      </c>
      <c r="V24" s="23">
        <v>1859000</v>
      </c>
      <c r="W24" s="122">
        <v>42177</v>
      </c>
      <c r="X24" s="17" t="s">
        <v>717</v>
      </c>
      <c r="Y24" s="22">
        <f t="shared" si="0"/>
        <v>0</v>
      </c>
      <c r="Z24" s="33"/>
      <c r="AA24" s="158"/>
    </row>
    <row r="25" spans="1:27" s="63" customFormat="1" ht="31.2">
      <c r="A25" s="23" t="s">
        <v>708</v>
      </c>
      <c r="B25" s="42">
        <v>42170</v>
      </c>
      <c r="C25" s="125" t="s">
        <v>719</v>
      </c>
      <c r="D25" s="52" t="s">
        <v>796</v>
      </c>
      <c r="E25" s="40" t="s">
        <v>347</v>
      </c>
      <c r="F25" s="21" t="s">
        <v>718</v>
      </c>
      <c r="G25" s="22" t="s">
        <v>91</v>
      </c>
      <c r="H25" s="23">
        <v>500000</v>
      </c>
      <c r="I25" s="121"/>
      <c r="J25" s="23">
        <v>1440000</v>
      </c>
      <c r="K25" s="24">
        <v>1000000</v>
      </c>
      <c r="L25" s="121"/>
      <c r="M25" s="121"/>
      <c r="N25" s="121"/>
      <c r="O25" s="121"/>
      <c r="P25" s="24"/>
      <c r="Q25" s="24"/>
      <c r="R25" s="121"/>
      <c r="S25" s="121"/>
      <c r="T25" s="24"/>
      <c r="U25" s="16">
        <f t="shared" si="1"/>
        <v>2940000</v>
      </c>
      <c r="V25" s="23">
        <f>2440000</f>
        <v>2440000</v>
      </c>
      <c r="W25" s="122">
        <v>42170</v>
      </c>
      <c r="X25" s="17"/>
      <c r="Y25" s="22">
        <f t="shared" si="0"/>
        <v>500000</v>
      </c>
      <c r="Z25" s="33"/>
      <c r="AA25" s="158"/>
    </row>
    <row r="26" spans="1:27" s="63" customFormat="1" ht="31.2">
      <c r="A26" s="27" t="s">
        <v>720</v>
      </c>
      <c r="B26" s="42">
        <v>42170</v>
      </c>
      <c r="C26" s="125" t="s">
        <v>721</v>
      </c>
      <c r="D26" s="20" t="s">
        <v>722</v>
      </c>
      <c r="E26" s="40" t="s">
        <v>347</v>
      </c>
      <c r="F26" s="21" t="s">
        <v>723</v>
      </c>
      <c r="G26" s="22" t="s">
        <v>28</v>
      </c>
      <c r="H26" s="23">
        <v>250000</v>
      </c>
      <c r="I26" s="121"/>
      <c r="J26" s="23">
        <v>1440000</v>
      </c>
      <c r="K26" s="24"/>
      <c r="L26" s="121"/>
      <c r="M26" s="121"/>
      <c r="N26" s="121"/>
      <c r="O26" s="121"/>
      <c r="P26" s="24"/>
      <c r="Q26" s="24"/>
      <c r="R26" s="121"/>
      <c r="S26" s="121"/>
      <c r="T26" s="24"/>
      <c r="U26" s="16">
        <f t="shared" si="1"/>
        <v>1690000</v>
      </c>
      <c r="V26" s="23">
        <v>1690000</v>
      </c>
      <c r="W26" s="122">
        <v>42174</v>
      </c>
      <c r="X26" s="17"/>
      <c r="Y26" s="22">
        <f t="shared" si="0"/>
        <v>0</v>
      </c>
      <c r="Z26" s="33"/>
      <c r="AA26" s="158"/>
    </row>
    <row r="27" spans="1:27" s="63" customFormat="1" ht="62.4">
      <c r="A27" s="27"/>
      <c r="B27" s="42">
        <v>42170</v>
      </c>
      <c r="C27" s="18" t="s">
        <v>179</v>
      </c>
      <c r="D27" s="52"/>
      <c r="E27" s="40" t="s">
        <v>724</v>
      </c>
      <c r="F27" s="21" t="s">
        <v>725</v>
      </c>
      <c r="G27" s="22" t="s">
        <v>91</v>
      </c>
      <c r="H27" s="23"/>
      <c r="I27" s="121"/>
      <c r="J27" s="23">
        <v>4360000</v>
      </c>
      <c r="K27" s="24"/>
      <c r="L27" s="121"/>
      <c r="M27" s="121"/>
      <c r="N27" s="121"/>
      <c r="O27" s="121"/>
      <c r="P27" s="24"/>
      <c r="Q27" s="24"/>
      <c r="R27" s="121"/>
      <c r="S27" s="121"/>
      <c r="T27" s="24">
        <v>436000</v>
      </c>
      <c r="U27" s="16">
        <f t="shared" si="1"/>
        <v>4796000</v>
      </c>
      <c r="V27" s="23">
        <v>4796000</v>
      </c>
      <c r="W27" s="122">
        <v>42193</v>
      </c>
      <c r="X27" s="17" t="s">
        <v>726</v>
      </c>
      <c r="Y27" s="22">
        <f t="shared" si="0"/>
        <v>0</v>
      </c>
      <c r="Z27" s="33"/>
      <c r="AA27" s="158"/>
    </row>
    <row r="28" spans="1:27" s="63" customFormat="1" ht="27.6">
      <c r="A28" s="27"/>
      <c r="B28" s="42">
        <v>42170</v>
      </c>
      <c r="C28" s="125" t="s">
        <v>727</v>
      </c>
      <c r="D28" s="22"/>
      <c r="E28" s="40" t="s">
        <v>728</v>
      </c>
      <c r="F28" s="21" t="s">
        <v>729</v>
      </c>
      <c r="G28" s="22" t="s">
        <v>91</v>
      </c>
      <c r="H28" s="23"/>
      <c r="I28" s="121"/>
      <c r="J28" s="23">
        <v>2160000</v>
      </c>
      <c r="K28" s="24"/>
      <c r="L28" s="121"/>
      <c r="M28" s="121"/>
      <c r="N28" s="121"/>
      <c r="O28" s="121"/>
      <c r="P28" s="24"/>
      <c r="Q28" s="24"/>
      <c r="R28" s="121"/>
      <c r="S28" s="121"/>
      <c r="T28" s="24">
        <v>216000</v>
      </c>
      <c r="U28" s="16">
        <f t="shared" si="1"/>
        <v>2376000</v>
      </c>
      <c r="V28" s="23">
        <v>2376000</v>
      </c>
      <c r="W28" s="122">
        <v>42171</v>
      </c>
      <c r="X28" s="17" t="s">
        <v>730</v>
      </c>
      <c r="Y28" s="22">
        <f t="shared" si="0"/>
        <v>0</v>
      </c>
      <c r="Z28" s="33"/>
      <c r="AA28" s="158"/>
    </row>
    <row r="29" spans="1:27" s="63" customFormat="1" ht="31.2">
      <c r="A29" s="27"/>
      <c r="B29" s="42">
        <v>42171</v>
      </c>
      <c r="C29" s="125" t="s">
        <v>731</v>
      </c>
      <c r="D29" s="174" t="s">
        <v>733</v>
      </c>
      <c r="E29" s="40" t="s">
        <v>96</v>
      </c>
      <c r="F29" s="21" t="s">
        <v>732</v>
      </c>
      <c r="G29" s="22" t="s">
        <v>602</v>
      </c>
      <c r="H29" s="23">
        <v>250000</v>
      </c>
      <c r="I29" s="121"/>
      <c r="J29" s="23">
        <v>660000</v>
      </c>
      <c r="K29" s="24"/>
      <c r="L29" s="121"/>
      <c r="M29" s="121"/>
      <c r="N29" s="121"/>
      <c r="O29" s="121"/>
      <c r="P29" s="24"/>
      <c r="Q29" s="24"/>
      <c r="R29" s="121"/>
      <c r="S29" s="121"/>
      <c r="T29" s="24"/>
      <c r="U29" s="16">
        <f t="shared" ref="U29" si="3">+SUM(H29:T29)</f>
        <v>910000</v>
      </c>
      <c r="V29" s="23">
        <v>910000</v>
      </c>
      <c r="W29" s="122">
        <v>42174</v>
      </c>
      <c r="X29" s="17"/>
      <c r="Y29" s="22">
        <f t="shared" si="0"/>
        <v>0</v>
      </c>
      <c r="Z29" s="33"/>
      <c r="AA29" s="158"/>
    </row>
    <row r="30" spans="1:27" s="63" customFormat="1" ht="31.2">
      <c r="A30" s="23" t="s">
        <v>735</v>
      </c>
      <c r="B30" s="42">
        <v>42172</v>
      </c>
      <c r="C30" s="125" t="s">
        <v>736</v>
      </c>
      <c r="D30" s="20" t="s">
        <v>737</v>
      </c>
      <c r="E30" s="40" t="s">
        <v>347</v>
      </c>
      <c r="F30" s="21" t="s">
        <v>738</v>
      </c>
      <c r="G30" s="22" t="s">
        <v>739</v>
      </c>
      <c r="H30" s="23">
        <v>250000</v>
      </c>
      <c r="I30" s="121"/>
      <c r="J30" s="23">
        <v>1440000</v>
      </c>
      <c r="K30" s="24"/>
      <c r="L30" s="121"/>
      <c r="M30" s="121"/>
      <c r="N30" s="121"/>
      <c r="O30" s="121"/>
      <c r="P30" s="24"/>
      <c r="Q30" s="24"/>
      <c r="R30" s="121"/>
      <c r="S30" s="121"/>
      <c r="T30" s="24"/>
      <c r="U30" s="16">
        <f t="shared" si="1"/>
        <v>1690000</v>
      </c>
      <c r="V30" s="23">
        <v>1690000</v>
      </c>
      <c r="W30" s="122">
        <v>42178</v>
      </c>
      <c r="X30" s="17"/>
      <c r="Y30" s="22">
        <f t="shared" si="0"/>
        <v>0</v>
      </c>
      <c r="Z30" s="33" t="s">
        <v>866</v>
      </c>
      <c r="AA30" s="158"/>
    </row>
    <row r="31" spans="1:27" ht="31.2">
      <c r="A31" s="27" t="s">
        <v>741</v>
      </c>
      <c r="B31" s="42">
        <v>42172</v>
      </c>
      <c r="C31" s="125" t="s">
        <v>742</v>
      </c>
      <c r="D31" s="20" t="s">
        <v>743</v>
      </c>
      <c r="E31" s="40" t="s">
        <v>347</v>
      </c>
      <c r="F31" s="21"/>
      <c r="G31" s="22" t="s">
        <v>140</v>
      </c>
      <c r="H31" s="23">
        <v>250000</v>
      </c>
      <c r="I31" s="57"/>
      <c r="J31" s="23">
        <v>1440000</v>
      </c>
      <c r="K31" s="24">
        <v>1500000</v>
      </c>
      <c r="L31" s="57"/>
      <c r="M31" s="57"/>
      <c r="N31" s="57"/>
      <c r="O31" s="57"/>
      <c r="P31" s="57"/>
      <c r="Q31" s="57"/>
      <c r="R31" s="57"/>
      <c r="S31" s="57"/>
      <c r="T31" s="24">
        <v>169000</v>
      </c>
      <c r="U31" s="16">
        <f t="shared" si="1"/>
        <v>3359000</v>
      </c>
      <c r="V31" s="23">
        <v>3359000</v>
      </c>
      <c r="W31" s="122">
        <v>42173</v>
      </c>
      <c r="X31" s="17" t="s">
        <v>744</v>
      </c>
      <c r="Y31" s="22">
        <f t="shared" si="0"/>
        <v>0</v>
      </c>
      <c r="Z31" s="57"/>
    </row>
    <row r="32" spans="1:27" ht="31.2">
      <c r="A32" s="27" t="s">
        <v>745</v>
      </c>
      <c r="B32" s="42">
        <v>42173</v>
      </c>
      <c r="C32" s="125" t="s">
        <v>746</v>
      </c>
      <c r="D32" s="20"/>
      <c r="E32" s="40" t="s">
        <v>757</v>
      </c>
      <c r="F32" s="21" t="s">
        <v>747</v>
      </c>
      <c r="G32" s="22" t="s">
        <v>91</v>
      </c>
      <c r="H32" s="23"/>
      <c r="I32" s="23">
        <v>1200000</v>
      </c>
      <c r="J32" s="23">
        <v>1440000</v>
      </c>
      <c r="K32" s="24"/>
      <c r="L32" s="57"/>
      <c r="M32" s="57"/>
      <c r="N32" s="57"/>
      <c r="O32" s="57"/>
      <c r="P32" s="57"/>
      <c r="Q32" s="57"/>
      <c r="R32" s="57"/>
      <c r="S32" s="57"/>
      <c r="T32" s="24">
        <v>264000</v>
      </c>
      <c r="U32" s="16">
        <f t="shared" si="1"/>
        <v>2904000</v>
      </c>
      <c r="V32" s="23">
        <v>2904000</v>
      </c>
      <c r="W32" s="122">
        <v>42193</v>
      </c>
      <c r="X32" s="17" t="s">
        <v>763</v>
      </c>
      <c r="Y32" s="22">
        <f t="shared" si="0"/>
        <v>0</v>
      </c>
      <c r="Z32" s="57"/>
    </row>
    <row r="33" spans="1:26" ht="31.2">
      <c r="A33" s="27" t="s">
        <v>750</v>
      </c>
      <c r="B33" s="42">
        <v>42173</v>
      </c>
      <c r="C33" s="125" t="s">
        <v>749</v>
      </c>
      <c r="D33" s="20">
        <v>906642729</v>
      </c>
      <c r="E33" s="40" t="s">
        <v>347</v>
      </c>
      <c r="F33" s="21" t="s">
        <v>751</v>
      </c>
      <c r="G33" s="22" t="s">
        <v>752</v>
      </c>
      <c r="H33" s="23">
        <v>250000</v>
      </c>
      <c r="I33" s="57"/>
      <c r="J33" s="23">
        <v>1440000</v>
      </c>
      <c r="K33" s="24"/>
      <c r="L33" s="57"/>
      <c r="M33" s="57"/>
      <c r="N33" s="57"/>
      <c r="O33" s="57"/>
      <c r="P33" s="57"/>
      <c r="Q33" s="57"/>
      <c r="R33" s="57"/>
      <c r="S33" s="57"/>
      <c r="T33" s="24"/>
      <c r="U33" s="16">
        <f t="shared" si="1"/>
        <v>1690000</v>
      </c>
      <c r="V33" s="23">
        <v>1690000</v>
      </c>
      <c r="W33" s="122">
        <v>42173</v>
      </c>
      <c r="X33" s="17"/>
      <c r="Y33" s="22">
        <f t="shared" si="0"/>
        <v>0</v>
      </c>
      <c r="Z33" s="125" t="s">
        <v>528</v>
      </c>
    </row>
    <row r="34" spans="1:26" ht="31.2">
      <c r="A34" s="23" t="s">
        <v>755</v>
      </c>
      <c r="B34" s="42">
        <v>42175</v>
      </c>
      <c r="C34" s="125" t="s">
        <v>756</v>
      </c>
      <c r="D34" s="20">
        <v>945506070</v>
      </c>
      <c r="E34" s="40" t="s">
        <v>347</v>
      </c>
      <c r="F34" s="21" t="s">
        <v>758</v>
      </c>
      <c r="G34" s="22" t="s">
        <v>759</v>
      </c>
      <c r="H34" s="23">
        <v>250000</v>
      </c>
      <c r="I34" s="57"/>
      <c r="J34" s="23">
        <v>1440000</v>
      </c>
      <c r="K34" s="24"/>
      <c r="L34" s="57"/>
      <c r="M34" s="57"/>
      <c r="N34" s="57"/>
      <c r="O34" s="57"/>
      <c r="P34" s="57"/>
      <c r="Q34" s="57"/>
      <c r="R34" s="57"/>
      <c r="S34" s="57"/>
      <c r="T34" s="24"/>
      <c r="U34" s="16">
        <f t="shared" si="1"/>
        <v>1690000</v>
      </c>
      <c r="V34" s="23">
        <v>1690000</v>
      </c>
      <c r="W34" s="122">
        <v>42177</v>
      </c>
      <c r="X34" s="17" t="s">
        <v>95</v>
      </c>
      <c r="Y34" s="22">
        <f t="shared" si="0"/>
        <v>0</v>
      </c>
      <c r="Z34" s="125"/>
    </row>
    <row r="35" spans="1:26" ht="46.8">
      <c r="A35" s="27" t="s">
        <v>767</v>
      </c>
      <c r="B35" s="42">
        <v>42177</v>
      </c>
      <c r="C35" s="125" t="s">
        <v>764</v>
      </c>
      <c r="D35" s="20" t="s">
        <v>765</v>
      </c>
      <c r="E35" s="40" t="s">
        <v>347</v>
      </c>
      <c r="F35" s="21" t="s">
        <v>766</v>
      </c>
      <c r="G35" s="22" t="s">
        <v>28</v>
      </c>
      <c r="H35" s="23">
        <v>830000</v>
      </c>
      <c r="I35" s="57"/>
      <c r="J35" s="23">
        <v>1440000</v>
      </c>
      <c r="K35" s="24"/>
      <c r="L35" s="57"/>
      <c r="M35" s="57"/>
      <c r="N35" s="57"/>
      <c r="O35" s="57"/>
      <c r="P35" s="57"/>
      <c r="Q35" s="57"/>
      <c r="R35" s="57"/>
      <c r="S35" s="57"/>
      <c r="T35" s="24">
        <v>144000</v>
      </c>
      <c r="U35" s="16">
        <f t="shared" si="1"/>
        <v>2414000</v>
      </c>
      <c r="V35" s="23">
        <v>2414000</v>
      </c>
      <c r="W35" s="122">
        <v>42177</v>
      </c>
      <c r="X35" s="17"/>
      <c r="Y35" s="22">
        <f t="shared" si="0"/>
        <v>0</v>
      </c>
      <c r="Z35" s="125" t="s">
        <v>528</v>
      </c>
    </row>
    <row r="36" spans="1:26" ht="31.2">
      <c r="A36" s="23" t="s">
        <v>774</v>
      </c>
      <c r="B36" s="42">
        <v>42179</v>
      </c>
      <c r="C36" s="125" t="s">
        <v>775</v>
      </c>
      <c r="D36" s="52" t="s">
        <v>776</v>
      </c>
      <c r="E36" s="40" t="s">
        <v>51</v>
      </c>
      <c r="F36" s="21" t="s">
        <v>777</v>
      </c>
      <c r="G36" s="22" t="s">
        <v>91</v>
      </c>
      <c r="H36" s="23"/>
      <c r="I36" s="57"/>
      <c r="J36" s="23">
        <v>3000000</v>
      </c>
      <c r="K36" s="24"/>
      <c r="L36" s="57"/>
      <c r="M36" s="57"/>
      <c r="N36" s="57"/>
      <c r="O36" s="57"/>
      <c r="P36" s="57"/>
      <c r="Q36" s="57"/>
      <c r="R36" s="57"/>
      <c r="S36" s="57"/>
      <c r="T36" s="24"/>
      <c r="U36" s="16">
        <f t="shared" si="1"/>
        <v>3000000</v>
      </c>
      <c r="V36" s="23">
        <f>1500000+1500000</f>
        <v>3000000</v>
      </c>
      <c r="W36" s="51" t="s">
        <v>900</v>
      </c>
      <c r="X36" s="17"/>
      <c r="Y36" s="22">
        <f t="shared" si="0"/>
        <v>0</v>
      </c>
      <c r="Z36" s="125"/>
    </row>
    <row r="37" spans="1:26" ht="46.8">
      <c r="A37" s="27"/>
      <c r="B37" s="42">
        <v>42180</v>
      </c>
      <c r="C37" s="125" t="s">
        <v>768</v>
      </c>
      <c r="D37" s="176" t="s">
        <v>770</v>
      </c>
      <c r="E37" s="40" t="s">
        <v>134</v>
      </c>
      <c r="F37" s="21" t="s">
        <v>769</v>
      </c>
      <c r="G37" s="22" t="s">
        <v>47</v>
      </c>
      <c r="H37" s="23">
        <v>500000</v>
      </c>
      <c r="I37" s="57"/>
      <c r="J37" s="23">
        <v>2880000</v>
      </c>
      <c r="K37" s="24"/>
      <c r="L37" s="57"/>
      <c r="M37" s="57"/>
      <c r="N37" s="57"/>
      <c r="O37" s="57"/>
      <c r="P37" s="57"/>
      <c r="Q37" s="57"/>
      <c r="R37" s="57"/>
      <c r="S37" s="57"/>
      <c r="T37" s="24"/>
      <c r="U37" s="16">
        <f t="shared" si="1"/>
        <v>3380000</v>
      </c>
      <c r="V37" s="23">
        <v>3380000</v>
      </c>
      <c r="W37" s="122">
        <v>42180</v>
      </c>
      <c r="X37" s="17"/>
      <c r="Y37" s="22">
        <f t="shared" si="0"/>
        <v>0</v>
      </c>
      <c r="Z37" s="57"/>
    </row>
    <row r="38" spans="1:26" ht="31.2">
      <c r="A38" s="23" t="s">
        <v>771</v>
      </c>
      <c r="B38" s="42">
        <v>42180</v>
      </c>
      <c r="C38" s="125" t="s">
        <v>772</v>
      </c>
      <c r="D38" s="20" t="s">
        <v>153</v>
      </c>
      <c r="E38" s="40" t="s">
        <v>462</v>
      </c>
      <c r="F38" s="21" t="s">
        <v>773</v>
      </c>
      <c r="G38" s="22" t="s">
        <v>91</v>
      </c>
      <c r="H38" s="23">
        <f>250000+830000</f>
        <v>1080000</v>
      </c>
      <c r="I38" s="57"/>
      <c r="J38" s="23">
        <v>1440000</v>
      </c>
      <c r="K38" s="24"/>
      <c r="L38" s="57"/>
      <c r="M38" s="57"/>
      <c r="N38" s="57"/>
      <c r="O38" s="57"/>
      <c r="P38" s="57"/>
      <c r="Q38" s="57"/>
      <c r="R38" s="57"/>
      <c r="S38" s="57"/>
      <c r="T38" s="24">
        <v>169000</v>
      </c>
      <c r="U38" s="16">
        <f t="shared" si="1"/>
        <v>2689000</v>
      </c>
      <c r="V38" s="23">
        <v>2689000</v>
      </c>
      <c r="W38" s="122">
        <v>42180</v>
      </c>
      <c r="X38" s="17" t="s">
        <v>788</v>
      </c>
      <c r="Y38" s="22">
        <f t="shared" si="0"/>
        <v>0</v>
      </c>
      <c r="Z38" s="57"/>
    </row>
    <row r="39" spans="1:26" ht="31.2">
      <c r="A39" s="23" t="s">
        <v>778</v>
      </c>
      <c r="B39" s="42">
        <v>42180</v>
      </c>
      <c r="C39" s="125" t="s">
        <v>779</v>
      </c>
      <c r="D39" s="20" t="s">
        <v>780</v>
      </c>
      <c r="E39" s="40" t="s">
        <v>600</v>
      </c>
      <c r="F39" s="21" t="s">
        <v>781</v>
      </c>
      <c r="G39" s="22" t="s">
        <v>28</v>
      </c>
      <c r="H39" s="23"/>
      <c r="I39" s="57"/>
      <c r="J39" s="23">
        <v>1440000</v>
      </c>
      <c r="K39" s="24"/>
      <c r="L39" s="57"/>
      <c r="M39" s="57"/>
      <c r="N39" s="57"/>
      <c r="O39" s="57"/>
      <c r="P39" s="57"/>
      <c r="Q39" s="57"/>
      <c r="R39" s="57"/>
      <c r="S39" s="57"/>
      <c r="T39" s="24"/>
      <c r="U39" s="16">
        <f t="shared" si="1"/>
        <v>1440000</v>
      </c>
      <c r="V39" s="23">
        <v>1440000</v>
      </c>
      <c r="W39" s="122">
        <v>42180</v>
      </c>
      <c r="X39" s="17"/>
      <c r="Y39" s="22">
        <f t="shared" si="0"/>
        <v>0</v>
      </c>
      <c r="Z39" s="57"/>
    </row>
    <row r="40" spans="1:26" ht="31.2">
      <c r="A40" s="27"/>
      <c r="B40" s="42">
        <v>42180</v>
      </c>
      <c r="C40" s="125" t="s">
        <v>782</v>
      </c>
      <c r="D40" s="20" t="s">
        <v>855</v>
      </c>
      <c r="E40" s="40" t="s">
        <v>347</v>
      </c>
      <c r="F40" s="21" t="s">
        <v>740</v>
      </c>
      <c r="G40" s="22" t="s">
        <v>102</v>
      </c>
      <c r="H40" s="23">
        <v>830000</v>
      </c>
      <c r="I40" s="57"/>
      <c r="J40" s="23">
        <v>1440000</v>
      </c>
      <c r="K40" s="24">
        <v>6000000</v>
      </c>
      <c r="L40" s="57"/>
      <c r="M40" s="57"/>
      <c r="N40" s="57"/>
      <c r="O40" s="57"/>
      <c r="P40" s="57"/>
      <c r="Q40" s="57"/>
      <c r="R40" s="57"/>
      <c r="S40" s="57"/>
      <c r="T40" s="24"/>
      <c r="U40" s="16">
        <f t="shared" si="1"/>
        <v>8270000</v>
      </c>
      <c r="V40" s="23">
        <f>4000000</f>
        <v>4000000</v>
      </c>
      <c r="W40" s="122">
        <v>42178</v>
      </c>
      <c r="X40" s="17" t="s">
        <v>988</v>
      </c>
      <c r="Y40" s="22">
        <f t="shared" si="0"/>
        <v>4270000</v>
      </c>
      <c r="Z40" s="57"/>
    </row>
    <row r="41" spans="1:26" ht="31.2">
      <c r="A41" s="23" t="s">
        <v>786</v>
      </c>
      <c r="B41" s="42">
        <v>42180</v>
      </c>
      <c r="C41" s="125" t="s">
        <v>784</v>
      </c>
      <c r="D41" s="177" t="s">
        <v>785</v>
      </c>
      <c r="E41" s="40" t="s">
        <v>134</v>
      </c>
      <c r="F41" s="21" t="s">
        <v>787</v>
      </c>
      <c r="G41" s="22" t="s">
        <v>140</v>
      </c>
      <c r="H41" s="23">
        <v>250000</v>
      </c>
      <c r="I41" s="57"/>
      <c r="J41" s="23">
        <v>1080000</v>
      </c>
      <c r="K41" s="24"/>
      <c r="L41" s="57"/>
      <c r="M41" s="57"/>
      <c r="N41" s="57"/>
      <c r="O41" s="57"/>
      <c r="P41" s="57"/>
      <c r="Q41" s="57"/>
      <c r="R41" s="57"/>
      <c r="S41" s="57"/>
      <c r="T41" s="24">
        <v>133000</v>
      </c>
      <c r="U41" s="16">
        <f t="shared" si="1"/>
        <v>1463000</v>
      </c>
      <c r="V41" s="23">
        <v>1463000</v>
      </c>
      <c r="W41" s="122">
        <v>42180</v>
      </c>
      <c r="X41" s="81" t="s">
        <v>803</v>
      </c>
      <c r="Y41" s="22">
        <f t="shared" si="0"/>
        <v>0</v>
      </c>
      <c r="Z41" s="57"/>
    </row>
    <row r="42" spans="1:26" ht="31.2">
      <c r="A42" s="23" t="s">
        <v>794</v>
      </c>
      <c r="B42" s="42">
        <v>42181</v>
      </c>
      <c r="C42" s="125" t="s">
        <v>790</v>
      </c>
      <c r="D42" s="20" t="s">
        <v>793</v>
      </c>
      <c r="E42" s="40" t="s">
        <v>347</v>
      </c>
      <c r="F42" s="21" t="s">
        <v>791</v>
      </c>
      <c r="G42" s="22" t="s">
        <v>28</v>
      </c>
      <c r="H42" s="23">
        <v>250000</v>
      </c>
      <c r="I42" s="57"/>
      <c r="J42" s="23">
        <v>1440000</v>
      </c>
      <c r="K42" s="24"/>
      <c r="L42" s="57"/>
      <c r="M42" s="57"/>
      <c r="N42" s="57"/>
      <c r="O42" s="57"/>
      <c r="P42" s="57"/>
      <c r="Q42" s="57"/>
      <c r="R42" s="57"/>
      <c r="S42" s="57"/>
      <c r="T42" s="24">
        <v>169000</v>
      </c>
      <c r="U42" s="16">
        <f t="shared" si="1"/>
        <v>1859000</v>
      </c>
      <c r="V42" s="23">
        <v>1859000</v>
      </c>
      <c r="W42" s="122">
        <v>42181</v>
      </c>
      <c r="X42" s="17" t="s">
        <v>789</v>
      </c>
      <c r="Y42" s="22">
        <f t="shared" si="0"/>
        <v>0</v>
      </c>
      <c r="Z42" s="57"/>
    </row>
    <row r="43" spans="1:26" ht="31.2">
      <c r="A43" s="27"/>
      <c r="B43" s="42">
        <v>42181</v>
      </c>
      <c r="C43" s="125" t="s">
        <v>795</v>
      </c>
      <c r="D43" s="20"/>
      <c r="E43" s="40" t="s">
        <v>101</v>
      </c>
      <c r="F43" s="21" t="s">
        <v>801</v>
      </c>
      <c r="G43" s="22" t="s">
        <v>28</v>
      </c>
      <c r="H43" s="23">
        <v>500000</v>
      </c>
      <c r="I43" s="57"/>
      <c r="J43" s="23"/>
      <c r="K43" s="24"/>
      <c r="L43" s="57"/>
      <c r="M43" s="57"/>
      <c r="N43" s="57"/>
      <c r="O43" s="57"/>
      <c r="P43" s="57"/>
      <c r="Q43" s="57"/>
      <c r="R43" s="57"/>
      <c r="S43" s="57"/>
      <c r="T43" s="24"/>
      <c r="U43" s="16">
        <f t="shared" si="1"/>
        <v>500000</v>
      </c>
      <c r="V43" s="23">
        <f>250000+250000</f>
        <v>500000</v>
      </c>
      <c r="W43" s="51" t="s">
        <v>802</v>
      </c>
      <c r="X43" s="17"/>
      <c r="Y43" s="22">
        <f t="shared" si="0"/>
        <v>0</v>
      </c>
      <c r="Z43" s="57"/>
    </row>
    <row r="44" spans="1:26" ht="31.2">
      <c r="A44" s="27"/>
      <c r="B44" s="42">
        <v>42182</v>
      </c>
      <c r="C44" s="125" t="s">
        <v>798</v>
      </c>
      <c r="D44" s="177">
        <v>919678322</v>
      </c>
      <c r="E44" s="40" t="s">
        <v>134</v>
      </c>
      <c r="F44" s="21" t="s">
        <v>799</v>
      </c>
      <c r="G44" s="22" t="s">
        <v>94</v>
      </c>
      <c r="H44" s="23">
        <v>480000</v>
      </c>
      <c r="I44" s="57"/>
      <c r="J44" s="23">
        <v>1440000</v>
      </c>
      <c r="K44" s="24"/>
      <c r="L44" s="57"/>
      <c r="M44" s="57"/>
      <c r="N44" s="57"/>
      <c r="O44" s="57"/>
      <c r="P44" s="57"/>
      <c r="Q44" s="57"/>
      <c r="R44" s="57"/>
      <c r="S44" s="57"/>
      <c r="T44" s="24">
        <v>144000</v>
      </c>
      <c r="U44" s="16">
        <f t="shared" si="1"/>
        <v>2064000</v>
      </c>
      <c r="V44" s="23">
        <v>2064000</v>
      </c>
      <c r="W44" s="122">
        <v>42184</v>
      </c>
      <c r="X44" s="17" t="s">
        <v>800</v>
      </c>
      <c r="Y44" s="22">
        <f t="shared" si="0"/>
        <v>0</v>
      </c>
      <c r="Z44" s="57"/>
    </row>
    <row r="45" spans="1:26" ht="31.2">
      <c r="A45" s="23" t="s">
        <v>812</v>
      </c>
      <c r="B45" s="42">
        <v>42185</v>
      </c>
      <c r="C45" s="125" t="s">
        <v>806</v>
      </c>
      <c r="D45" s="52" t="s">
        <v>807</v>
      </c>
      <c r="E45" s="40" t="s">
        <v>134</v>
      </c>
      <c r="F45" s="21" t="s">
        <v>808</v>
      </c>
      <c r="G45" s="22" t="s">
        <v>28</v>
      </c>
      <c r="H45" s="23">
        <v>480000</v>
      </c>
      <c r="I45" s="57"/>
      <c r="J45" s="23">
        <v>1440000</v>
      </c>
      <c r="K45" s="24"/>
      <c r="L45" s="57"/>
      <c r="M45" s="57"/>
      <c r="N45" s="57"/>
      <c r="O45" s="57"/>
      <c r="P45" s="57"/>
      <c r="Q45" s="57"/>
      <c r="R45" s="57"/>
      <c r="S45" s="57"/>
      <c r="T45" s="24">
        <v>144000</v>
      </c>
      <c r="U45" s="16">
        <f t="shared" si="1"/>
        <v>2064000</v>
      </c>
      <c r="V45" s="23">
        <v>2064000</v>
      </c>
      <c r="W45" s="122">
        <v>42185</v>
      </c>
      <c r="X45" s="17" t="s">
        <v>809</v>
      </c>
      <c r="Y45" s="22">
        <f t="shared" si="0"/>
        <v>0</v>
      </c>
      <c r="Z45" s="57"/>
    </row>
    <row r="46" spans="1:26" ht="31.2">
      <c r="A46" s="23" t="s">
        <v>811</v>
      </c>
      <c r="B46" s="42">
        <v>42185</v>
      </c>
      <c r="C46" s="125" t="s">
        <v>810</v>
      </c>
      <c r="D46" s="52" t="s">
        <v>813</v>
      </c>
      <c r="E46" s="40" t="s">
        <v>600</v>
      </c>
      <c r="F46" s="21" t="s">
        <v>814</v>
      </c>
      <c r="G46" s="22" t="s">
        <v>28</v>
      </c>
      <c r="H46" s="23"/>
      <c r="I46" s="57"/>
      <c r="J46" s="23">
        <f>900000*2</f>
        <v>1800000</v>
      </c>
      <c r="K46" s="24"/>
      <c r="L46" s="57"/>
      <c r="M46" s="57"/>
      <c r="N46" s="57"/>
      <c r="O46" s="57"/>
      <c r="P46" s="57"/>
      <c r="Q46" s="57"/>
      <c r="R46" s="57"/>
      <c r="S46" s="57"/>
      <c r="T46" s="24"/>
      <c r="U46" s="16">
        <f t="shared" si="1"/>
        <v>1800000</v>
      </c>
      <c r="V46" s="23">
        <v>1800000</v>
      </c>
      <c r="W46" s="122">
        <v>42185</v>
      </c>
      <c r="X46" s="17"/>
      <c r="Y46" s="22">
        <f t="shared" si="0"/>
        <v>0</v>
      </c>
      <c r="Z46" s="57"/>
    </row>
    <row r="47" spans="1:26" ht="31.2">
      <c r="A47" s="23" t="s">
        <v>816</v>
      </c>
      <c r="B47" s="42">
        <v>42185</v>
      </c>
      <c r="C47" s="18" t="s">
        <v>815</v>
      </c>
      <c r="D47" s="52" t="s">
        <v>817</v>
      </c>
      <c r="E47" s="40" t="s">
        <v>600</v>
      </c>
      <c r="F47" s="21" t="s">
        <v>818</v>
      </c>
      <c r="G47" s="22" t="s">
        <v>28</v>
      </c>
      <c r="H47" s="23"/>
      <c r="I47" s="57"/>
      <c r="J47" s="23">
        <v>1440000</v>
      </c>
      <c r="K47" s="24"/>
      <c r="L47" s="57"/>
      <c r="M47" s="57"/>
      <c r="N47" s="57"/>
      <c r="O47" s="57"/>
      <c r="P47" s="57"/>
      <c r="Q47" s="57"/>
      <c r="R47" s="57"/>
      <c r="S47" s="57"/>
      <c r="T47" s="24"/>
      <c r="U47" s="16">
        <f t="shared" si="1"/>
        <v>1440000</v>
      </c>
      <c r="V47" s="23">
        <v>1440000</v>
      </c>
      <c r="W47" s="122">
        <v>42185</v>
      </c>
      <c r="X47" s="57"/>
      <c r="Y47" s="22">
        <f t="shared" ref="Y47:Y56" si="4">U47-V47</f>
        <v>0</v>
      </c>
      <c r="Z47" s="57"/>
    </row>
    <row r="48" spans="1:26" ht="31.2">
      <c r="A48" s="27"/>
      <c r="B48" s="17">
        <v>42185</v>
      </c>
      <c r="C48" s="18" t="s">
        <v>491</v>
      </c>
      <c r="D48" s="20"/>
      <c r="E48" s="40" t="s">
        <v>101</v>
      </c>
      <c r="F48" s="21" t="s">
        <v>824</v>
      </c>
      <c r="G48" s="22" t="s">
        <v>91</v>
      </c>
      <c r="H48" s="23">
        <v>950000</v>
      </c>
      <c r="I48" s="57"/>
      <c r="J48" s="23"/>
      <c r="K48" s="24"/>
      <c r="L48" s="57"/>
      <c r="M48" s="57"/>
      <c r="N48" s="57"/>
      <c r="O48" s="57"/>
      <c r="P48" s="57"/>
      <c r="Q48" s="57"/>
      <c r="R48" s="57"/>
      <c r="S48" s="57"/>
      <c r="T48" s="24"/>
      <c r="U48" s="16">
        <f t="shared" si="1"/>
        <v>950000</v>
      </c>
      <c r="V48" s="23">
        <v>950000</v>
      </c>
      <c r="W48" s="122">
        <v>42187</v>
      </c>
      <c r="X48" s="57"/>
      <c r="Y48" s="22">
        <f t="shared" si="4"/>
        <v>0</v>
      </c>
      <c r="Z48" s="57"/>
    </row>
    <row r="49" spans="1:26" ht="15.6">
      <c r="A49" s="27"/>
      <c r="B49" s="17">
        <v>42185</v>
      </c>
      <c r="C49" s="18" t="s">
        <v>956</v>
      </c>
      <c r="D49" s="20"/>
      <c r="E49" s="40" t="s">
        <v>310</v>
      </c>
      <c r="F49" s="21" t="s">
        <v>825</v>
      </c>
      <c r="G49" s="22"/>
      <c r="H49" s="23">
        <v>250000</v>
      </c>
      <c r="I49" s="57"/>
      <c r="J49" s="23"/>
      <c r="K49" s="24"/>
      <c r="L49" s="57"/>
      <c r="M49" s="57"/>
      <c r="N49" s="57"/>
      <c r="O49" s="57"/>
      <c r="P49" s="57"/>
      <c r="Q49" s="57"/>
      <c r="R49" s="57"/>
      <c r="S49" s="57"/>
      <c r="T49" s="24"/>
      <c r="U49" s="16">
        <f t="shared" si="1"/>
        <v>250000</v>
      </c>
      <c r="V49" s="57"/>
      <c r="W49" s="57"/>
      <c r="X49" s="57"/>
      <c r="Y49" s="22">
        <f t="shared" si="4"/>
        <v>250000</v>
      </c>
      <c r="Z49" s="57"/>
    </row>
    <row r="50" spans="1:26" s="124" customFormat="1" ht="46.8">
      <c r="A50" s="23" t="s">
        <v>925</v>
      </c>
      <c r="B50" s="128">
        <v>42163</v>
      </c>
      <c r="C50" s="129" t="s">
        <v>926</v>
      </c>
      <c r="D50" s="62" t="s">
        <v>927</v>
      </c>
      <c r="E50" s="62" t="s">
        <v>361</v>
      </c>
      <c r="F50" s="21"/>
      <c r="G50" s="23" t="s">
        <v>953</v>
      </c>
      <c r="H50" s="23">
        <v>275000</v>
      </c>
      <c r="I50" s="123"/>
      <c r="J50" s="23">
        <v>1584000</v>
      </c>
      <c r="K50" s="24">
        <v>0</v>
      </c>
      <c r="L50" s="123"/>
      <c r="M50" s="123"/>
      <c r="N50" s="27"/>
      <c r="O50" s="27"/>
      <c r="P50" s="27"/>
      <c r="Q50" s="27"/>
      <c r="R50" s="27"/>
      <c r="S50" s="27"/>
      <c r="T50" s="24"/>
      <c r="U50" s="16">
        <f t="shared" ref="U50:U56" si="5">+SUM(H50:T50)</f>
        <v>1859000</v>
      </c>
      <c r="V50" s="23"/>
      <c r="W50" s="17"/>
      <c r="X50" s="17" t="s">
        <v>928</v>
      </c>
      <c r="Y50" s="22">
        <f t="shared" si="4"/>
        <v>1859000</v>
      </c>
      <c r="Z50" s="18"/>
    </row>
    <row r="51" spans="1:26" s="124" customFormat="1" ht="46.8">
      <c r="A51" s="27" t="s">
        <v>929</v>
      </c>
      <c r="B51" s="128">
        <v>42158</v>
      </c>
      <c r="C51" s="129" t="s">
        <v>930</v>
      </c>
      <c r="D51" s="136" t="s">
        <v>931</v>
      </c>
      <c r="E51" s="40" t="s">
        <v>932</v>
      </c>
      <c r="F51" s="21"/>
      <c r="G51" s="23" t="s">
        <v>954</v>
      </c>
      <c r="H51" s="23"/>
      <c r="I51" s="123"/>
      <c r="J51" s="23"/>
      <c r="K51" s="24"/>
      <c r="L51" s="23"/>
      <c r="M51" s="123"/>
      <c r="N51" s="27"/>
      <c r="O51" s="27"/>
      <c r="P51" s="27"/>
      <c r="Q51" s="23">
        <v>2500000</v>
      </c>
      <c r="R51" s="27"/>
      <c r="S51" s="27"/>
      <c r="T51" s="24"/>
      <c r="U51" s="16">
        <f t="shared" si="5"/>
        <v>2500000</v>
      </c>
      <c r="V51" s="23">
        <v>2500000</v>
      </c>
      <c r="W51" s="17"/>
      <c r="X51" s="17"/>
      <c r="Y51" s="22">
        <f t="shared" si="4"/>
        <v>0</v>
      </c>
      <c r="Z51" s="18"/>
    </row>
    <row r="52" spans="1:26" s="124" customFormat="1" ht="46.8">
      <c r="A52" s="27" t="s">
        <v>933</v>
      </c>
      <c r="B52" s="128">
        <v>42157</v>
      </c>
      <c r="C52" s="129" t="s">
        <v>930</v>
      </c>
      <c r="D52" s="136" t="s">
        <v>931</v>
      </c>
      <c r="E52" s="62" t="s">
        <v>361</v>
      </c>
      <c r="F52" s="21" t="s">
        <v>934</v>
      </c>
      <c r="G52" s="23" t="s">
        <v>954</v>
      </c>
      <c r="H52" s="23">
        <v>275000</v>
      </c>
      <c r="I52" s="123"/>
      <c r="J52" s="23">
        <v>1584000</v>
      </c>
      <c r="K52" s="24">
        <v>1431000</v>
      </c>
      <c r="L52" s="123"/>
      <c r="M52" s="123"/>
      <c r="N52" s="27"/>
      <c r="O52" s="27"/>
      <c r="P52" s="27"/>
      <c r="Q52" s="23"/>
      <c r="R52" s="23"/>
      <c r="S52" s="27"/>
      <c r="T52" s="24"/>
      <c r="U52" s="16">
        <f t="shared" si="5"/>
        <v>3290000</v>
      </c>
      <c r="V52" s="23">
        <v>3290000</v>
      </c>
      <c r="W52" s="17"/>
      <c r="X52" s="17"/>
      <c r="Y52" s="22">
        <f t="shared" si="4"/>
        <v>0</v>
      </c>
      <c r="Z52" s="18"/>
    </row>
    <row r="53" spans="1:26" s="124" customFormat="1" ht="46.8">
      <c r="A53" s="23" t="s">
        <v>935</v>
      </c>
      <c r="B53" s="128">
        <v>42131</v>
      </c>
      <c r="C53" s="129" t="s">
        <v>936</v>
      </c>
      <c r="D53" s="136" t="s">
        <v>937</v>
      </c>
      <c r="E53" s="62" t="s">
        <v>361</v>
      </c>
      <c r="F53" s="21" t="s">
        <v>938</v>
      </c>
      <c r="G53" s="23" t="s">
        <v>955</v>
      </c>
      <c r="H53" s="23">
        <v>770000</v>
      </c>
      <c r="I53" s="123"/>
      <c r="J53" s="23">
        <v>1584000</v>
      </c>
      <c r="K53" s="24">
        <v>0</v>
      </c>
      <c r="L53" s="123"/>
      <c r="M53" s="123"/>
      <c r="N53" s="27"/>
      <c r="O53" s="27"/>
      <c r="P53" s="27"/>
      <c r="Q53" s="27"/>
      <c r="R53" s="27"/>
      <c r="S53" s="27"/>
      <c r="T53" s="24"/>
      <c r="U53" s="16">
        <f t="shared" si="5"/>
        <v>2354000</v>
      </c>
      <c r="V53" s="23">
        <v>2354000</v>
      </c>
      <c r="W53" s="17"/>
      <c r="X53" s="17" t="s">
        <v>939</v>
      </c>
      <c r="Y53" s="22">
        <f t="shared" si="4"/>
        <v>0</v>
      </c>
      <c r="Z53" s="82"/>
    </row>
    <row r="54" spans="1:26" s="124" customFormat="1" ht="46.8">
      <c r="A54" s="23" t="s">
        <v>940</v>
      </c>
      <c r="B54" s="128">
        <v>42165</v>
      </c>
      <c r="C54" s="129" t="s">
        <v>941</v>
      </c>
      <c r="D54" s="136" t="s">
        <v>942</v>
      </c>
      <c r="E54" s="62" t="s">
        <v>361</v>
      </c>
      <c r="F54" s="21" t="s">
        <v>943</v>
      </c>
      <c r="G54" s="23" t="s">
        <v>955</v>
      </c>
      <c r="H54" s="23"/>
      <c r="I54" s="123"/>
      <c r="J54" s="23"/>
      <c r="K54" s="24">
        <v>7997000</v>
      </c>
      <c r="L54" s="123"/>
      <c r="M54" s="123"/>
      <c r="N54" s="27"/>
      <c r="O54" s="27"/>
      <c r="P54" s="27"/>
      <c r="Q54" s="27"/>
      <c r="R54" s="27"/>
      <c r="S54" s="27"/>
      <c r="T54" s="24"/>
      <c r="U54" s="16">
        <f t="shared" si="5"/>
        <v>7997000</v>
      </c>
      <c r="V54" s="23">
        <v>7997000</v>
      </c>
      <c r="W54" s="17"/>
      <c r="X54" s="17" t="s">
        <v>944</v>
      </c>
      <c r="Y54" s="22">
        <f t="shared" si="4"/>
        <v>0</v>
      </c>
      <c r="Z54" s="18"/>
    </row>
    <row r="55" spans="1:26" s="124" customFormat="1" ht="31.2">
      <c r="A55" s="23" t="s">
        <v>945</v>
      </c>
      <c r="B55" s="128">
        <v>42185</v>
      </c>
      <c r="C55" s="129" t="s">
        <v>946</v>
      </c>
      <c r="D55" s="136" t="s">
        <v>947</v>
      </c>
      <c r="E55" s="62" t="s">
        <v>361</v>
      </c>
      <c r="F55" s="21" t="s">
        <v>948</v>
      </c>
      <c r="G55" s="23" t="s">
        <v>955</v>
      </c>
      <c r="H55" s="23">
        <v>275000</v>
      </c>
      <c r="I55" s="123"/>
      <c r="J55" s="23">
        <v>1584000</v>
      </c>
      <c r="K55" s="24">
        <v>4500000</v>
      </c>
      <c r="L55" s="123"/>
      <c r="M55" s="123"/>
      <c r="N55" s="27"/>
      <c r="O55" s="27"/>
      <c r="P55" s="27"/>
      <c r="Q55" s="27"/>
      <c r="R55" s="27"/>
      <c r="S55" s="27"/>
      <c r="T55" s="24"/>
      <c r="U55" s="16">
        <f t="shared" si="5"/>
        <v>6359000</v>
      </c>
      <c r="V55" s="23">
        <v>2859000</v>
      </c>
      <c r="W55" s="17"/>
      <c r="X55" s="17"/>
      <c r="Y55" s="22">
        <f t="shared" si="4"/>
        <v>3500000</v>
      </c>
      <c r="Z55" s="18"/>
    </row>
    <row r="56" spans="1:26" s="124" customFormat="1" ht="31.2">
      <c r="A56" s="27"/>
      <c r="B56" s="42"/>
      <c r="C56" s="129" t="s">
        <v>949</v>
      </c>
      <c r="D56" s="62"/>
      <c r="E56" s="28" t="s">
        <v>950</v>
      </c>
      <c r="F56" s="21" t="s">
        <v>951</v>
      </c>
      <c r="G56" s="23" t="s">
        <v>953</v>
      </c>
      <c r="H56" s="23">
        <v>200000</v>
      </c>
      <c r="I56" s="123"/>
      <c r="J56" s="23">
        <v>900000</v>
      </c>
      <c r="K56" s="24"/>
      <c r="L56" s="123"/>
      <c r="M56" s="123"/>
      <c r="N56" s="27"/>
      <c r="O56" s="27"/>
      <c r="P56" s="27"/>
      <c r="Q56" s="27"/>
      <c r="R56" s="27"/>
      <c r="S56" s="27"/>
      <c r="T56" s="24">
        <v>90000</v>
      </c>
      <c r="U56" s="16">
        <f t="shared" si="5"/>
        <v>1190000</v>
      </c>
      <c r="V56" s="23">
        <v>1190000</v>
      </c>
      <c r="W56" s="17"/>
      <c r="X56" s="17" t="s">
        <v>952</v>
      </c>
      <c r="Y56" s="22">
        <f t="shared" si="4"/>
        <v>0</v>
      </c>
      <c r="Z56" s="82"/>
    </row>
    <row r="57" spans="1:26" ht="15.6">
      <c r="A57" s="27"/>
      <c r="B57" s="17"/>
      <c r="C57" s="18"/>
      <c r="D57" s="20"/>
      <c r="E57" s="40"/>
      <c r="F57" s="21"/>
      <c r="G57" s="22"/>
      <c r="H57" s="23"/>
      <c r="I57" s="57"/>
      <c r="J57" s="23"/>
      <c r="K57" s="24"/>
      <c r="L57" s="57"/>
      <c r="M57" s="57"/>
      <c r="N57" s="57"/>
      <c r="O57" s="57"/>
      <c r="P57" s="57"/>
      <c r="Q57" s="57"/>
      <c r="R57" s="57"/>
      <c r="S57" s="57"/>
      <c r="T57" s="24"/>
      <c r="U57" s="16"/>
      <c r="V57" s="57"/>
      <c r="W57" s="57"/>
      <c r="X57" s="57"/>
      <c r="Y57" s="22"/>
      <c r="Z57" s="57"/>
    </row>
    <row r="58" spans="1:26" ht="15.6">
      <c r="A58" s="27"/>
      <c r="B58" s="17"/>
      <c r="C58" s="79" t="s">
        <v>107</v>
      </c>
      <c r="D58" s="57"/>
      <c r="E58" s="57"/>
      <c r="F58" s="57"/>
      <c r="G58" s="57"/>
      <c r="H58" s="80">
        <f>SUM(H6:H31)</f>
        <v>4938000</v>
      </c>
      <c r="I58" s="80">
        <f>SUM(I6:I31)</f>
        <v>0</v>
      </c>
      <c r="J58" s="80">
        <f>SUM(J6:J42)</f>
        <v>45700000</v>
      </c>
      <c r="K58" s="80">
        <f t="shared" ref="K58:V58" si="6">SUM(K6:K31)</f>
        <v>30000000</v>
      </c>
      <c r="L58" s="80">
        <f t="shared" si="6"/>
        <v>0</v>
      </c>
      <c r="M58" s="80">
        <f t="shared" si="6"/>
        <v>0</v>
      </c>
      <c r="N58" s="80">
        <f t="shared" si="6"/>
        <v>0</v>
      </c>
      <c r="O58" s="80">
        <f t="shared" si="6"/>
        <v>0</v>
      </c>
      <c r="P58" s="80">
        <f t="shared" si="6"/>
        <v>0</v>
      </c>
      <c r="Q58" s="80">
        <f t="shared" si="6"/>
        <v>16500000</v>
      </c>
      <c r="R58" s="80">
        <f t="shared" si="6"/>
        <v>0</v>
      </c>
      <c r="S58" s="80">
        <f t="shared" si="6"/>
        <v>750000</v>
      </c>
      <c r="T58" s="80">
        <f t="shared" si="6"/>
        <v>3620800</v>
      </c>
      <c r="U58" s="80">
        <f t="shared" si="6"/>
        <v>82278800</v>
      </c>
      <c r="V58" s="80">
        <f t="shared" si="6"/>
        <v>69528800</v>
      </c>
      <c r="W58" s="80"/>
      <c r="X58" s="80">
        <f>SUM(X6:X31)</f>
        <v>0</v>
      </c>
      <c r="Y58" s="80">
        <f>SUM(Y6:Y31)</f>
        <v>12750000</v>
      </c>
      <c r="Z58" s="57"/>
    </row>
    <row r="62" spans="1:26">
      <c r="O62" t="s">
        <v>95</v>
      </c>
      <c r="U62" s="78"/>
    </row>
    <row r="63" spans="1:26">
      <c r="A63" s="133" t="s">
        <v>327</v>
      </c>
    </row>
  </sheetData>
  <autoFilter ref="A3:Z49">
    <filterColumn colId="6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1:E57">
    <cfRule type="containsText" dxfId="201" priority="26" stopIfTrue="1" operator="containsText" text="Gia hạn">
      <formula>NOT(ISERROR(SEARCH("Gia hạn",E1)))</formula>
    </cfRule>
    <cfRule type="cellIs" dxfId="200" priority="27" stopIfTrue="1" operator="equal">
      <formula>"Gia hạn"</formula>
    </cfRule>
  </conditionalFormatting>
  <conditionalFormatting sqref="D28:D29 G1:G57">
    <cfRule type="containsText" dxfId="199" priority="25" stopIfTrue="1" operator="containsText" text="THV">
      <formula>NOT(ISERROR(SEARCH("THV",D1)))</formula>
    </cfRule>
  </conditionalFormatting>
  <conditionalFormatting sqref="E1:E65508">
    <cfRule type="containsText" dxfId="198" priority="24" stopIfTrue="1" operator="containsText" text="gia hạn">
      <formula>NOT(ISERROR(SEARCH("gia hạn",E1)))</formula>
    </cfRule>
  </conditionalFormatting>
  <conditionalFormatting sqref="D28:D29 G1:G1048576">
    <cfRule type="containsText" dxfId="197" priority="23" operator="containsText" text="Tịnh">
      <formula>NOT(ISERROR(SEARCH("Tịnh",D1)))</formula>
    </cfRule>
  </conditionalFormatting>
  <conditionalFormatting sqref="E50:E56">
    <cfRule type="containsText" dxfId="196" priority="4" stopIfTrue="1" operator="containsText" text="Gia hạn">
      <formula>NOT(ISERROR(SEARCH("Gia hạn",E50)))</formula>
    </cfRule>
    <cfRule type="cellIs" dxfId="195" priority="5" stopIfTrue="1" operator="equal">
      <formula>"Gia hạn"</formula>
    </cfRule>
  </conditionalFormatting>
  <conditionalFormatting sqref="G50:G56">
    <cfRule type="containsText" dxfId="194" priority="3" stopIfTrue="1" operator="containsText" text="THV">
      <formula>NOT(ISERROR(SEARCH("THV",G50)))</formula>
    </cfRule>
  </conditionalFormatting>
  <conditionalFormatting sqref="E50:E56">
    <cfRule type="containsText" dxfId="193" priority="2" stopIfTrue="1" operator="containsText" text="gia hạn">
      <formula>NOT(ISERROR(SEARCH("gia hạn",E50)))</formula>
    </cfRule>
  </conditionalFormatting>
  <conditionalFormatting sqref="G50:G56">
    <cfRule type="containsText" dxfId="192" priority="1" operator="containsText" text="Tịnh">
      <formula>NOT(ISERROR(SEARCH("Tịnh",G50)))</formula>
    </cfRule>
  </conditionalFormatting>
  <hyperlinks>
    <hyperlink ref="F37" r:id="rId1" display="www.thutuchaiquannhanh.com&#10;"/>
    <hyperlink ref="F40" r:id="rId2" display="http://imusicvietnam.vn/"/>
    <hyperlink ref="F48" r:id="rId3" display="http://harrytsaiart.com/"/>
  </hyperlinks>
  <pageMargins left="0.7" right="0.7" top="0.75" bottom="0.75" header="0.3" footer="0.3"/>
  <pageSetup orientation="portrait" verticalDpi="0"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5"/>
  <sheetViews>
    <sheetView workbookViewId="0">
      <pane xSplit="3" ySplit="5" topLeftCell="G21" activePane="bottomRight" state="frozen"/>
      <selection pane="topRight" activeCell="D1" sqref="D1"/>
      <selection pane="bottomLeft" activeCell="A6" sqref="A6"/>
      <selection pane="bottomRight" activeCell="W32" sqref="W32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.6640625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82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820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31.2">
      <c r="A6" s="23"/>
      <c r="B6" s="17">
        <v>42188</v>
      </c>
      <c r="C6" s="125" t="s">
        <v>827</v>
      </c>
      <c r="D6" s="183"/>
      <c r="E6" s="28" t="s">
        <v>96</v>
      </c>
      <c r="F6" s="184" t="s">
        <v>828</v>
      </c>
      <c r="G6" s="22" t="s">
        <v>125</v>
      </c>
      <c r="H6" s="23">
        <v>250000</v>
      </c>
      <c r="I6" s="57"/>
      <c r="J6" s="23">
        <v>900000</v>
      </c>
      <c r="K6" s="24"/>
      <c r="L6" s="57"/>
      <c r="M6" s="57"/>
      <c r="N6" s="57"/>
      <c r="O6" s="57"/>
      <c r="P6" s="57"/>
      <c r="Q6" s="57"/>
      <c r="R6" s="76"/>
      <c r="S6" s="24"/>
      <c r="T6" s="24"/>
      <c r="U6" s="16">
        <f t="shared" ref="U6:U43" si="0">+SUM(H6:T6)</f>
        <v>1150000</v>
      </c>
      <c r="V6" s="23">
        <v>1150000</v>
      </c>
      <c r="W6" s="17">
        <v>42188</v>
      </c>
      <c r="X6" s="17"/>
      <c r="Y6" s="22">
        <f t="shared" ref="Y6:Y43" si="1">U6-V6</f>
        <v>0</v>
      </c>
      <c r="Z6" s="82" t="s">
        <v>871</v>
      </c>
    </row>
    <row r="7" spans="1:27" s="124" customFormat="1" ht="31.2">
      <c r="A7" s="27" t="s">
        <v>840</v>
      </c>
      <c r="B7" s="17">
        <v>42191</v>
      </c>
      <c r="C7" s="18" t="s">
        <v>838</v>
      </c>
      <c r="D7" s="52" t="s">
        <v>839</v>
      </c>
      <c r="E7" s="40" t="s">
        <v>347</v>
      </c>
      <c r="F7" s="21" t="s">
        <v>1009</v>
      </c>
      <c r="G7" s="23" t="s">
        <v>833</v>
      </c>
      <c r="H7" s="23">
        <v>830000</v>
      </c>
      <c r="I7" s="123"/>
      <c r="J7" s="23">
        <v>0</v>
      </c>
      <c r="K7" s="24">
        <v>1500000</v>
      </c>
      <c r="L7" s="123"/>
      <c r="M7" s="123"/>
      <c r="N7" s="27"/>
      <c r="O7" s="27"/>
      <c r="P7" s="27"/>
      <c r="Q7" s="27"/>
      <c r="R7" s="27"/>
      <c r="S7" s="24"/>
      <c r="T7" s="24"/>
      <c r="U7" s="16">
        <f t="shared" si="0"/>
        <v>2330000</v>
      </c>
      <c r="V7" s="23">
        <v>750000</v>
      </c>
      <c r="W7" s="17">
        <v>42191</v>
      </c>
      <c r="X7" s="17" t="s">
        <v>1047</v>
      </c>
      <c r="Y7" s="22">
        <f t="shared" si="1"/>
        <v>1580000</v>
      </c>
      <c r="Z7" s="82"/>
    </row>
    <row r="8" spans="1:27" s="124" customFormat="1" ht="31.2">
      <c r="A8" s="27"/>
      <c r="B8" s="17">
        <v>42191</v>
      </c>
      <c r="C8" s="18" t="s">
        <v>845</v>
      </c>
      <c r="D8" s="52"/>
      <c r="E8" s="40" t="s">
        <v>347</v>
      </c>
      <c r="F8" s="21" t="s">
        <v>974</v>
      </c>
      <c r="G8" s="23" t="s">
        <v>91</v>
      </c>
      <c r="H8" s="23"/>
      <c r="I8" s="123"/>
      <c r="J8" s="23"/>
      <c r="K8" s="24">
        <v>5000000</v>
      </c>
      <c r="L8" s="123"/>
      <c r="M8" s="123"/>
      <c r="N8" s="27"/>
      <c r="O8" s="27"/>
      <c r="P8" s="27"/>
      <c r="Q8" s="27"/>
      <c r="R8" s="27"/>
      <c r="S8" s="24"/>
      <c r="T8" s="24"/>
      <c r="U8" s="16">
        <f t="shared" si="0"/>
        <v>5000000</v>
      </c>
      <c r="V8" s="23">
        <v>5000000</v>
      </c>
      <c r="W8" s="17" t="s">
        <v>975</v>
      </c>
      <c r="X8" s="17"/>
      <c r="Y8" s="22">
        <f t="shared" si="1"/>
        <v>0</v>
      </c>
      <c r="Z8" s="82"/>
    </row>
    <row r="9" spans="1:27" s="124" customFormat="1" ht="31.2">
      <c r="A9" s="23" t="s">
        <v>835</v>
      </c>
      <c r="B9" s="17">
        <v>42192</v>
      </c>
      <c r="C9" s="18" t="s">
        <v>836</v>
      </c>
      <c r="D9" s="52" t="s">
        <v>837</v>
      </c>
      <c r="E9" s="40" t="s">
        <v>347</v>
      </c>
      <c r="F9" s="21" t="s">
        <v>854</v>
      </c>
      <c r="G9" s="23" t="s">
        <v>739</v>
      </c>
      <c r="H9" s="23">
        <v>830000</v>
      </c>
      <c r="I9" s="123"/>
      <c r="J9" s="23">
        <v>1440000</v>
      </c>
      <c r="K9" s="24">
        <v>2800000</v>
      </c>
      <c r="L9" s="123"/>
      <c r="M9" s="123"/>
      <c r="N9" s="27"/>
      <c r="O9" s="27"/>
      <c r="P9" s="27"/>
      <c r="Q9" s="27"/>
      <c r="R9" s="27"/>
      <c r="S9" s="24"/>
      <c r="T9" s="24"/>
      <c r="U9" s="16">
        <f t="shared" si="0"/>
        <v>5070000</v>
      </c>
      <c r="V9" s="23">
        <f>2535000+2535000</f>
        <v>5070000</v>
      </c>
      <c r="W9" s="17" t="s">
        <v>1010</v>
      </c>
      <c r="X9" s="17" t="s">
        <v>1011</v>
      </c>
      <c r="Y9" s="22">
        <f t="shared" si="1"/>
        <v>0</v>
      </c>
      <c r="Z9" s="82"/>
    </row>
    <row r="10" spans="1:27" s="124" customFormat="1" ht="31.2">
      <c r="A10" s="23" t="s">
        <v>842</v>
      </c>
      <c r="B10" s="128">
        <v>42193</v>
      </c>
      <c r="C10" s="129" t="s">
        <v>843</v>
      </c>
      <c r="D10" s="62" t="s">
        <v>844</v>
      </c>
      <c r="E10" s="40" t="s">
        <v>224</v>
      </c>
      <c r="F10" s="21"/>
      <c r="G10" s="23" t="s">
        <v>91</v>
      </c>
      <c r="H10" s="23"/>
      <c r="I10" s="123"/>
      <c r="J10" s="23">
        <v>1440000</v>
      </c>
      <c r="K10" s="24">
        <v>1000000</v>
      </c>
      <c r="L10" s="123"/>
      <c r="M10" s="123"/>
      <c r="N10" s="27"/>
      <c r="O10" s="27"/>
      <c r="P10" s="27"/>
      <c r="Q10" s="27"/>
      <c r="R10" s="27"/>
      <c r="S10" s="27"/>
      <c r="T10" s="24">
        <v>144000</v>
      </c>
      <c r="U10" s="16">
        <f t="shared" si="0"/>
        <v>2584000</v>
      </c>
      <c r="V10" s="23">
        <v>2584000</v>
      </c>
      <c r="W10" s="17">
        <v>42193</v>
      </c>
      <c r="X10" s="17"/>
      <c r="Y10" s="22">
        <f t="shared" si="1"/>
        <v>0</v>
      </c>
      <c r="Z10" s="18"/>
    </row>
    <row r="11" spans="1:27" s="124" customFormat="1" ht="27.6">
      <c r="A11" s="23"/>
      <c r="B11" s="128">
        <v>42193</v>
      </c>
      <c r="C11" s="129" t="s">
        <v>381</v>
      </c>
      <c r="D11" s="62" t="s">
        <v>380</v>
      </c>
      <c r="E11" s="40" t="s">
        <v>847</v>
      </c>
      <c r="F11" s="21"/>
      <c r="G11" s="23" t="s">
        <v>140</v>
      </c>
      <c r="H11" s="23"/>
      <c r="I11" s="123"/>
      <c r="J11" s="23"/>
      <c r="K11" s="24">
        <v>1500000</v>
      </c>
      <c r="L11" s="123"/>
      <c r="M11" s="123"/>
      <c r="N11" s="27"/>
      <c r="O11" s="27"/>
      <c r="P11" s="27"/>
      <c r="Q11" s="27"/>
      <c r="R11" s="27"/>
      <c r="S11" s="27"/>
      <c r="T11" s="24"/>
      <c r="U11" s="16">
        <f t="shared" si="0"/>
        <v>1500000</v>
      </c>
      <c r="V11" s="23"/>
      <c r="W11" s="17"/>
      <c r="X11" s="17"/>
      <c r="Y11" s="22">
        <f t="shared" si="1"/>
        <v>1500000</v>
      </c>
      <c r="Z11" s="18"/>
    </row>
    <row r="12" spans="1:27" s="124" customFormat="1" ht="31.2">
      <c r="A12" s="27"/>
      <c r="B12" s="128">
        <v>42193</v>
      </c>
      <c r="C12" s="129" t="s">
        <v>848</v>
      </c>
      <c r="D12" s="186" t="s">
        <v>849</v>
      </c>
      <c r="E12" s="28" t="s">
        <v>96</v>
      </c>
      <c r="F12" s="184" t="s">
        <v>850</v>
      </c>
      <c r="G12" s="38" t="s">
        <v>851</v>
      </c>
      <c r="H12" s="23">
        <v>200000</v>
      </c>
      <c r="I12" s="123"/>
      <c r="J12" s="23">
        <v>1440000</v>
      </c>
      <c r="K12" s="24"/>
      <c r="L12" s="123"/>
      <c r="M12" s="123"/>
      <c r="N12" s="27"/>
      <c r="O12" s="27"/>
      <c r="P12" s="27"/>
      <c r="Q12" s="27"/>
      <c r="R12" s="27"/>
      <c r="S12" s="27"/>
      <c r="T12" s="24"/>
      <c r="U12" s="16">
        <f t="shared" si="0"/>
        <v>1640000</v>
      </c>
      <c r="V12" s="23">
        <v>1640000</v>
      </c>
      <c r="W12" s="17">
        <v>42193</v>
      </c>
      <c r="X12" s="17"/>
      <c r="Y12" s="22">
        <f t="shared" si="1"/>
        <v>0</v>
      </c>
      <c r="Z12" s="18"/>
    </row>
    <row r="13" spans="1:27" s="124" customFormat="1" ht="31.2">
      <c r="A13" s="27" t="s">
        <v>856</v>
      </c>
      <c r="B13" s="128">
        <v>42194</v>
      </c>
      <c r="C13" s="160" t="s">
        <v>857</v>
      </c>
      <c r="D13" s="62" t="s">
        <v>858</v>
      </c>
      <c r="E13" s="40" t="s">
        <v>347</v>
      </c>
      <c r="F13" s="21" t="s">
        <v>859</v>
      </c>
      <c r="G13" s="23" t="s">
        <v>833</v>
      </c>
      <c r="H13" s="23">
        <v>830000</v>
      </c>
      <c r="I13" s="123"/>
      <c r="J13" s="23">
        <v>1440000</v>
      </c>
      <c r="K13" s="24">
        <v>230000</v>
      </c>
      <c r="L13" s="123"/>
      <c r="M13" s="123"/>
      <c r="N13" s="27"/>
      <c r="O13" s="27"/>
      <c r="P13" s="27"/>
      <c r="Q13" s="27"/>
      <c r="R13" s="27"/>
      <c r="S13" s="27"/>
      <c r="T13" s="24"/>
      <c r="U13" s="16">
        <f t="shared" si="0"/>
        <v>2500000</v>
      </c>
      <c r="V13" s="23">
        <v>1250000</v>
      </c>
      <c r="W13" s="17">
        <v>42205</v>
      </c>
      <c r="X13" s="17"/>
      <c r="Y13" s="22">
        <f t="shared" si="1"/>
        <v>1250000</v>
      </c>
      <c r="Z13" s="18"/>
    </row>
    <row r="14" spans="1:27" s="124" customFormat="1" ht="31.2">
      <c r="A14" s="23"/>
      <c r="B14" s="128"/>
      <c r="C14" s="129" t="s">
        <v>860</v>
      </c>
      <c r="D14" s="62"/>
      <c r="E14" s="40"/>
      <c r="F14" s="21" t="s">
        <v>861</v>
      </c>
      <c r="G14" s="23" t="s">
        <v>578</v>
      </c>
      <c r="H14" s="23">
        <v>830000</v>
      </c>
      <c r="I14" s="123"/>
      <c r="J14" s="23">
        <v>1008000</v>
      </c>
      <c r="K14" s="24"/>
      <c r="L14" s="123"/>
      <c r="M14" s="123"/>
      <c r="N14" s="27"/>
      <c r="O14" s="27"/>
      <c r="P14" s="27"/>
      <c r="Q14" s="27"/>
      <c r="R14" s="27"/>
      <c r="S14" s="27"/>
      <c r="T14" s="24"/>
      <c r="U14" s="16">
        <f t="shared" si="0"/>
        <v>1838000</v>
      </c>
      <c r="V14" s="23">
        <v>1838000</v>
      </c>
      <c r="W14" s="17"/>
      <c r="X14" s="17"/>
      <c r="Y14" s="22">
        <f t="shared" si="1"/>
        <v>0</v>
      </c>
      <c r="Z14" s="18" t="s">
        <v>1003</v>
      </c>
    </row>
    <row r="15" spans="1:27" s="124" customFormat="1" ht="31.2">
      <c r="A15" s="23" t="s">
        <v>862</v>
      </c>
      <c r="B15" s="128">
        <v>42195</v>
      </c>
      <c r="C15" s="129" t="s">
        <v>863</v>
      </c>
      <c r="D15" s="62" t="s">
        <v>864</v>
      </c>
      <c r="E15" s="40" t="s">
        <v>347</v>
      </c>
      <c r="F15" s="21" t="s">
        <v>865</v>
      </c>
      <c r="G15" s="23" t="s">
        <v>752</v>
      </c>
      <c r="H15" s="23">
        <v>250000</v>
      </c>
      <c r="I15" s="123"/>
      <c r="J15" s="23">
        <v>1440000</v>
      </c>
      <c r="K15" s="24"/>
      <c r="L15" s="23"/>
      <c r="M15" s="123"/>
      <c r="N15" s="27"/>
      <c r="O15" s="27"/>
      <c r="P15" s="27"/>
      <c r="Q15" s="27"/>
      <c r="R15" s="27"/>
      <c r="S15" s="27"/>
      <c r="T15" s="24"/>
      <c r="U15" s="16">
        <f t="shared" si="0"/>
        <v>1690000</v>
      </c>
      <c r="V15" s="23">
        <v>1690000</v>
      </c>
      <c r="W15" s="17">
        <v>42205</v>
      </c>
      <c r="X15" s="17"/>
      <c r="Y15" s="22">
        <f t="shared" si="1"/>
        <v>0</v>
      </c>
      <c r="Z15" s="18"/>
    </row>
    <row r="16" spans="1:27" s="124" customFormat="1" ht="27.6">
      <c r="A16" s="27"/>
      <c r="B16" s="128">
        <v>42198</v>
      </c>
      <c r="C16" s="129" t="s">
        <v>868</v>
      </c>
      <c r="D16" s="62"/>
      <c r="E16" s="40"/>
      <c r="F16" s="21" t="s">
        <v>867</v>
      </c>
      <c r="G16" s="23" t="s">
        <v>125</v>
      </c>
      <c r="H16" s="23">
        <v>253000</v>
      </c>
      <c r="I16" s="123"/>
      <c r="J16" s="23"/>
      <c r="K16" s="24"/>
      <c r="L16" s="123"/>
      <c r="M16" s="123"/>
      <c r="N16" s="27"/>
      <c r="O16" s="27"/>
      <c r="P16" s="27"/>
      <c r="Q16" s="27"/>
      <c r="R16" s="27"/>
      <c r="S16" s="27"/>
      <c r="T16" s="24"/>
      <c r="U16" s="16">
        <f t="shared" si="0"/>
        <v>253000</v>
      </c>
      <c r="V16" s="23">
        <v>253000</v>
      </c>
      <c r="W16" s="17">
        <v>42198</v>
      </c>
      <c r="X16" s="17"/>
      <c r="Y16" s="22">
        <f t="shared" si="1"/>
        <v>0</v>
      </c>
      <c r="Z16" s="82"/>
    </row>
    <row r="17" spans="1:27" s="124" customFormat="1" ht="41.4">
      <c r="A17" s="27"/>
      <c r="B17" s="128">
        <v>42200</v>
      </c>
      <c r="C17" s="129" t="s">
        <v>872</v>
      </c>
      <c r="D17" s="187">
        <v>912799033</v>
      </c>
      <c r="E17" s="28" t="s">
        <v>96</v>
      </c>
      <c r="F17" s="188" t="s">
        <v>873</v>
      </c>
      <c r="G17" s="23" t="s">
        <v>91</v>
      </c>
      <c r="H17" s="23">
        <v>253000</v>
      </c>
      <c r="I17" s="123"/>
      <c r="J17" s="23">
        <v>1080000</v>
      </c>
      <c r="K17" s="24"/>
      <c r="L17" s="123"/>
      <c r="M17" s="123"/>
      <c r="N17" s="27"/>
      <c r="O17" s="27"/>
      <c r="P17" s="27"/>
      <c r="Q17" s="27"/>
      <c r="R17" s="27"/>
      <c r="S17" s="27"/>
      <c r="T17" s="24">
        <v>133300</v>
      </c>
      <c r="U17" s="16">
        <f t="shared" si="0"/>
        <v>1466300</v>
      </c>
      <c r="V17" s="23">
        <v>1466300</v>
      </c>
      <c r="W17" s="17">
        <v>42200</v>
      </c>
      <c r="X17" s="17" t="s">
        <v>874</v>
      </c>
      <c r="Y17" s="22">
        <f t="shared" si="1"/>
        <v>0</v>
      </c>
      <c r="Z17" s="18"/>
    </row>
    <row r="18" spans="1:27" s="124" customFormat="1" ht="31.2">
      <c r="A18" s="23" t="s">
        <v>880</v>
      </c>
      <c r="B18" s="128">
        <v>42200</v>
      </c>
      <c r="C18" s="129" t="s">
        <v>877</v>
      </c>
      <c r="D18" s="136" t="s">
        <v>878</v>
      </c>
      <c r="E18" s="40" t="s">
        <v>96</v>
      </c>
      <c r="F18" s="21" t="s">
        <v>879</v>
      </c>
      <c r="G18" s="23" t="s">
        <v>275</v>
      </c>
      <c r="H18" s="23">
        <v>250000</v>
      </c>
      <c r="I18" s="123"/>
      <c r="J18" s="23">
        <v>828000</v>
      </c>
      <c r="K18" s="24"/>
      <c r="L18" s="123"/>
      <c r="M18" s="123"/>
      <c r="N18" s="27"/>
      <c r="O18" s="27"/>
      <c r="P18" s="27"/>
      <c r="Q18" s="27"/>
      <c r="R18" s="27"/>
      <c r="S18" s="27"/>
      <c r="T18" s="24"/>
      <c r="U18" s="16">
        <f t="shared" si="0"/>
        <v>1078000</v>
      </c>
      <c r="V18" s="23">
        <v>1078000</v>
      </c>
      <c r="W18" s="17">
        <v>42201</v>
      </c>
      <c r="X18" s="17"/>
      <c r="Y18" s="22">
        <f t="shared" si="1"/>
        <v>0</v>
      </c>
      <c r="Z18" s="18"/>
    </row>
    <row r="19" spans="1:27" s="124" customFormat="1" ht="31.2">
      <c r="A19" s="23" t="s">
        <v>965</v>
      </c>
      <c r="B19" s="42">
        <v>42202</v>
      </c>
      <c r="C19" s="129" t="s">
        <v>505</v>
      </c>
      <c r="D19" s="136" t="s">
        <v>966</v>
      </c>
      <c r="E19" s="40" t="s">
        <v>180</v>
      </c>
      <c r="F19" s="21" t="s">
        <v>507</v>
      </c>
      <c r="G19" s="23" t="s">
        <v>91</v>
      </c>
      <c r="H19" s="23"/>
      <c r="I19" s="123"/>
      <c r="J19" s="23"/>
      <c r="K19" s="24">
        <v>3000000</v>
      </c>
      <c r="L19" s="123"/>
      <c r="M19" s="123"/>
      <c r="N19" s="27"/>
      <c r="O19" s="27"/>
      <c r="P19" s="27"/>
      <c r="Q19" s="27"/>
      <c r="R19" s="27"/>
      <c r="S19" s="27"/>
      <c r="T19" s="24"/>
      <c r="U19" s="16">
        <f t="shared" si="0"/>
        <v>3000000</v>
      </c>
      <c r="V19" s="23">
        <v>3000000</v>
      </c>
      <c r="W19" s="17">
        <v>42209</v>
      </c>
      <c r="X19" s="17"/>
      <c r="Y19" s="22">
        <f t="shared" si="1"/>
        <v>0</v>
      </c>
      <c r="Z19" s="82"/>
    </row>
    <row r="20" spans="1:27" s="63" customFormat="1" ht="31.2">
      <c r="A20" s="27"/>
      <c r="B20" s="42"/>
      <c r="C20" s="125"/>
      <c r="D20" s="20"/>
      <c r="E20" s="40"/>
      <c r="F20" s="21" t="s">
        <v>881</v>
      </c>
      <c r="G20" s="23" t="s">
        <v>882</v>
      </c>
      <c r="H20" s="23"/>
      <c r="I20" s="121"/>
      <c r="J20" s="23"/>
      <c r="K20" s="24"/>
      <c r="L20" s="121"/>
      <c r="M20" s="121"/>
      <c r="N20" s="121"/>
      <c r="O20" s="121"/>
      <c r="P20" s="24"/>
      <c r="Q20" s="24"/>
      <c r="R20" s="121"/>
      <c r="S20" s="121"/>
      <c r="T20" s="24"/>
      <c r="U20" s="16">
        <f t="shared" si="0"/>
        <v>0</v>
      </c>
      <c r="V20" s="23"/>
      <c r="W20" s="122"/>
      <c r="X20" s="17"/>
      <c r="Y20" s="22">
        <f t="shared" si="1"/>
        <v>0</v>
      </c>
      <c r="Z20" s="33"/>
      <c r="AA20" s="158"/>
    </row>
    <row r="21" spans="1:27" s="63" customFormat="1" ht="15.6">
      <c r="A21" s="23"/>
      <c r="B21" s="42">
        <v>42201</v>
      </c>
      <c r="C21" s="125"/>
      <c r="D21" s="52"/>
      <c r="E21" s="40" t="s">
        <v>310</v>
      </c>
      <c r="F21" s="184" t="s">
        <v>883</v>
      </c>
      <c r="G21" s="22" t="s">
        <v>47</v>
      </c>
      <c r="H21" s="23">
        <v>350000</v>
      </c>
      <c r="I21" s="121"/>
      <c r="J21" s="23"/>
      <c r="K21" s="24"/>
      <c r="L21" s="121"/>
      <c r="M21" s="121"/>
      <c r="N21" s="121"/>
      <c r="O21" s="121"/>
      <c r="P21" s="24"/>
      <c r="Q21" s="24"/>
      <c r="R21" s="121"/>
      <c r="S21" s="121"/>
      <c r="T21" s="24"/>
      <c r="U21" s="16">
        <f t="shared" si="0"/>
        <v>350000</v>
      </c>
      <c r="V21" s="23">
        <v>350000</v>
      </c>
      <c r="W21" s="122">
        <v>42201</v>
      </c>
      <c r="X21" s="17"/>
      <c r="Y21" s="22">
        <f t="shared" si="1"/>
        <v>0</v>
      </c>
      <c r="Z21" s="33"/>
      <c r="AA21" s="158"/>
    </row>
    <row r="22" spans="1:27" s="63" customFormat="1" ht="31.2">
      <c r="A22" s="23" t="s">
        <v>885</v>
      </c>
      <c r="B22" s="42">
        <v>42201</v>
      </c>
      <c r="C22" s="125" t="s">
        <v>886</v>
      </c>
      <c r="D22" s="52" t="s">
        <v>887</v>
      </c>
      <c r="E22" s="40" t="s">
        <v>577</v>
      </c>
      <c r="F22" s="21"/>
      <c r="G22" s="22" t="s">
        <v>28</v>
      </c>
      <c r="H22" s="23"/>
      <c r="I22" s="121"/>
      <c r="J22" s="23">
        <v>1080000</v>
      </c>
      <c r="K22" s="24"/>
      <c r="L22" s="121"/>
      <c r="M22" s="121"/>
      <c r="N22" s="121"/>
      <c r="O22" s="121"/>
      <c r="P22" s="24"/>
      <c r="Q22" s="24"/>
      <c r="R22" s="121"/>
      <c r="S22" s="121"/>
      <c r="T22" s="24"/>
      <c r="U22" s="16">
        <f t="shared" si="0"/>
        <v>1080000</v>
      </c>
      <c r="V22" s="23">
        <v>1080000</v>
      </c>
      <c r="W22" s="122">
        <v>42201</v>
      </c>
      <c r="X22" s="17"/>
      <c r="Y22" s="22">
        <f t="shared" si="1"/>
        <v>0</v>
      </c>
      <c r="Z22" s="33"/>
      <c r="AA22" s="158"/>
    </row>
    <row r="23" spans="1:27" s="63" customFormat="1" ht="46.8">
      <c r="A23" s="23" t="s">
        <v>889</v>
      </c>
      <c r="B23" s="42">
        <v>42199</v>
      </c>
      <c r="C23" s="18" t="s">
        <v>43</v>
      </c>
      <c r="D23" s="52" t="s">
        <v>890</v>
      </c>
      <c r="E23" s="40" t="s">
        <v>332</v>
      </c>
      <c r="F23" s="21" t="s">
        <v>891</v>
      </c>
      <c r="G23" s="22" t="s">
        <v>47</v>
      </c>
      <c r="H23" s="23"/>
      <c r="I23" s="121"/>
      <c r="J23" s="23"/>
      <c r="K23" s="24">
        <v>19000000</v>
      </c>
      <c r="L23" s="121"/>
      <c r="M23" s="121"/>
      <c r="N23" s="121"/>
      <c r="O23" s="121"/>
      <c r="P23" s="24"/>
      <c r="Q23" s="24"/>
      <c r="R23" s="121"/>
      <c r="S23" s="121"/>
      <c r="T23" s="24"/>
      <c r="U23" s="16">
        <f t="shared" si="0"/>
        <v>19000000</v>
      </c>
      <c r="V23" s="23">
        <v>9500000</v>
      </c>
      <c r="W23" s="122">
        <v>42207</v>
      </c>
      <c r="X23" s="17"/>
      <c r="Y23" s="22">
        <f t="shared" si="1"/>
        <v>9500000</v>
      </c>
      <c r="Z23" s="33" t="s">
        <v>919</v>
      </c>
      <c r="AA23" s="158"/>
    </row>
    <row r="24" spans="1:27" s="63" customFormat="1" ht="31.2">
      <c r="A24" s="27"/>
      <c r="B24" s="42">
        <v>42202</v>
      </c>
      <c r="C24" s="129" t="s">
        <v>395</v>
      </c>
      <c r="D24" s="22"/>
      <c r="E24" s="40" t="s">
        <v>847</v>
      </c>
      <c r="F24" s="21" t="s">
        <v>396</v>
      </c>
      <c r="G24" s="22" t="s">
        <v>125</v>
      </c>
      <c r="H24" s="23"/>
      <c r="I24" s="121"/>
      <c r="J24" s="23"/>
      <c r="K24" s="24">
        <v>3000000</v>
      </c>
      <c r="L24" s="121"/>
      <c r="M24" s="121"/>
      <c r="N24" s="121"/>
      <c r="O24" s="121"/>
      <c r="P24" s="24"/>
      <c r="Q24" s="24"/>
      <c r="R24" s="121"/>
      <c r="S24" s="121"/>
      <c r="T24" s="24"/>
      <c r="U24" s="16">
        <f t="shared" si="0"/>
        <v>3000000</v>
      </c>
      <c r="V24" s="23">
        <v>3000000</v>
      </c>
      <c r="W24" s="122">
        <v>42205</v>
      </c>
      <c r="X24" s="17"/>
      <c r="Y24" s="22">
        <f t="shared" si="1"/>
        <v>0</v>
      </c>
      <c r="Z24" s="33" t="s">
        <v>915</v>
      </c>
      <c r="AA24" s="158"/>
    </row>
    <row r="25" spans="1:27" s="63" customFormat="1" ht="41.4">
      <c r="A25" s="27"/>
      <c r="B25" s="42">
        <v>42202</v>
      </c>
      <c r="C25" s="129" t="s">
        <v>893</v>
      </c>
      <c r="D25" s="174"/>
      <c r="E25" s="40" t="s">
        <v>361</v>
      </c>
      <c r="F25" s="21" t="s">
        <v>892</v>
      </c>
      <c r="G25" s="23" t="s">
        <v>125</v>
      </c>
      <c r="H25" s="23"/>
      <c r="I25" s="121"/>
      <c r="J25" s="23"/>
      <c r="K25" s="24">
        <v>4000000</v>
      </c>
      <c r="L25" s="121"/>
      <c r="M25" s="121"/>
      <c r="N25" s="121"/>
      <c r="O25" s="121"/>
      <c r="P25" s="24"/>
      <c r="Q25" s="24"/>
      <c r="R25" s="121"/>
      <c r="S25" s="121"/>
      <c r="T25" s="24"/>
      <c r="U25" s="16">
        <f t="shared" si="0"/>
        <v>4000000</v>
      </c>
      <c r="V25" s="23">
        <v>2000000</v>
      </c>
      <c r="W25" s="122">
        <v>42167</v>
      </c>
      <c r="X25" s="17"/>
      <c r="Y25" s="22">
        <f t="shared" si="1"/>
        <v>2000000</v>
      </c>
      <c r="Z25" s="33"/>
      <c r="AA25" s="158"/>
    </row>
    <row r="26" spans="1:27" s="63" customFormat="1" ht="31.2">
      <c r="A26" s="23"/>
      <c r="B26" s="42">
        <v>42202</v>
      </c>
      <c r="C26" s="125" t="s">
        <v>895</v>
      </c>
      <c r="D26" s="20"/>
      <c r="E26" s="40" t="s">
        <v>96</v>
      </c>
      <c r="F26" s="21" t="s">
        <v>924</v>
      </c>
      <c r="G26" s="22" t="s">
        <v>140</v>
      </c>
      <c r="H26" s="23">
        <v>250000</v>
      </c>
      <c r="I26" s="23"/>
      <c r="J26" s="23">
        <v>1080000</v>
      </c>
      <c r="K26" s="24"/>
      <c r="L26" s="121"/>
      <c r="M26" s="121"/>
      <c r="N26" s="121"/>
      <c r="O26" s="121"/>
      <c r="P26" s="24"/>
      <c r="Q26" s="24"/>
      <c r="R26" s="121"/>
      <c r="S26" s="121"/>
      <c r="T26" s="24"/>
      <c r="U26" s="16">
        <f t="shared" si="0"/>
        <v>1330000</v>
      </c>
      <c r="V26" s="23">
        <v>1330000</v>
      </c>
      <c r="W26" s="122">
        <v>42202</v>
      </c>
      <c r="X26" s="17"/>
      <c r="Y26" s="22">
        <f t="shared" si="1"/>
        <v>0</v>
      </c>
      <c r="Z26" s="33"/>
      <c r="AA26" s="158"/>
    </row>
    <row r="27" spans="1:27" ht="15.6">
      <c r="A27" s="27"/>
      <c r="B27" s="42">
        <v>42202</v>
      </c>
      <c r="C27" s="125" t="s">
        <v>278</v>
      </c>
      <c r="D27" s="20"/>
      <c r="E27" s="40" t="s">
        <v>577</v>
      </c>
      <c r="F27" s="21"/>
      <c r="G27" s="22" t="s">
        <v>602</v>
      </c>
      <c r="H27" s="23"/>
      <c r="I27" s="23"/>
      <c r="J27" s="23">
        <v>420000</v>
      </c>
      <c r="K27" s="24"/>
      <c r="L27" s="57"/>
      <c r="M27" s="57"/>
      <c r="N27" s="57"/>
      <c r="O27" s="57"/>
      <c r="P27" s="57"/>
      <c r="Q27" s="57"/>
      <c r="R27" s="57"/>
      <c r="S27" s="57"/>
      <c r="T27" s="24"/>
      <c r="U27" s="16">
        <f t="shared" si="0"/>
        <v>420000</v>
      </c>
      <c r="V27" s="23">
        <v>420000</v>
      </c>
      <c r="W27" s="122">
        <v>42202</v>
      </c>
      <c r="X27" s="17"/>
      <c r="Y27" s="22">
        <f t="shared" si="1"/>
        <v>0</v>
      </c>
      <c r="Z27" s="125"/>
    </row>
    <row r="28" spans="1:27" ht="31.2">
      <c r="A28" s="27" t="s">
        <v>896</v>
      </c>
      <c r="B28" s="42">
        <v>42203</v>
      </c>
      <c r="C28" s="125" t="s">
        <v>898</v>
      </c>
      <c r="D28" s="52" t="s">
        <v>905</v>
      </c>
      <c r="E28" s="40" t="s">
        <v>361</v>
      </c>
      <c r="F28" s="21" t="s">
        <v>897</v>
      </c>
      <c r="G28" s="22" t="s">
        <v>903</v>
      </c>
      <c r="H28" s="23">
        <v>253000</v>
      </c>
      <c r="I28" s="23">
        <v>1200000</v>
      </c>
      <c r="J28" s="23"/>
      <c r="K28" s="24"/>
      <c r="L28" s="57"/>
      <c r="M28" s="57"/>
      <c r="N28" s="57"/>
      <c r="O28" s="57"/>
      <c r="P28" s="57"/>
      <c r="Q28" s="57"/>
      <c r="R28" s="57"/>
      <c r="S28" s="57"/>
      <c r="T28" s="24">
        <v>145300</v>
      </c>
      <c r="U28" s="16">
        <f t="shared" si="0"/>
        <v>1598300</v>
      </c>
      <c r="V28" s="23"/>
      <c r="W28" s="122"/>
      <c r="X28" s="17" t="s">
        <v>906</v>
      </c>
      <c r="Y28" s="22">
        <f t="shared" si="1"/>
        <v>1598300</v>
      </c>
      <c r="Z28" s="57"/>
    </row>
    <row r="29" spans="1:27" ht="31.2">
      <c r="A29" s="27" t="s">
        <v>901</v>
      </c>
      <c r="B29" s="42">
        <v>42203</v>
      </c>
      <c r="C29" s="125" t="s">
        <v>899</v>
      </c>
      <c r="D29" s="52" t="s">
        <v>904</v>
      </c>
      <c r="E29" s="40" t="s">
        <v>361</v>
      </c>
      <c r="F29" s="21" t="s">
        <v>902</v>
      </c>
      <c r="G29" s="22" t="s">
        <v>903</v>
      </c>
      <c r="H29" s="23">
        <v>253000</v>
      </c>
      <c r="I29" s="23">
        <v>1200000</v>
      </c>
      <c r="J29" s="23"/>
      <c r="K29" s="24"/>
      <c r="L29" s="57"/>
      <c r="M29" s="57"/>
      <c r="N29" s="57"/>
      <c r="O29" s="57"/>
      <c r="P29" s="57"/>
      <c r="Q29" s="57"/>
      <c r="R29" s="57"/>
      <c r="S29" s="57"/>
      <c r="T29" s="24">
        <v>145300</v>
      </c>
      <c r="U29" s="16">
        <f t="shared" si="0"/>
        <v>1598300</v>
      </c>
      <c r="V29" s="23">
        <v>1599000</v>
      </c>
      <c r="W29" s="122">
        <v>42214</v>
      </c>
      <c r="X29" s="17" t="s">
        <v>907</v>
      </c>
      <c r="Y29" s="22">
        <f t="shared" si="1"/>
        <v>-700</v>
      </c>
      <c r="Z29" s="57"/>
    </row>
    <row r="30" spans="1:27" ht="31.2">
      <c r="A30" s="23" t="s">
        <v>908</v>
      </c>
      <c r="B30" s="42">
        <v>42203</v>
      </c>
      <c r="C30" s="125" t="s">
        <v>909</v>
      </c>
      <c r="D30" s="52" t="s">
        <v>910</v>
      </c>
      <c r="E30" s="40" t="s">
        <v>224</v>
      </c>
      <c r="F30" s="21"/>
      <c r="G30" s="22" t="s">
        <v>752</v>
      </c>
      <c r="H30" s="23"/>
      <c r="I30" s="57"/>
      <c r="J30" s="23">
        <v>1080000</v>
      </c>
      <c r="K30" s="24"/>
      <c r="L30" s="57"/>
      <c r="M30" s="57"/>
      <c r="N30" s="57"/>
      <c r="O30" s="57"/>
      <c r="P30" s="57"/>
      <c r="Q30" s="57"/>
      <c r="R30" s="57"/>
      <c r="S30" s="57"/>
      <c r="T30" s="24"/>
      <c r="U30" s="16">
        <f t="shared" si="0"/>
        <v>1080000</v>
      </c>
      <c r="V30" s="23">
        <v>1080000</v>
      </c>
      <c r="W30" s="122">
        <v>42205</v>
      </c>
      <c r="X30" s="17"/>
      <c r="Y30" s="22">
        <f t="shared" si="1"/>
        <v>0</v>
      </c>
      <c r="Z30" s="125"/>
    </row>
    <row r="31" spans="1:27" ht="41.4">
      <c r="A31" s="23" t="s">
        <v>912</v>
      </c>
      <c r="B31" s="42">
        <v>42205</v>
      </c>
      <c r="C31" s="125" t="s">
        <v>913</v>
      </c>
      <c r="D31" s="20"/>
      <c r="E31" s="40" t="s">
        <v>361</v>
      </c>
      <c r="F31" s="21" t="s">
        <v>911</v>
      </c>
      <c r="G31" s="22" t="s">
        <v>91</v>
      </c>
      <c r="H31" s="23">
        <v>253000</v>
      </c>
      <c r="I31" s="57"/>
      <c r="J31" s="23">
        <v>1080000</v>
      </c>
      <c r="K31" s="24">
        <v>750000</v>
      </c>
      <c r="L31" s="57"/>
      <c r="M31" s="57"/>
      <c r="N31" s="57"/>
      <c r="O31" s="57"/>
      <c r="P31" s="57"/>
      <c r="Q31" s="57"/>
      <c r="R31" s="57"/>
      <c r="S31" s="57"/>
      <c r="T31" s="24"/>
      <c r="U31" s="16">
        <f t="shared" si="0"/>
        <v>2083000</v>
      </c>
      <c r="V31" s="23">
        <v>2083000</v>
      </c>
      <c r="W31" s="122">
        <v>42223</v>
      </c>
      <c r="X31" s="17"/>
      <c r="Y31" s="22">
        <f t="shared" si="1"/>
        <v>0</v>
      </c>
      <c r="Z31" s="125"/>
    </row>
    <row r="32" spans="1:27" ht="31.2">
      <c r="A32" s="27" t="s">
        <v>921</v>
      </c>
      <c r="B32" s="42">
        <v>42207</v>
      </c>
      <c r="C32" s="129" t="s">
        <v>920</v>
      </c>
      <c r="D32" s="52" t="s">
        <v>922</v>
      </c>
      <c r="E32" s="40" t="s">
        <v>361</v>
      </c>
      <c r="F32" s="21" t="s">
        <v>923</v>
      </c>
      <c r="G32" s="22" t="s">
        <v>876</v>
      </c>
      <c r="H32" s="23">
        <v>250000</v>
      </c>
      <c r="I32" s="57"/>
      <c r="J32" s="23">
        <v>1250000</v>
      </c>
      <c r="K32" s="24"/>
      <c r="L32" s="57"/>
      <c r="M32" s="57"/>
      <c r="N32" s="57"/>
      <c r="O32" s="57"/>
      <c r="P32" s="57"/>
      <c r="Q32" s="57"/>
      <c r="R32" s="57"/>
      <c r="S32" s="57"/>
      <c r="T32" s="24"/>
      <c r="U32" s="16">
        <f t="shared" si="0"/>
        <v>1500000</v>
      </c>
      <c r="V32" s="23">
        <f>'Tổng hợp 2015'!V256</f>
        <v>750000</v>
      </c>
      <c r="W32" s="122">
        <f>'Tổng hợp 2015'!W256</f>
        <v>42229</v>
      </c>
      <c r="X32" s="23">
        <f>'Tổng hợp 2015'!X256</f>
        <v>0</v>
      </c>
      <c r="Y32" s="22">
        <f t="shared" si="1"/>
        <v>750000</v>
      </c>
      <c r="Z32" s="125"/>
    </row>
    <row r="33" spans="1:27" s="63" customFormat="1" ht="31.2">
      <c r="A33" s="23" t="s">
        <v>957</v>
      </c>
      <c r="B33" s="42">
        <v>42193</v>
      </c>
      <c r="C33" s="129" t="s">
        <v>958</v>
      </c>
      <c r="D33" s="52" t="s">
        <v>959</v>
      </c>
      <c r="E33" s="40" t="s">
        <v>361</v>
      </c>
      <c r="F33" s="21" t="s">
        <v>960</v>
      </c>
      <c r="G33" s="22" t="s">
        <v>1060</v>
      </c>
      <c r="H33" s="23">
        <v>250000</v>
      </c>
      <c r="I33" s="121"/>
      <c r="J33" s="23">
        <v>1440000</v>
      </c>
      <c r="K33" s="24">
        <v>2000000</v>
      </c>
      <c r="L33" s="121"/>
      <c r="M33" s="121"/>
      <c r="N33" s="121"/>
      <c r="O33" s="121"/>
      <c r="P33" s="24"/>
      <c r="Q33" s="24"/>
      <c r="R33" s="121"/>
      <c r="S33" s="121"/>
      <c r="T33" s="24">
        <v>169000</v>
      </c>
      <c r="U33" s="16">
        <f t="shared" si="0"/>
        <v>3859000</v>
      </c>
      <c r="V33" s="23"/>
      <c r="W33" s="122"/>
      <c r="X33" s="17" t="s">
        <v>969</v>
      </c>
      <c r="Y33" s="22">
        <f t="shared" si="1"/>
        <v>3859000</v>
      </c>
      <c r="Z33" s="33"/>
      <c r="AA33" s="158"/>
    </row>
    <row r="34" spans="1:27" s="63" customFormat="1" ht="31.2">
      <c r="A34" s="23" t="s">
        <v>968</v>
      </c>
      <c r="B34" s="42">
        <v>42199</v>
      </c>
      <c r="C34" s="129" t="s">
        <v>958</v>
      </c>
      <c r="D34" s="52" t="s">
        <v>959</v>
      </c>
      <c r="E34" s="40" t="s">
        <v>888</v>
      </c>
      <c r="F34" s="21" t="s">
        <v>960</v>
      </c>
      <c r="G34" s="22" t="s">
        <v>1060</v>
      </c>
      <c r="H34" s="23"/>
      <c r="I34" s="23">
        <v>1200000</v>
      </c>
      <c r="J34" s="23"/>
      <c r="K34" s="24"/>
      <c r="L34" s="121"/>
      <c r="M34" s="121"/>
      <c r="N34" s="121"/>
      <c r="O34" s="121"/>
      <c r="P34" s="24"/>
      <c r="Q34" s="24"/>
      <c r="R34" s="121"/>
      <c r="S34" s="121"/>
      <c r="T34" s="24">
        <v>120000</v>
      </c>
      <c r="U34" s="16">
        <f t="shared" si="0"/>
        <v>1320000</v>
      </c>
      <c r="V34" s="23">
        <v>253000</v>
      </c>
      <c r="W34" s="122"/>
      <c r="X34" s="17" t="s">
        <v>967</v>
      </c>
      <c r="Y34" s="22">
        <f t="shared" si="1"/>
        <v>1067000</v>
      </c>
      <c r="Z34" s="33"/>
      <c r="AA34" s="158"/>
    </row>
    <row r="35" spans="1:27" ht="31.2">
      <c r="A35" s="23" t="s">
        <v>970</v>
      </c>
      <c r="B35" s="42">
        <v>42206</v>
      </c>
      <c r="C35" s="125" t="s">
        <v>971</v>
      </c>
      <c r="D35" s="52" t="s">
        <v>972</v>
      </c>
      <c r="E35" s="40" t="s">
        <v>361</v>
      </c>
      <c r="F35" s="21" t="s">
        <v>973</v>
      </c>
      <c r="G35" s="22" t="s">
        <v>1062</v>
      </c>
      <c r="H35" s="23">
        <v>253000</v>
      </c>
      <c r="I35" s="57"/>
      <c r="J35" s="23">
        <v>2280000</v>
      </c>
      <c r="K35" s="24">
        <v>2000000</v>
      </c>
      <c r="L35" s="57"/>
      <c r="M35" s="57"/>
      <c r="N35" s="57"/>
      <c r="O35" s="57"/>
      <c r="P35" s="57"/>
      <c r="Q35" s="57"/>
      <c r="R35" s="57"/>
      <c r="S35" s="57"/>
      <c r="T35" s="24">
        <v>253300</v>
      </c>
      <c r="U35" s="16">
        <f t="shared" si="0"/>
        <v>4786300</v>
      </c>
      <c r="V35" s="23"/>
      <c r="W35" s="122"/>
      <c r="X35" s="17"/>
      <c r="Y35" s="22">
        <f t="shared" si="1"/>
        <v>4786300</v>
      </c>
      <c r="Z35" s="57"/>
    </row>
    <row r="36" spans="1:27" ht="46.8">
      <c r="A36" s="27"/>
      <c r="B36" s="42">
        <v>42209</v>
      </c>
      <c r="C36" s="125" t="s">
        <v>92</v>
      </c>
      <c r="D36" s="20"/>
      <c r="E36" s="40" t="s">
        <v>101</v>
      </c>
      <c r="F36" s="21" t="s">
        <v>976</v>
      </c>
      <c r="G36" s="22" t="s">
        <v>125</v>
      </c>
      <c r="H36" s="23">
        <v>1210000</v>
      </c>
      <c r="I36" s="57"/>
      <c r="J36" s="23"/>
      <c r="K36" s="24"/>
      <c r="L36" s="206"/>
      <c r="M36" s="57"/>
      <c r="N36" s="57"/>
      <c r="O36" s="57"/>
      <c r="P36" s="57"/>
      <c r="Q36" s="57"/>
      <c r="R36" s="57"/>
      <c r="S36" s="57"/>
      <c r="T36" s="24"/>
      <c r="U36" s="16">
        <f t="shared" si="0"/>
        <v>1210000</v>
      </c>
      <c r="V36" s="23">
        <v>1210000</v>
      </c>
      <c r="W36" s="122">
        <v>42209</v>
      </c>
      <c r="X36" s="17"/>
      <c r="Y36" s="22">
        <f t="shared" si="1"/>
        <v>0</v>
      </c>
      <c r="Z36" s="57"/>
    </row>
    <row r="37" spans="1:27" ht="31.2">
      <c r="A37" s="27" t="s">
        <v>977</v>
      </c>
      <c r="B37" s="42">
        <v>42209</v>
      </c>
      <c r="C37" s="125" t="s">
        <v>978</v>
      </c>
      <c r="D37" s="52" t="s">
        <v>979</v>
      </c>
      <c r="E37" s="40" t="s">
        <v>361</v>
      </c>
      <c r="F37" s="21" t="s">
        <v>980</v>
      </c>
      <c r="G37" s="22" t="s">
        <v>833</v>
      </c>
      <c r="H37" s="23">
        <v>250000</v>
      </c>
      <c r="I37" s="57"/>
      <c r="J37" s="23">
        <v>1250000</v>
      </c>
      <c r="K37" s="24"/>
      <c r="L37" s="57"/>
      <c r="M37" s="57"/>
      <c r="N37" s="57"/>
      <c r="O37" s="57"/>
      <c r="P37" s="57"/>
      <c r="Q37" s="57"/>
      <c r="R37" s="57"/>
      <c r="S37" s="57"/>
      <c r="T37" s="24"/>
      <c r="U37" s="16">
        <f t="shared" si="0"/>
        <v>1500000</v>
      </c>
      <c r="V37" s="23">
        <v>500000</v>
      </c>
      <c r="W37" s="122">
        <v>42210</v>
      </c>
      <c r="X37" s="17"/>
      <c r="Y37" s="22">
        <f t="shared" si="1"/>
        <v>1000000</v>
      </c>
      <c r="Z37" s="57"/>
    </row>
    <row r="38" spans="1:27" ht="46.8">
      <c r="A38" s="23" t="s">
        <v>982</v>
      </c>
      <c r="B38" s="42">
        <v>42210</v>
      </c>
      <c r="C38" s="125" t="s">
        <v>981</v>
      </c>
      <c r="D38" s="52" t="s">
        <v>983</v>
      </c>
      <c r="E38" s="40" t="s">
        <v>361</v>
      </c>
      <c r="F38" s="21" t="s">
        <v>984</v>
      </c>
      <c r="G38" s="22" t="s">
        <v>1062</v>
      </c>
      <c r="H38" s="23">
        <v>253000</v>
      </c>
      <c r="I38" s="57"/>
      <c r="J38" s="23">
        <v>1782000</v>
      </c>
      <c r="K38" s="24">
        <v>1000000</v>
      </c>
      <c r="L38" s="57"/>
      <c r="M38" s="57"/>
      <c r="N38" s="57"/>
      <c r="O38" s="57"/>
      <c r="P38" s="57"/>
      <c r="Q38" s="57"/>
      <c r="R38" s="57"/>
      <c r="S38" s="57"/>
      <c r="T38" s="24"/>
      <c r="U38" s="16">
        <f t="shared" si="0"/>
        <v>3035000</v>
      </c>
      <c r="V38" s="23"/>
      <c r="W38" s="122"/>
      <c r="X38" s="17"/>
      <c r="Y38" s="22">
        <f t="shared" si="1"/>
        <v>3035000</v>
      </c>
      <c r="Z38" s="57"/>
    </row>
    <row r="39" spans="1:27" ht="31.2">
      <c r="A39" s="23" t="s">
        <v>985</v>
      </c>
      <c r="B39" s="42">
        <v>42213</v>
      </c>
      <c r="C39" s="125" t="s">
        <v>986</v>
      </c>
      <c r="D39" s="52" t="s">
        <v>987</v>
      </c>
      <c r="E39" s="40" t="s">
        <v>332</v>
      </c>
      <c r="F39" s="21"/>
      <c r="G39" s="22" t="s">
        <v>91</v>
      </c>
      <c r="H39" s="23"/>
      <c r="I39" s="57"/>
      <c r="J39" s="23"/>
      <c r="K39" s="24">
        <v>10000000</v>
      </c>
      <c r="L39" s="57"/>
      <c r="M39" s="57"/>
      <c r="N39" s="57"/>
      <c r="O39" s="57"/>
      <c r="P39" s="57"/>
      <c r="Q39" s="57"/>
      <c r="R39" s="57"/>
      <c r="S39" s="57"/>
      <c r="T39" s="24"/>
      <c r="U39" s="16">
        <f t="shared" si="0"/>
        <v>10000000</v>
      </c>
      <c r="V39" s="23">
        <v>5000000</v>
      </c>
      <c r="W39" s="122">
        <v>42214</v>
      </c>
      <c r="X39" s="17"/>
      <c r="Y39" s="22">
        <f t="shared" si="1"/>
        <v>5000000</v>
      </c>
      <c r="Z39" s="57" t="s">
        <v>1001</v>
      </c>
    </row>
    <row r="40" spans="1:27" ht="31.2">
      <c r="A40" s="23" t="s">
        <v>989</v>
      </c>
      <c r="B40" s="42">
        <v>42214</v>
      </c>
      <c r="C40" s="125" t="s">
        <v>990</v>
      </c>
      <c r="D40" s="194" t="s">
        <v>991</v>
      </c>
      <c r="E40" s="40" t="s">
        <v>888</v>
      </c>
      <c r="F40" s="21" t="s">
        <v>992</v>
      </c>
      <c r="G40" s="22" t="s">
        <v>91</v>
      </c>
      <c r="H40" s="23"/>
      <c r="I40" s="23">
        <v>2612000</v>
      </c>
      <c r="J40" s="23"/>
      <c r="K40" s="24"/>
      <c r="L40" s="57"/>
      <c r="M40" s="57"/>
      <c r="N40" s="57"/>
      <c r="O40" s="57"/>
      <c r="P40" s="57"/>
      <c r="Q40" s="57"/>
      <c r="R40" s="57"/>
      <c r="S40" s="57"/>
      <c r="T40" s="24">
        <v>261200</v>
      </c>
      <c r="U40" s="16">
        <f t="shared" si="0"/>
        <v>2873200</v>
      </c>
      <c r="V40" s="23">
        <v>2873200</v>
      </c>
      <c r="W40" s="122">
        <v>42227</v>
      </c>
      <c r="X40" s="17" t="s">
        <v>1049</v>
      </c>
      <c r="Y40" s="22">
        <f t="shared" si="1"/>
        <v>0</v>
      </c>
      <c r="Z40" s="57" t="s">
        <v>509</v>
      </c>
    </row>
    <row r="41" spans="1:27" ht="27.6">
      <c r="A41" s="23"/>
      <c r="B41" s="42">
        <v>42214</v>
      </c>
      <c r="C41" s="125" t="s">
        <v>993</v>
      </c>
      <c r="D41" s="20"/>
      <c r="E41" s="40" t="s">
        <v>310</v>
      </c>
      <c r="F41" s="21" t="s">
        <v>994</v>
      </c>
      <c r="G41" s="22"/>
      <c r="H41" s="23">
        <v>480000</v>
      </c>
      <c r="I41" s="57"/>
      <c r="J41" s="23"/>
      <c r="K41" s="24"/>
      <c r="L41" s="57"/>
      <c r="M41" s="57"/>
      <c r="N41" s="57"/>
      <c r="O41" s="57"/>
      <c r="P41" s="57"/>
      <c r="Q41" s="57"/>
      <c r="R41" s="57"/>
      <c r="S41" s="57"/>
      <c r="T41" s="24"/>
      <c r="U41" s="16">
        <f t="shared" si="0"/>
        <v>480000</v>
      </c>
      <c r="V41" s="23">
        <v>480000</v>
      </c>
      <c r="W41" s="122">
        <v>42215</v>
      </c>
      <c r="X41" s="17" t="s">
        <v>995</v>
      </c>
      <c r="Y41" s="22">
        <f t="shared" si="1"/>
        <v>0</v>
      </c>
      <c r="Z41" s="57" t="s">
        <v>1002</v>
      </c>
    </row>
    <row r="42" spans="1:27" ht="27.6">
      <c r="A42" s="27"/>
      <c r="B42" s="42">
        <v>42216</v>
      </c>
      <c r="C42" s="197" t="s">
        <v>998</v>
      </c>
      <c r="D42" s="198" t="s">
        <v>999</v>
      </c>
      <c r="E42" s="28" t="s">
        <v>310</v>
      </c>
      <c r="F42" s="199" t="s">
        <v>1000</v>
      </c>
      <c r="G42" s="22" t="s">
        <v>94</v>
      </c>
      <c r="H42" s="23">
        <v>250000</v>
      </c>
      <c r="I42" s="57"/>
      <c r="J42" s="23"/>
      <c r="K42" s="24"/>
      <c r="L42" s="57"/>
      <c r="M42" s="57"/>
      <c r="N42" s="57"/>
      <c r="O42" s="57"/>
      <c r="P42" s="57"/>
      <c r="Q42" s="57"/>
      <c r="R42" s="57"/>
      <c r="S42" s="57"/>
      <c r="T42" s="24"/>
      <c r="U42" s="16">
        <f t="shared" si="0"/>
        <v>250000</v>
      </c>
      <c r="V42" s="23">
        <v>250000</v>
      </c>
      <c r="W42" s="122">
        <v>42216</v>
      </c>
      <c r="X42" s="17"/>
      <c r="Y42" s="22">
        <f t="shared" si="1"/>
        <v>0</v>
      </c>
      <c r="Z42" s="57"/>
    </row>
    <row r="43" spans="1:27" ht="31.2">
      <c r="A43" s="23" t="s">
        <v>989</v>
      </c>
      <c r="B43" s="42">
        <v>42214</v>
      </c>
      <c r="C43" s="125" t="s">
        <v>1033</v>
      </c>
      <c r="D43" s="52" t="s">
        <v>1034</v>
      </c>
      <c r="E43" s="40" t="s">
        <v>361</v>
      </c>
      <c r="F43" s="21" t="s">
        <v>1035</v>
      </c>
      <c r="G43" s="22" t="s">
        <v>140</v>
      </c>
      <c r="H43" s="23">
        <v>250000</v>
      </c>
      <c r="I43" s="57"/>
      <c r="J43" s="23">
        <v>1440000</v>
      </c>
      <c r="K43" s="24">
        <v>2310000</v>
      </c>
      <c r="L43" s="57"/>
      <c r="M43" s="57"/>
      <c r="N43" s="57"/>
      <c r="O43" s="57"/>
      <c r="P43" s="57"/>
      <c r="Q43" s="57"/>
      <c r="R43" s="57"/>
      <c r="S43" s="57"/>
      <c r="T43" s="24"/>
      <c r="U43" s="16">
        <f t="shared" si="0"/>
        <v>4000000</v>
      </c>
      <c r="V43" s="23">
        <v>2000000</v>
      </c>
      <c r="W43" s="122">
        <v>42223</v>
      </c>
      <c r="X43" s="17"/>
      <c r="Y43" s="22">
        <f t="shared" si="1"/>
        <v>2000000</v>
      </c>
      <c r="Z43" s="57"/>
    </row>
    <row r="44" spans="1:27" ht="15.6">
      <c r="A44" s="23"/>
      <c r="B44" s="42"/>
      <c r="C44" s="18"/>
      <c r="D44" s="52"/>
      <c r="E44" s="40"/>
      <c r="F44" s="21"/>
      <c r="G44" s="22"/>
      <c r="H44" s="23"/>
      <c r="I44" s="57"/>
      <c r="J44" s="23"/>
      <c r="K44" s="24"/>
      <c r="L44" s="57"/>
      <c r="M44" s="57"/>
      <c r="N44" s="57"/>
      <c r="O44" s="57"/>
      <c r="P44" s="57"/>
      <c r="Q44" s="57"/>
      <c r="R44" s="57"/>
      <c r="S44" s="57"/>
      <c r="T44" s="24"/>
      <c r="U44" s="16">
        <f t="shared" ref="U44:U47" si="2">+SUM(H44:T44)</f>
        <v>0</v>
      </c>
      <c r="V44" s="23"/>
      <c r="W44" s="122"/>
      <c r="X44" s="57"/>
      <c r="Y44" s="22">
        <f t="shared" ref="Y44:Y47" si="3">U44-V44</f>
        <v>0</v>
      </c>
      <c r="Z44" s="57"/>
    </row>
    <row r="45" spans="1:27" ht="15.6">
      <c r="A45" s="27"/>
      <c r="B45" s="17"/>
      <c r="C45" s="18"/>
      <c r="D45" s="20"/>
      <c r="E45" s="40"/>
      <c r="F45" s="21"/>
      <c r="G45" s="22"/>
      <c r="H45" s="23"/>
      <c r="I45" s="57"/>
      <c r="J45" s="23"/>
      <c r="K45" s="24"/>
      <c r="L45" s="57"/>
      <c r="M45" s="57"/>
      <c r="N45" s="57"/>
      <c r="O45" s="57"/>
      <c r="P45" s="57"/>
      <c r="Q45" s="57"/>
      <c r="R45" s="57"/>
      <c r="S45" s="57"/>
      <c r="T45" s="24"/>
      <c r="U45" s="16">
        <f t="shared" si="2"/>
        <v>0</v>
      </c>
      <c r="V45" s="23">
        <f>'Tổng hợp 2015'!V270</f>
        <v>0</v>
      </c>
      <c r="W45" s="57"/>
      <c r="X45" s="57"/>
      <c r="Y45" s="22">
        <f t="shared" si="3"/>
        <v>0</v>
      </c>
      <c r="Z45" s="57"/>
    </row>
    <row r="46" spans="1:27" ht="15.6">
      <c r="A46" s="27"/>
      <c r="B46" s="17"/>
      <c r="C46" s="18"/>
      <c r="D46" s="20"/>
      <c r="E46" s="40"/>
      <c r="F46" s="21"/>
      <c r="G46" s="22"/>
      <c r="H46" s="23"/>
      <c r="I46" s="57"/>
      <c r="J46" s="23"/>
      <c r="K46" s="24"/>
      <c r="L46" s="57"/>
      <c r="M46" s="57"/>
      <c r="N46" s="57"/>
      <c r="O46" s="57"/>
      <c r="P46" s="57"/>
      <c r="Q46" s="57"/>
      <c r="R46" s="57"/>
      <c r="S46" s="57"/>
      <c r="T46" s="24"/>
      <c r="U46" s="16">
        <f t="shared" si="2"/>
        <v>0</v>
      </c>
      <c r="V46" s="23">
        <f>'Tổng hợp 2015'!V271</f>
        <v>0</v>
      </c>
      <c r="W46" s="57"/>
      <c r="X46" s="57"/>
      <c r="Y46" s="22">
        <f t="shared" si="3"/>
        <v>0</v>
      </c>
      <c r="Z46" s="57"/>
    </row>
    <row r="47" spans="1:27" ht="15.6">
      <c r="A47" s="27"/>
      <c r="B47" s="17"/>
      <c r="C47" s="18"/>
      <c r="D47" s="20"/>
      <c r="E47" s="40"/>
      <c r="F47" s="21"/>
      <c r="G47" s="22"/>
      <c r="H47" s="23"/>
      <c r="I47" s="57"/>
      <c r="J47" s="23"/>
      <c r="K47" s="24"/>
      <c r="L47" s="57"/>
      <c r="M47" s="57"/>
      <c r="N47" s="57"/>
      <c r="O47" s="57"/>
      <c r="P47" s="57"/>
      <c r="Q47" s="57"/>
      <c r="R47" s="57"/>
      <c r="S47" s="57"/>
      <c r="T47" s="24"/>
      <c r="U47" s="16">
        <f t="shared" si="2"/>
        <v>0</v>
      </c>
      <c r="V47" s="57"/>
      <c r="W47" s="57"/>
      <c r="X47" s="57"/>
      <c r="Y47" s="22">
        <f t="shared" si="3"/>
        <v>0</v>
      </c>
      <c r="Z47" s="57"/>
    </row>
    <row r="48" spans="1:27" ht="15.6">
      <c r="A48" s="27"/>
      <c r="B48" s="17"/>
      <c r="C48" s="79" t="s">
        <v>107</v>
      </c>
      <c r="D48" s="57"/>
      <c r="E48" s="57"/>
      <c r="F48" s="57"/>
      <c r="G48" s="57"/>
      <c r="H48" s="80">
        <f>SUM(H6:H27)</f>
        <v>5376000</v>
      </c>
      <c r="I48" s="80">
        <f>SUM(I6:I26)</f>
        <v>0</v>
      </c>
      <c r="J48" s="80">
        <f>SUM(J6:J40)</f>
        <v>23758000</v>
      </c>
      <c r="K48" s="80">
        <f t="shared" ref="K48:V48" si="4">SUM(K6:K26)</f>
        <v>41030000</v>
      </c>
      <c r="L48" s="80">
        <f t="shared" si="4"/>
        <v>0</v>
      </c>
      <c r="M48" s="80">
        <f t="shared" si="4"/>
        <v>0</v>
      </c>
      <c r="N48" s="80">
        <f t="shared" si="4"/>
        <v>0</v>
      </c>
      <c r="O48" s="80">
        <f t="shared" si="4"/>
        <v>0</v>
      </c>
      <c r="P48" s="80">
        <f t="shared" si="4"/>
        <v>0</v>
      </c>
      <c r="Q48" s="80">
        <f t="shared" si="4"/>
        <v>0</v>
      </c>
      <c r="R48" s="80">
        <f t="shared" si="4"/>
        <v>0</v>
      </c>
      <c r="S48" s="80">
        <f t="shared" si="4"/>
        <v>0</v>
      </c>
      <c r="T48" s="80">
        <f t="shared" si="4"/>
        <v>277300</v>
      </c>
      <c r="U48" s="80">
        <f t="shared" si="4"/>
        <v>59859300</v>
      </c>
      <c r="V48" s="80">
        <f t="shared" si="4"/>
        <v>44029300</v>
      </c>
      <c r="W48" s="80"/>
      <c r="X48" s="80">
        <f>SUM(X6:X26)</f>
        <v>0</v>
      </c>
      <c r="Y48" s="80">
        <f>SUM(Y6:Y26)</f>
        <v>15830000</v>
      </c>
      <c r="Z48" s="57"/>
    </row>
    <row r="52" spans="1:21">
      <c r="O52" t="s">
        <v>95</v>
      </c>
      <c r="U52" s="78"/>
    </row>
    <row r="53" spans="1:21">
      <c r="A53" s="133" t="s">
        <v>327</v>
      </c>
    </row>
    <row r="54" spans="1:21">
      <c r="A54" s="133" t="s">
        <v>1031</v>
      </c>
    </row>
    <row r="55" spans="1:21">
      <c r="A55" s="133" t="s">
        <v>1032</v>
      </c>
    </row>
  </sheetData>
  <autoFilter ref="A3:Z48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43:E47 E1:E5 E7:E16 E18:E41">
    <cfRule type="containsText" dxfId="191" priority="55" stopIfTrue="1" operator="containsText" text="Gia hạn">
      <formula>NOT(ISERROR(SEARCH("Gia hạn",E1)))</formula>
    </cfRule>
    <cfRule type="cellIs" dxfId="190" priority="56" stopIfTrue="1" operator="equal">
      <formula>"Gia hạn"</formula>
    </cfRule>
  </conditionalFormatting>
  <conditionalFormatting sqref="D23:D25 G1:G47">
    <cfRule type="containsText" dxfId="189" priority="54" stopIfTrue="1" operator="containsText" text="THV">
      <formula>NOT(ISERROR(SEARCH("THV",D1)))</formula>
    </cfRule>
  </conditionalFormatting>
  <conditionalFormatting sqref="E1:E65498">
    <cfRule type="containsText" dxfId="188" priority="53" stopIfTrue="1" operator="containsText" text="gia hạn">
      <formula>NOT(ISERROR(SEARCH("gia hạn",E1)))</formula>
    </cfRule>
  </conditionalFormatting>
  <conditionalFormatting sqref="D23:D25 G1:G1048576">
    <cfRule type="containsText" dxfId="187" priority="52" operator="containsText" text="Tịnh">
      <formula>NOT(ISERROR(SEARCH("Tịnh",D1)))</formula>
    </cfRule>
  </conditionalFormatting>
  <conditionalFormatting sqref="E43">
    <cfRule type="containsText" dxfId="186" priority="8" stopIfTrue="1" operator="containsText" text="Gia hạn">
      <formula>NOT(ISERROR(SEARCH("Gia hạn",E43)))</formula>
    </cfRule>
    <cfRule type="cellIs" dxfId="185" priority="9" stopIfTrue="1" operator="equal">
      <formula>"Gia hạn"</formula>
    </cfRule>
  </conditionalFormatting>
  <conditionalFormatting sqref="G38">
    <cfRule type="containsText" dxfId="184" priority="2" stopIfTrue="1" operator="containsText" text="THV">
      <formula>NOT(ISERROR(SEARCH("THV",G38)))</formula>
    </cfRule>
  </conditionalFormatting>
  <conditionalFormatting sqref="G38">
    <cfRule type="containsText" dxfId="183" priority="1" operator="containsText" text="Tịnh">
      <formula>NOT(ISERROR(SEARCH("Tịnh",G38)))</formula>
    </cfRule>
  </conditionalFormatting>
  <hyperlinks>
    <hyperlink ref="F17" r:id="rId1"/>
    <hyperlink ref="F21" r:id="rId2"/>
    <hyperlink ref="F42" r:id="rId3"/>
  </hyperlinks>
  <pageMargins left="0.7" right="0.7" top="0.75" bottom="0.75" header="0.3" footer="0.3"/>
  <pageSetup orientation="portrait" verticalDpi="0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61"/>
  <sheetViews>
    <sheetView workbookViewId="0">
      <pane xSplit="3" ySplit="5" topLeftCell="D9" activePane="bottomRight" state="frozen"/>
      <selection pane="topRight" activeCell="D1" sqref="D1"/>
      <selection pane="bottomLeft" activeCell="A6" sqref="A6"/>
      <selection pane="bottomRight" activeCell="B25" sqref="B25"/>
    </sheetView>
  </sheetViews>
  <sheetFormatPr defaultColWidth="18" defaultRowHeight="14.4"/>
  <cols>
    <col min="1" max="1" width="16.44140625" customWidth="1"/>
    <col min="2" max="2" width="14.109375" customWidth="1"/>
    <col min="3" max="3" width="35.6640625" customWidth="1"/>
    <col min="4" max="4" width="18.109375" customWidth="1"/>
    <col min="5" max="5" width="20.88671875" customWidth="1"/>
    <col min="6" max="6" width="30.88671875" customWidth="1"/>
    <col min="7" max="7" width="10" customWidth="1"/>
    <col min="8" max="8" width="15.109375" customWidth="1"/>
    <col min="9" max="9" width="16" customWidth="1"/>
    <col min="10" max="10" width="16.5546875" customWidth="1"/>
    <col min="11" max="11" width="16.109375" customWidth="1"/>
    <col min="12" max="12" width="15.109375" customWidth="1"/>
    <col min="13" max="13" width="14.6640625" customWidth="1"/>
    <col min="14" max="14" width="15.44140625" customWidth="1"/>
    <col min="15" max="15" width="15.88671875" customWidth="1"/>
    <col min="16" max="16" width="16.88671875" customWidth="1"/>
    <col min="17" max="17" width="16.109375" customWidth="1"/>
    <col min="18" max="18" width="16" customWidth="1"/>
    <col min="19" max="19" width="15.88671875" customWidth="1"/>
    <col min="20" max="20" width="15.109375" customWidth="1"/>
    <col min="24" max="24" width="26.5546875" customWidth="1"/>
    <col min="26" max="26" width="29.88671875" customWidth="1"/>
  </cols>
  <sheetData>
    <row r="1" spans="1:27" ht="24.6">
      <c r="A1" s="213" t="s">
        <v>0</v>
      </c>
      <c r="B1" s="214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1"/>
    </row>
    <row r="2" spans="1:27" ht="15.6">
      <c r="A2" s="2"/>
      <c r="B2" s="103" t="s">
        <v>145</v>
      </c>
      <c r="C2" s="3"/>
      <c r="D2" s="3"/>
      <c r="E2" s="4"/>
      <c r="F2" s="5"/>
      <c r="G2" s="4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9"/>
      <c r="X2" s="9"/>
      <c r="Y2" s="7"/>
      <c r="Z2" s="10"/>
      <c r="AA2" s="1"/>
    </row>
    <row r="3" spans="1:27" ht="15.6">
      <c r="A3" s="211" t="s">
        <v>1</v>
      </c>
      <c r="B3" s="215" t="s">
        <v>2</v>
      </c>
      <c r="C3" s="211" t="s">
        <v>3</v>
      </c>
      <c r="D3" s="196"/>
      <c r="E3" s="211" t="s">
        <v>4</v>
      </c>
      <c r="F3" s="217" t="s">
        <v>5</v>
      </c>
      <c r="G3" s="211" t="s">
        <v>6</v>
      </c>
      <c r="H3" s="219" t="s">
        <v>7</v>
      </c>
      <c r="I3" s="220"/>
      <c r="J3" s="220"/>
      <c r="K3" s="220"/>
      <c r="L3" s="220"/>
      <c r="M3" s="220"/>
      <c r="N3" s="220"/>
      <c r="O3" s="220"/>
      <c r="P3" s="220"/>
      <c r="Q3" s="220"/>
      <c r="R3" s="221"/>
      <c r="S3" s="211" t="s">
        <v>8</v>
      </c>
      <c r="T3" s="222" t="s">
        <v>9</v>
      </c>
      <c r="U3" s="224" t="s">
        <v>10</v>
      </c>
      <c r="V3" s="222" t="s">
        <v>11</v>
      </c>
      <c r="W3" s="226" t="s">
        <v>12</v>
      </c>
      <c r="X3" s="226" t="s">
        <v>13</v>
      </c>
      <c r="Y3" s="222" t="s">
        <v>14</v>
      </c>
      <c r="Z3" s="211" t="s">
        <v>15</v>
      </c>
      <c r="AA3" s="12"/>
    </row>
    <row r="4" spans="1:27" ht="31.2">
      <c r="A4" s="212"/>
      <c r="B4" s="216"/>
      <c r="C4" s="212"/>
      <c r="D4" s="13" t="s">
        <v>16</v>
      </c>
      <c r="E4" s="212"/>
      <c r="F4" s="218"/>
      <c r="G4" s="212"/>
      <c r="H4" s="14" t="s">
        <v>17</v>
      </c>
      <c r="I4" s="14" t="s">
        <v>18</v>
      </c>
      <c r="J4" s="14" t="s">
        <v>19</v>
      </c>
      <c r="K4" s="14" t="s">
        <v>20</v>
      </c>
      <c r="L4" s="14" t="s">
        <v>21</v>
      </c>
      <c r="M4" s="14" t="s">
        <v>22</v>
      </c>
      <c r="N4" s="14" t="s">
        <v>23</v>
      </c>
      <c r="O4" s="14" t="s">
        <v>24</v>
      </c>
      <c r="P4" s="14" t="s">
        <v>25</v>
      </c>
      <c r="Q4" s="14" t="s">
        <v>26</v>
      </c>
      <c r="R4" s="14" t="s">
        <v>27</v>
      </c>
      <c r="S4" s="212"/>
      <c r="T4" s="223"/>
      <c r="U4" s="225"/>
      <c r="V4" s="223"/>
      <c r="W4" s="227"/>
      <c r="X4" s="227"/>
      <c r="Y4" s="223"/>
      <c r="Z4" s="212"/>
      <c r="AA4" s="15"/>
    </row>
    <row r="5" spans="1:27" ht="15.6">
      <c r="A5" s="16" t="s">
        <v>1004</v>
      </c>
      <c r="B5" s="17"/>
      <c r="C5" s="18"/>
      <c r="D5" s="19"/>
      <c r="E5" s="20"/>
      <c r="F5" s="21"/>
      <c r="G5" s="22"/>
      <c r="H5" s="23"/>
      <c r="I5" s="24"/>
      <c r="J5" s="23"/>
      <c r="K5" s="24"/>
      <c r="L5" s="24"/>
      <c r="M5" s="23"/>
      <c r="N5" s="24"/>
      <c r="O5" s="24"/>
      <c r="P5" s="24"/>
      <c r="Q5" s="24"/>
      <c r="R5" s="24"/>
      <c r="S5" s="24"/>
      <c r="T5" s="24"/>
      <c r="U5" s="16">
        <f>+SUM(H5:T5)</f>
        <v>0</v>
      </c>
      <c r="V5" s="23"/>
      <c r="W5" s="17"/>
      <c r="X5" s="17"/>
      <c r="Y5" s="22">
        <f>U5-V5</f>
        <v>0</v>
      </c>
      <c r="Z5" s="25"/>
      <c r="AA5" s="26"/>
    </row>
    <row r="6" spans="1:27" ht="31.2">
      <c r="A6" s="27" t="str">
        <f>'Tổng hợp 2015'!A271</f>
        <v>01.08.15/DCV-XV</v>
      </c>
      <c r="B6" s="42">
        <f>'Tổng hợp 2015'!B271</f>
        <v>42217</v>
      </c>
      <c r="C6" s="200" t="str">
        <f>'Tổng hợp 2015'!C271</f>
        <v>CÔNG TY CP CÔNG NGHỆ SINH HỌC XANH ViỆT</v>
      </c>
      <c r="D6" s="52" t="str">
        <f>'Tổng hợp 2015'!D271</f>
        <v xml:space="preserve"> Hoàng Văn Đức 0986612619</v>
      </c>
      <c r="E6" s="40" t="str">
        <f>'Tổng hợp 2015'!E271</f>
        <v>Thiết kế web, domain, hosting</v>
      </c>
      <c r="F6" s="21" t="str">
        <f>'Tổng hợp 2015'!F271</f>
        <v>xanhvietbiotech.vn</v>
      </c>
      <c r="G6" s="40" t="str">
        <f>'Tổng hợp 2015'!G271</f>
        <v>Tuyền</v>
      </c>
      <c r="H6" s="23">
        <f>'Tổng hợp 2015'!H271</f>
        <v>830000</v>
      </c>
      <c r="I6" s="23">
        <f>'Tổng hợp 2015'!I271</f>
        <v>0</v>
      </c>
      <c r="J6" s="23">
        <f>'Tổng hợp 2015'!J271</f>
        <v>900000</v>
      </c>
      <c r="K6" s="24">
        <f>'Tổng hợp 2015'!K271</f>
        <v>5100000</v>
      </c>
      <c r="L6" s="23">
        <f>'Tổng hợp 2015'!L271</f>
        <v>0</v>
      </c>
      <c r="M6" s="23">
        <f>'Tổng hợp 2015'!M271</f>
        <v>0</v>
      </c>
      <c r="N6" s="23">
        <f>'Tổng hợp 2015'!N271</f>
        <v>0</v>
      </c>
      <c r="O6" s="23">
        <f>'Tổng hợp 2015'!O271</f>
        <v>0</v>
      </c>
      <c r="P6" s="23">
        <f>'Tổng hợp 2015'!P271</f>
        <v>0</v>
      </c>
      <c r="Q6" s="23">
        <f>'Tổng hợp 2015'!Q271</f>
        <v>0</v>
      </c>
      <c r="R6" s="23">
        <f>'Tổng hợp 2015'!R271</f>
        <v>0</v>
      </c>
      <c r="S6" s="23">
        <f>'Tổng hợp 2015'!S271</f>
        <v>0</v>
      </c>
      <c r="T6" s="23">
        <f>'Tổng hợp 2015'!T271</f>
        <v>0</v>
      </c>
      <c r="U6" s="16">
        <f t="shared" ref="U6:U8" si="0">+SUM(H6:T6)</f>
        <v>6830000</v>
      </c>
      <c r="V6" s="23">
        <f>'Tổng hợp 2015'!V271</f>
        <v>0</v>
      </c>
      <c r="W6" s="23">
        <f>'Tổng hợp 2015'!W271</f>
        <v>0</v>
      </c>
      <c r="X6" s="23">
        <f>'Tổng hợp 2015'!X271</f>
        <v>0</v>
      </c>
      <c r="Y6" s="22">
        <f t="shared" ref="Y6:Y55" si="1">U6-V6</f>
        <v>6830000</v>
      </c>
      <c r="Z6" s="23">
        <f>'Tổng hợp 2015'!Z271</f>
        <v>0</v>
      </c>
    </row>
    <row r="7" spans="1:27" ht="31.2">
      <c r="A7" s="27" t="str">
        <f>'Tổng hợp 2015'!A272</f>
        <v>03.08.15/DCV-VN</v>
      </c>
      <c r="B7" s="42">
        <f>'Tổng hợp 2015'!B272</f>
        <v>42219</v>
      </c>
      <c r="C7" s="200" t="str">
        <f>'Tổng hợp 2015'!C272</f>
        <v>CÔNG TY TNHH MTV SX TM DV TƯ VẤN XD ViỆT NHỚ</v>
      </c>
      <c r="D7" s="52" t="str">
        <f>'Tổng hợp 2015'!D272</f>
        <v>Nguyễn Thị Tuyến 0986495622</v>
      </c>
      <c r="E7" s="40" t="str">
        <f>'Tổng hợp 2015'!E272</f>
        <v>Thiết kế web, domain, hosting</v>
      </c>
      <c r="F7" s="21" t="str">
        <f>'Tổng hợp 2015'!F272</f>
        <v>.com</v>
      </c>
      <c r="G7" s="40" t="str">
        <f>'Tổng hợp 2015'!G272</f>
        <v>Quang Khánh</v>
      </c>
      <c r="H7" s="23">
        <f>'Tổng hợp 2015'!H272</f>
        <v>250000</v>
      </c>
      <c r="I7" s="23">
        <f>'Tổng hợp 2015'!I272</f>
        <v>0</v>
      </c>
      <c r="J7" s="23">
        <f>'Tổng hợp 2015'!J272</f>
        <v>1080000</v>
      </c>
      <c r="K7" s="24">
        <f>'Tổng hợp 2015'!K272</f>
        <v>0</v>
      </c>
      <c r="L7" s="23">
        <f>'Tổng hợp 2015'!L272</f>
        <v>0</v>
      </c>
      <c r="M7" s="23">
        <f>'Tổng hợp 2015'!M272</f>
        <v>0</v>
      </c>
      <c r="N7" s="23">
        <f>'Tổng hợp 2015'!N272</f>
        <v>0</v>
      </c>
      <c r="O7" s="23">
        <f>'Tổng hợp 2015'!O272</f>
        <v>0</v>
      </c>
      <c r="P7" s="23">
        <f>'Tổng hợp 2015'!P272</f>
        <v>0</v>
      </c>
      <c r="Q7" s="23">
        <f>'Tổng hợp 2015'!Q272</f>
        <v>0</v>
      </c>
      <c r="R7" s="23">
        <f>'Tổng hợp 2015'!R272</f>
        <v>0</v>
      </c>
      <c r="S7" s="23">
        <f>'Tổng hợp 2015'!S272</f>
        <v>0</v>
      </c>
      <c r="T7" s="23">
        <f>'Tổng hợp 2015'!T272</f>
        <v>0</v>
      </c>
      <c r="U7" s="16">
        <f t="shared" si="0"/>
        <v>1330000</v>
      </c>
      <c r="V7" s="23">
        <f>'Tổng hợp 2015'!V272</f>
        <v>0</v>
      </c>
      <c r="W7" s="23">
        <f>'Tổng hợp 2015'!W272</f>
        <v>0</v>
      </c>
      <c r="X7" s="23">
        <f>'Tổng hợp 2015'!X272</f>
        <v>0</v>
      </c>
      <c r="Y7" s="22">
        <f t="shared" si="1"/>
        <v>1330000</v>
      </c>
      <c r="Z7" s="57"/>
    </row>
    <row r="8" spans="1:27" ht="31.2">
      <c r="A8" s="27" t="str">
        <f>'Tổng hợp 2015'!A273</f>
        <v>06.08.15/DCV-JE</v>
      </c>
      <c r="B8" s="42">
        <f>'Tổng hợp 2015'!B273</f>
        <v>42222</v>
      </c>
      <c r="C8" s="200" t="str">
        <f>'Tổng hợp 2015'!C273</f>
        <v>CÔNG TY TNHH HOÀNG THIÊN LONG JEANS</v>
      </c>
      <c r="D8" s="52" t="str">
        <f>'Tổng hợp 2015'!D273</f>
        <v>Nguyễn Văn Vinh 0939242002</v>
      </c>
      <c r="E8" s="40" t="str">
        <f>'Tổng hợp 2015'!E273</f>
        <v>Thiết kế web, domain, hosting</v>
      </c>
      <c r="F8" s="21" t="str">
        <f>'Tổng hợp 2015'!F273</f>
        <v>hoangthienlongjeans.com
vinhthujeans.com</v>
      </c>
      <c r="G8" s="40" t="str">
        <f>'Tổng hợp 2015'!G273</f>
        <v>Tuyền</v>
      </c>
      <c r="H8" s="23">
        <f>'Tổng hợp 2015'!H273</f>
        <v>500000</v>
      </c>
      <c r="I8" s="23">
        <f>'Tổng hợp 2015'!I273</f>
        <v>0</v>
      </c>
      <c r="J8" s="23">
        <f>'Tổng hợp 2015'!J273</f>
        <v>1620000</v>
      </c>
      <c r="K8" s="24">
        <f>'Tổng hợp 2015'!K273</f>
        <v>2000000</v>
      </c>
      <c r="L8" s="23">
        <f>'Tổng hợp 2015'!L273</f>
        <v>0</v>
      </c>
      <c r="M8" s="23">
        <f>'Tổng hợp 2015'!M273</f>
        <v>0</v>
      </c>
      <c r="N8" s="23">
        <f>'Tổng hợp 2015'!N273</f>
        <v>0</v>
      </c>
      <c r="O8" s="23">
        <f>'Tổng hợp 2015'!O273</f>
        <v>0</v>
      </c>
      <c r="P8" s="23">
        <f>'Tổng hợp 2015'!P273</f>
        <v>0</v>
      </c>
      <c r="Q8" s="23">
        <f>'Tổng hợp 2015'!Q273</f>
        <v>0</v>
      </c>
      <c r="R8" s="23">
        <f>'Tổng hợp 2015'!R273</f>
        <v>0</v>
      </c>
      <c r="S8" s="23">
        <f>'Tổng hợp 2015'!S273</f>
        <v>0</v>
      </c>
      <c r="T8" s="23">
        <f>'Tổng hợp 2015'!T273</f>
        <v>0</v>
      </c>
      <c r="U8" s="16">
        <f t="shared" si="0"/>
        <v>4120000</v>
      </c>
      <c r="V8" s="23">
        <f>'Tổng hợp 2015'!V273</f>
        <v>2060000</v>
      </c>
      <c r="W8" s="23">
        <f>'Tổng hợp 2015'!W273</f>
        <v>42222</v>
      </c>
      <c r="X8" s="23">
        <f>'Tổng hợp 2015'!X273</f>
        <v>0</v>
      </c>
      <c r="Y8" s="22">
        <f t="shared" si="1"/>
        <v>2060000</v>
      </c>
      <c r="Z8" s="57"/>
    </row>
    <row r="9" spans="1:27" ht="31.2">
      <c r="A9" s="27" t="str">
        <f>'Tổng hợp 2015'!A274</f>
        <v>03.08.15/DCV-HP</v>
      </c>
      <c r="B9" s="42">
        <f>'Tổng hợp 2015'!B274</f>
        <v>42219</v>
      </c>
      <c r="C9" s="200" t="str">
        <f>'Tổng hợp 2015'!C274</f>
        <v>CTY TNHH TƯ VẤN ĐẦU TƯ XÂY DỰNG HOÀNG PHÚ</v>
      </c>
      <c r="D9" s="52" t="str">
        <f>'Tổng hợp 2015'!D274</f>
        <v>Trần Ánh Hồng 0623839199</v>
      </c>
      <c r="E9" s="40" t="str">
        <f>'Tổng hợp 2015'!E274</f>
        <v>Thiết kế web, domain, hosting</v>
      </c>
      <c r="F9" s="21" t="str">
        <f>'Tổng hợp 2015'!F274</f>
        <v>hoangphugroup.com</v>
      </c>
      <c r="G9" s="40" t="str">
        <f>'Tổng hợp 2015'!G274</f>
        <v>Phan Thiết</v>
      </c>
      <c r="H9" s="23">
        <f>'Tổng hợp 2015'!H274</f>
        <v>250000</v>
      </c>
      <c r="I9" s="23">
        <f>'Tổng hợp 2015'!I274</f>
        <v>0</v>
      </c>
      <c r="J9" s="23">
        <f>'Tổng hợp 2015'!J274</f>
        <v>0</v>
      </c>
      <c r="K9" s="24">
        <f>'Tổng hợp 2015'!K274</f>
        <v>2750000</v>
      </c>
      <c r="L9" s="23">
        <f>'Tổng hợp 2015'!L274</f>
        <v>0</v>
      </c>
      <c r="M9" s="23">
        <f>'Tổng hợp 2015'!M274</f>
        <v>0</v>
      </c>
      <c r="N9" s="23">
        <f>'Tổng hợp 2015'!N274</f>
        <v>0</v>
      </c>
      <c r="O9" s="23">
        <f>'Tổng hợp 2015'!O274</f>
        <v>0</v>
      </c>
      <c r="P9" s="23">
        <f>'Tổng hợp 2015'!P274</f>
        <v>0</v>
      </c>
      <c r="Q9" s="23">
        <f>'Tổng hợp 2015'!Q274</f>
        <v>0</v>
      </c>
      <c r="R9" s="23">
        <f>'Tổng hợp 2015'!R274</f>
        <v>0</v>
      </c>
      <c r="S9" s="23">
        <f>'Tổng hợp 2015'!S274</f>
        <v>0</v>
      </c>
      <c r="T9" s="23">
        <f>'Tổng hợp 2015'!T274</f>
        <v>0</v>
      </c>
      <c r="U9" s="16">
        <f t="shared" ref="U9:U55" si="2">+SUM(H9:T9)</f>
        <v>3000000</v>
      </c>
      <c r="V9" s="23">
        <f>'Tổng hợp 2015'!V274</f>
        <v>0</v>
      </c>
      <c r="W9" s="23">
        <f>'Tổng hợp 2015'!W274</f>
        <v>0</v>
      </c>
      <c r="X9" s="23">
        <f>'Tổng hợp 2015'!X274</f>
        <v>0</v>
      </c>
      <c r="Y9" s="22">
        <f t="shared" si="1"/>
        <v>3000000</v>
      </c>
      <c r="Z9" s="82"/>
    </row>
    <row r="10" spans="1:27" s="124" customFormat="1" ht="31.2">
      <c r="A10" s="27" t="str">
        <f>'Tổng hợp 2015'!A275</f>
        <v>05.08.15/DCV-CT</v>
      </c>
      <c r="B10" s="42">
        <f>'Tổng hợp 2015'!B275</f>
        <v>42221</v>
      </c>
      <c r="C10" s="200" t="str">
        <f>'Tổng hợp 2015'!C275</f>
        <v>TRẦN CÔNG TOẠI</v>
      </c>
      <c r="D10" s="52" t="str">
        <f>'Tổng hợp 2015'!D275</f>
        <v>0968218853</v>
      </c>
      <c r="E10" s="40" t="str">
        <f>'Tổng hợp 2015'!E275</f>
        <v>Thiết kế web, hosting</v>
      </c>
      <c r="F10" s="21" t="str">
        <f>'Tổng hợp 2015'!F275</f>
        <v>duquangcaokhainam.com</v>
      </c>
      <c r="G10" s="40" t="str">
        <f>'Tổng hợp 2015'!G275</f>
        <v>Việt</v>
      </c>
      <c r="H10" s="23">
        <f>'Tổng hợp 2015'!H275</f>
        <v>0</v>
      </c>
      <c r="I10" s="23">
        <f>'Tổng hợp 2015'!I275</f>
        <v>0</v>
      </c>
      <c r="J10" s="23">
        <f>'Tổng hợp 2015'!J275</f>
        <v>0</v>
      </c>
      <c r="K10" s="24">
        <f>'Tổng hợp 2015'!K275</f>
        <v>2500000</v>
      </c>
      <c r="L10" s="23">
        <f>'Tổng hợp 2015'!L275</f>
        <v>0</v>
      </c>
      <c r="M10" s="23">
        <f>'Tổng hợp 2015'!M275</f>
        <v>0</v>
      </c>
      <c r="N10" s="23">
        <f>'Tổng hợp 2015'!N275</f>
        <v>0</v>
      </c>
      <c r="O10" s="23">
        <f>'Tổng hợp 2015'!O275</f>
        <v>0</v>
      </c>
      <c r="P10" s="23">
        <f>'Tổng hợp 2015'!P275</f>
        <v>0</v>
      </c>
      <c r="Q10" s="23">
        <f>'Tổng hợp 2015'!Q275</f>
        <v>0</v>
      </c>
      <c r="R10" s="23">
        <f>'Tổng hợp 2015'!R275</f>
        <v>0</v>
      </c>
      <c r="S10" s="23">
        <f>'Tổng hợp 2015'!S275</f>
        <v>0</v>
      </c>
      <c r="T10" s="23">
        <f>'Tổng hợp 2015'!T275</f>
        <v>0</v>
      </c>
      <c r="U10" s="16">
        <f t="shared" si="2"/>
        <v>2500000</v>
      </c>
      <c r="V10" s="23">
        <f>'Tổng hợp 2015'!V275</f>
        <v>0</v>
      </c>
      <c r="W10" s="23">
        <f>'Tổng hợp 2015'!W275</f>
        <v>0</v>
      </c>
      <c r="X10" s="23">
        <f>'Tổng hợp 2015'!X275</f>
        <v>0</v>
      </c>
      <c r="Y10" s="22">
        <f t="shared" si="1"/>
        <v>2500000</v>
      </c>
      <c r="Z10" s="82"/>
    </row>
    <row r="11" spans="1:27" s="124" customFormat="1" ht="31.2">
      <c r="A11" s="27" t="str">
        <f>'Tổng hợp 2015'!A276</f>
        <v>07.08.15/DCV-CT</v>
      </c>
      <c r="B11" s="42">
        <f>'Tổng hợp 2015'!B276</f>
        <v>42223</v>
      </c>
      <c r="C11" s="200" t="str">
        <f>'Tổng hợp 2015'!C276</f>
        <v>CÔNG TY TNHH THƯƠNG MẠI DỊCH VỤ CHÍ TUẤN ĐẠT</v>
      </c>
      <c r="D11" s="52">
        <f>'Tổng hợp 2015'!D276</f>
        <v>0</v>
      </c>
      <c r="E11" s="40" t="str">
        <f>'Tổng hợp 2015'!E276</f>
        <v>Thiết kế web, domain, hosting</v>
      </c>
      <c r="F11" s="21" t="str">
        <f>'Tổng hợp 2015'!F276</f>
        <v>inantemnhan.net</v>
      </c>
      <c r="G11" s="40" t="str">
        <f>'Tổng hợp 2015'!G276</f>
        <v>Táo</v>
      </c>
      <c r="H11" s="23">
        <f>'Tổng hợp 2015'!H276</f>
        <v>250000</v>
      </c>
      <c r="I11" s="23">
        <f>'Tổng hợp 2015'!I276</f>
        <v>0</v>
      </c>
      <c r="J11" s="23">
        <f>'Tổng hợp 2015'!J276</f>
        <v>0</v>
      </c>
      <c r="K11" s="24">
        <f>'Tổng hợp 2015'!K276</f>
        <v>3250000</v>
      </c>
      <c r="L11" s="23">
        <f>'Tổng hợp 2015'!L276</f>
        <v>0</v>
      </c>
      <c r="M11" s="23">
        <f>'Tổng hợp 2015'!M276</f>
        <v>0</v>
      </c>
      <c r="N11" s="23">
        <f>'Tổng hợp 2015'!N276</f>
        <v>0</v>
      </c>
      <c r="O11" s="23">
        <f>'Tổng hợp 2015'!O276</f>
        <v>0</v>
      </c>
      <c r="P11" s="23">
        <f>'Tổng hợp 2015'!P276</f>
        <v>0</v>
      </c>
      <c r="Q11" s="23">
        <f>'Tổng hợp 2015'!Q276</f>
        <v>0</v>
      </c>
      <c r="R11" s="23">
        <f>'Tổng hợp 2015'!R276</f>
        <v>0</v>
      </c>
      <c r="S11" s="23">
        <f>'Tổng hợp 2015'!S276</f>
        <v>0</v>
      </c>
      <c r="T11" s="23">
        <f>'Tổng hợp 2015'!T276</f>
        <v>0</v>
      </c>
      <c r="U11" s="16">
        <f t="shared" si="2"/>
        <v>3500000</v>
      </c>
      <c r="V11" s="23">
        <f>'Tổng hợp 2015'!V276</f>
        <v>1750000</v>
      </c>
      <c r="W11" s="23">
        <f>'Tổng hợp 2015'!W276</f>
        <v>42223</v>
      </c>
      <c r="X11" s="23">
        <f>'Tổng hợp 2015'!X276</f>
        <v>0</v>
      </c>
      <c r="Y11" s="22">
        <f t="shared" si="1"/>
        <v>1750000</v>
      </c>
      <c r="Z11" s="82"/>
    </row>
    <row r="12" spans="1:27" s="124" customFormat="1" ht="27.6">
      <c r="A12" s="27">
        <f>'Tổng hợp 2015'!A277</f>
        <v>0</v>
      </c>
      <c r="B12" s="42">
        <f>'Tổng hợp 2015'!B277</f>
        <v>42224</v>
      </c>
      <c r="C12" s="200" t="str">
        <f>'Tổng hợp 2015'!C277</f>
        <v>CÔNG TY TNHH TMDV CƠ ĐIỆN LẠNH THÀNH CÔNG</v>
      </c>
      <c r="D12" s="52" t="str">
        <f>'Tổng hợp 2015'!D277</f>
        <v>0905 521 251</v>
      </c>
      <c r="E12" s="40" t="str">
        <f>'Tổng hợp 2015'!E277</f>
        <v>Gia hạn tên miền</v>
      </c>
      <c r="F12" s="21" t="str">
        <f>'Tổng hợp 2015'!F277</f>
        <v>dienlanhthanhcong.com.vn</v>
      </c>
      <c r="G12" s="40" t="str">
        <f>'Tổng hợp 2015'!G277</f>
        <v>cty</v>
      </c>
      <c r="H12" s="23">
        <f>'Tổng hợp 2015'!H277</f>
        <v>350000</v>
      </c>
      <c r="I12" s="23">
        <f>'Tổng hợp 2015'!I277</f>
        <v>0</v>
      </c>
      <c r="J12" s="23">
        <f>'Tổng hợp 2015'!J277</f>
        <v>0</v>
      </c>
      <c r="K12" s="24">
        <f>'Tổng hợp 2015'!K277</f>
        <v>0</v>
      </c>
      <c r="L12" s="23">
        <f>'Tổng hợp 2015'!L277</f>
        <v>0</v>
      </c>
      <c r="M12" s="23">
        <f>'Tổng hợp 2015'!M277</f>
        <v>0</v>
      </c>
      <c r="N12" s="23">
        <f>'Tổng hợp 2015'!N277</f>
        <v>0</v>
      </c>
      <c r="O12" s="23">
        <f>'Tổng hợp 2015'!O277</f>
        <v>0</v>
      </c>
      <c r="P12" s="23">
        <f>'Tổng hợp 2015'!P277</f>
        <v>0</v>
      </c>
      <c r="Q12" s="23">
        <f>'Tổng hợp 2015'!Q277</f>
        <v>0</v>
      </c>
      <c r="R12" s="23">
        <f>'Tổng hợp 2015'!R277</f>
        <v>0</v>
      </c>
      <c r="S12" s="23">
        <f>'Tổng hợp 2015'!S277</f>
        <v>0</v>
      </c>
      <c r="T12" s="23">
        <f>'Tổng hợp 2015'!T277</f>
        <v>0</v>
      </c>
      <c r="U12" s="16">
        <f t="shared" si="2"/>
        <v>350000</v>
      </c>
      <c r="V12" s="23">
        <f>'Tổng hợp 2015'!V277</f>
        <v>350000</v>
      </c>
      <c r="W12" s="23">
        <f>'Tổng hợp 2015'!W277</f>
        <v>42224</v>
      </c>
      <c r="X12" s="23">
        <f>'Tổng hợp 2015'!X277</f>
        <v>0</v>
      </c>
      <c r="Y12" s="22">
        <f t="shared" si="1"/>
        <v>0</v>
      </c>
      <c r="Z12" s="82"/>
    </row>
    <row r="13" spans="1:27" s="124" customFormat="1" ht="31.2">
      <c r="A13" s="27" t="str">
        <f>'Tổng hợp 2015'!A278</f>
        <v>10.08.15/DCV-CDNLA</v>
      </c>
      <c r="B13" s="42">
        <f>'Tổng hợp 2015'!B278</f>
        <v>42226</v>
      </c>
      <c r="C13" s="200" t="str">
        <f>'Tổng hợp 2015'!C278</f>
        <v>TRƯỜNG CAO ĐẲNG NGHỀ LONG AN</v>
      </c>
      <c r="D13" s="52" t="str">
        <f>'Tổng hợp 2015'!D278</f>
        <v>Chị Châu 0918700977</v>
      </c>
      <c r="E13" s="40" t="str">
        <f>'Tổng hợp 2015'!E278</f>
        <v>Tên miền, hosting 3 năm</v>
      </c>
      <c r="F13" s="21" t="str">
        <f>'Tổng hợp 2015'!F278</f>
        <v>caodangnghelongan.edu.vn</v>
      </c>
      <c r="G13" s="40" t="str">
        <f>'Tổng hợp 2015'!G278</f>
        <v>Khánh</v>
      </c>
      <c r="H13" s="23">
        <f>'Tổng hợp 2015'!H278</f>
        <v>600000</v>
      </c>
      <c r="I13" s="23">
        <f>'Tổng hợp 2015'!I278</f>
        <v>0</v>
      </c>
      <c r="J13" s="23">
        <f>'Tổng hợp 2015'!J278</f>
        <v>4860000</v>
      </c>
      <c r="K13" s="24">
        <f>'Tổng hợp 2015'!K278</f>
        <v>0</v>
      </c>
      <c r="L13" s="23">
        <f>'Tổng hợp 2015'!L278</f>
        <v>0</v>
      </c>
      <c r="M13" s="23">
        <f>'Tổng hợp 2015'!M278</f>
        <v>0</v>
      </c>
      <c r="N13" s="23">
        <f>'Tổng hợp 2015'!N278</f>
        <v>0</v>
      </c>
      <c r="O13" s="23">
        <f>'Tổng hợp 2015'!O278</f>
        <v>0</v>
      </c>
      <c r="P13" s="23">
        <f>'Tổng hợp 2015'!P278</f>
        <v>0</v>
      </c>
      <c r="Q13" s="23">
        <f>'Tổng hợp 2015'!Q278</f>
        <v>0</v>
      </c>
      <c r="R13" s="23">
        <f>'Tổng hợp 2015'!R278</f>
        <v>0</v>
      </c>
      <c r="S13" s="23">
        <f>'Tổng hợp 2015'!S278</f>
        <v>0</v>
      </c>
      <c r="T13" s="23">
        <f>'Tổng hợp 2015'!T278</f>
        <v>486000</v>
      </c>
      <c r="U13" s="16">
        <f t="shared" si="2"/>
        <v>5946000</v>
      </c>
      <c r="V13" s="23">
        <f>'Tổng hợp 2015'!V278</f>
        <v>0</v>
      </c>
      <c r="W13" s="23">
        <f>'Tổng hợp 2015'!W278</f>
        <v>0</v>
      </c>
      <c r="X13" s="23" t="str">
        <f>'Tổng hợp 2015'!X278</f>
        <v>10/08/2015 Số 492, 493</v>
      </c>
      <c r="Y13" s="22">
        <f t="shared" si="1"/>
        <v>5946000</v>
      </c>
      <c r="Z13" s="18"/>
    </row>
    <row r="14" spans="1:27" s="124" customFormat="1" ht="15.6">
      <c r="A14" s="27">
        <f>'Tổng hợp 2015'!A279</f>
        <v>0</v>
      </c>
      <c r="B14" s="42">
        <f>'Tổng hợp 2015'!B279</f>
        <v>42226</v>
      </c>
      <c r="C14" s="200" t="str">
        <f>'Tổng hợp 2015'!C279</f>
        <v>THỊ THU</v>
      </c>
      <c r="D14" s="52">
        <f>'Tổng hợp 2015'!D279</f>
        <v>0</v>
      </c>
      <c r="E14" s="40" t="str">
        <f>'Tổng hợp 2015'!E279</f>
        <v>Hosting</v>
      </c>
      <c r="F14" s="21" t="str">
        <f>'Tổng hợp 2015'!F279</f>
        <v>thegioibaccaocap</v>
      </c>
      <c r="G14" s="40">
        <f>'Tổng hợp 2015'!G279</f>
        <v>0</v>
      </c>
      <c r="H14" s="23">
        <f>'Tổng hợp 2015'!H279</f>
        <v>0</v>
      </c>
      <c r="I14" s="23">
        <f>'Tổng hợp 2015'!I279</f>
        <v>0</v>
      </c>
      <c r="J14" s="23">
        <f>'Tổng hợp 2015'!J279</f>
        <v>400000</v>
      </c>
      <c r="K14" s="24">
        <f>'Tổng hợp 2015'!K279</f>
        <v>0</v>
      </c>
      <c r="L14" s="23">
        <f>'Tổng hợp 2015'!L279</f>
        <v>0</v>
      </c>
      <c r="M14" s="23">
        <f>'Tổng hợp 2015'!M279</f>
        <v>0</v>
      </c>
      <c r="N14" s="23">
        <f>'Tổng hợp 2015'!N279</f>
        <v>0</v>
      </c>
      <c r="O14" s="23">
        <f>'Tổng hợp 2015'!O279</f>
        <v>0</v>
      </c>
      <c r="P14" s="23">
        <f>'Tổng hợp 2015'!P279</f>
        <v>0</v>
      </c>
      <c r="Q14" s="23">
        <f>'Tổng hợp 2015'!Q279</f>
        <v>0</v>
      </c>
      <c r="R14" s="23">
        <f>'Tổng hợp 2015'!R279</f>
        <v>0</v>
      </c>
      <c r="S14" s="23">
        <f>'Tổng hợp 2015'!S279</f>
        <v>0</v>
      </c>
      <c r="T14" s="23">
        <f>'Tổng hợp 2015'!T279</f>
        <v>0</v>
      </c>
      <c r="U14" s="16">
        <f t="shared" ref="U14:U22" si="3">+SUM(H14:T14)</f>
        <v>400000</v>
      </c>
      <c r="V14" s="23">
        <f>'Tổng hợp 2015'!V279</f>
        <v>400000</v>
      </c>
      <c r="W14" s="23">
        <f>'Tổng hợp 2015'!W279</f>
        <v>42226</v>
      </c>
      <c r="X14" s="23">
        <f>'Tổng hợp 2015'!X279</f>
        <v>0</v>
      </c>
      <c r="Y14" s="22">
        <f t="shared" ref="Y14:Y22" si="4">U14-V14</f>
        <v>0</v>
      </c>
      <c r="Z14" s="18"/>
    </row>
    <row r="15" spans="1:27" s="124" customFormat="1" ht="31.2">
      <c r="A15" s="27">
        <f>'Tổng hợp 2015'!A280</f>
        <v>0</v>
      </c>
      <c r="B15" s="42">
        <f>'Tổng hợp 2015'!B280</f>
        <v>42227</v>
      </c>
      <c r="C15" s="200" t="str">
        <f>'Tổng hợp 2015'!C280</f>
        <v>THỊ THU</v>
      </c>
      <c r="D15" s="52">
        <f>'Tổng hợp 2015'!D280</f>
        <v>0</v>
      </c>
      <c r="E15" s="40" t="str">
        <f>'Tổng hợp 2015'!E280</f>
        <v>Tên miền</v>
      </c>
      <c r="F15" s="21" t="str">
        <f>'Tổng hợp 2015'!F280</f>
        <v>thegioibaccaocap.com, thanhlapcongtynhanhvn.com</v>
      </c>
      <c r="G15" s="40">
        <f>'Tổng hợp 2015'!G280</f>
        <v>0</v>
      </c>
      <c r="H15" s="23">
        <f>'Tổng hợp 2015'!H280</f>
        <v>500000</v>
      </c>
      <c r="I15" s="23">
        <f>'Tổng hợp 2015'!I280</f>
        <v>0</v>
      </c>
      <c r="J15" s="23">
        <f>'Tổng hợp 2015'!J280</f>
        <v>0</v>
      </c>
      <c r="K15" s="24">
        <f>'Tổng hợp 2015'!K280</f>
        <v>0</v>
      </c>
      <c r="L15" s="23">
        <f>'Tổng hợp 2015'!L280</f>
        <v>0</v>
      </c>
      <c r="M15" s="23">
        <f>'Tổng hợp 2015'!M280</f>
        <v>0</v>
      </c>
      <c r="N15" s="23">
        <f>'Tổng hợp 2015'!N280</f>
        <v>0</v>
      </c>
      <c r="O15" s="23">
        <f>'Tổng hợp 2015'!O280</f>
        <v>0</v>
      </c>
      <c r="P15" s="23">
        <f>'Tổng hợp 2015'!P280</f>
        <v>0</v>
      </c>
      <c r="Q15" s="23">
        <f>'Tổng hợp 2015'!Q280</f>
        <v>0</v>
      </c>
      <c r="R15" s="23">
        <f>'Tổng hợp 2015'!R280</f>
        <v>0</v>
      </c>
      <c r="S15" s="23">
        <f>'Tổng hợp 2015'!S280</f>
        <v>0</v>
      </c>
      <c r="T15" s="23">
        <f>'Tổng hợp 2015'!T280</f>
        <v>0</v>
      </c>
      <c r="U15" s="16">
        <f t="shared" si="3"/>
        <v>500000</v>
      </c>
      <c r="V15" s="23">
        <f>'Tổng hợp 2015'!V280</f>
        <v>500000</v>
      </c>
      <c r="W15" s="23">
        <f>'Tổng hợp 2015'!W280</f>
        <v>42227</v>
      </c>
      <c r="X15" s="23">
        <f>'Tổng hợp 2015'!X280</f>
        <v>0</v>
      </c>
      <c r="Y15" s="22">
        <f t="shared" si="4"/>
        <v>0</v>
      </c>
      <c r="Z15" s="18"/>
    </row>
    <row r="16" spans="1:27" s="124" customFormat="1" ht="31.2">
      <c r="A16" s="27" t="str">
        <f>'Tổng hợp 2015'!A281</f>
        <v>11.08.15/DCV-TBD</v>
      </c>
      <c r="B16" s="42">
        <f>'Tổng hợp 2015'!B281</f>
        <v>42227</v>
      </c>
      <c r="C16" s="200" t="str">
        <f>'Tổng hợp 2015'!C281</f>
        <v>CÔNG TY TNHH MTV TM DV VÀ TTNT THÁI BÌNH DƯƠNG</v>
      </c>
      <c r="D16" s="52">
        <f>'Tổng hợp 2015'!D281</f>
        <v>0</v>
      </c>
      <c r="E16" s="40" t="str">
        <f>'Tổng hợp 2015'!E281</f>
        <v>Thiết kế web, domain, hosting</v>
      </c>
      <c r="F16" s="21" t="str">
        <f>'Tổng hợp 2015'!F281</f>
        <v>noithatthaibinhduong.com</v>
      </c>
      <c r="G16" s="40" t="str">
        <f>'Tổng hợp 2015'!G281</f>
        <v>Khánh</v>
      </c>
      <c r="H16" s="23">
        <f>'Tổng hợp 2015'!H281</f>
        <v>250000</v>
      </c>
      <c r="I16" s="23">
        <f>'Tổng hợp 2015'!I281</f>
        <v>0</v>
      </c>
      <c r="J16" s="23">
        <f>'Tổng hợp 2015'!J281</f>
        <v>0</v>
      </c>
      <c r="K16" s="24">
        <f>'Tổng hợp 2015'!K281</f>
        <v>6750000</v>
      </c>
      <c r="L16" s="23">
        <f>'Tổng hợp 2015'!L281</f>
        <v>0</v>
      </c>
      <c r="M16" s="23">
        <f>'Tổng hợp 2015'!M281</f>
        <v>0</v>
      </c>
      <c r="N16" s="23">
        <f>'Tổng hợp 2015'!N281</f>
        <v>0</v>
      </c>
      <c r="O16" s="23">
        <f>'Tổng hợp 2015'!O281</f>
        <v>0</v>
      </c>
      <c r="P16" s="23">
        <f>'Tổng hợp 2015'!P281</f>
        <v>0</v>
      </c>
      <c r="Q16" s="23">
        <f>'Tổng hợp 2015'!Q281</f>
        <v>0</v>
      </c>
      <c r="R16" s="23">
        <f>'Tổng hợp 2015'!R281</f>
        <v>0</v>
      </c>
      <c r="S16" s="23">
        <f>'Tổng hợp 2015'!S281</f>
        <v>0</v>
      </c>
      <c r="T16" s="23">
        <f>'Tổng hợp 2015'!T281</f>
        <v>0</v>
      </c>
      <c r="U16" s="16">
        <f t="shared" si="3"/>
        <v>7000000</v>
      </c>
      <c r="V16" s="23">
        <f>'Tổng hợp 2015'!V281</f>
        <v>3500000</v>
      </c>
      <c r="W16" s="23">
        <f>'Tổng hợp 2015'!W281</f>
        <v>42233</v>
      </c>
      <c r="X16" s="23">
        <f>'Tổng hợp 2015'!X281</f>
        <v>0</v>
      </c>
      <c r="Y16" s="22">
        <f t="shared" si="4"/>
        <v>3500000</v>
      </c>
      <c r="Z16" s="18"/>
    </row>
    <row r="17" spans="1:27" s="124" customFormat="1" ht="31.2">
      <c r="A17" s="27" t="str">
        <f>'Tổng hợp 2015'!A282</f>
        <v>12.08.15/DCV-KUMO</v>
      </c>
      <c r="B17" s="42">
        <f>'Tổng hợp 2015'!B282</f>
        <v>42228</v>
      </c>
      <c r="C17" s="200" t="str">
        <f>'Tổng hợp 2015'!C282</f>
        <v>CÔNG TY TNHH KUMO ViỆT NAM</v>
      </c>
      <c r="D17" s="52">
        <f>'Tổng hợp 2015'!D282</f>
        <v>0</v>
      </c>
      <c r="E17" s="40" t="str">
        <f>'Tổng hợp 2015'!E282</f>
        <v>Gia hạn tên miền, hosting</v>
      </c>
      <c r="F17" s="21" t="str">
        <f>'Tổng hợp 2015'!F282</f>
        <v>kumovina.com</v>
      </c>
      <c r="G17" s="40" t="str">
        <f>'Tổng hợp 2015'!G282</f>
        <v>Khánh</v>
      </c>
      <c r="H17" s="23">
        <f>'Tổng hợp 2015'!H282</f>
        <v>750000</v>
      </c>
      <c r="I17" s="23">
        <f>'Tổng hợp 2015'!I282</f>
        <v>0</v>
      </c>
      <c r="J17" s="23">
        <f>'Tổng hợp 2015'!J282</f>
        <v>4374000</v>
      </c>
      <c r="K17" s="24">
        <f>'Tổng hợp 2015'!K282</f>
        <v>0</v>
      </c>
      <c r="L17" s="23">
        <f>'Tổng hợp 2015'!L282</f>
        <v>0</v>
      </c>
      <c r="M17" s="23">
        <f>'Tổng hợp 2015'!M282</f>
        <v>0</v>
      </c>
      <c r="N17" s="23">
        <f>'Tổng hợp 2015'!N282</f>
        <v>0</v>
      </c>
      <c r="O17" s="23">
        <f>'Tổng hợp 2015'!O282</f>
        <v>0</v>
      </c>
      <c r="P17" s="23">
        <f>'Tổng hợp 2015'!P282</f>
        <v>0</v>
      </c>
      <c r="Q17" s="23">
        <f>'Tổng hợp 2015'!Q282</f>
        <v>0</v>
      </c>
      <c r="R17" s="23">
        <f>'Tổng hợp 2015'!R282</f>
        <v>0</v>
      </c>
      <c r="S17" s="23">
        <f>'Tổng hợp 2015'!S282</f>
        <v>0</v>
      </c>
      <c r="T17" s="23">
        <f>'Tổng hợp 2015'!T282</f>
        <v>512400</v>
      </c>
      <c r="U17" s="16">
        <f t="shared" si="3"/>
        <v>5636400</v>
      </c>
      <c r="V17" s="23">
        <f>'Tổng hợp 2015'!V282</f>
        <v>5636400</v>
      </c>
      <c r="W17" s="23">
        <f>'Tổng hợp 2015'!W282</f>
        <v>42230</v>
      </c>
      <c r="X17" s="23" t="str">
        <f>'Tổng hợp 2015'!X282</f>
        <v>12/08/2015 Số 494</v>
      </c>
      <c r="Y17" s="22">
        <f t="shared" si="4"/>
        <v>0</v>
      </c>
      <c r="Z17" s="18"/>
    </row>
    <row r="18" spans="1:27" s="124" customFormat="1" ht="31.2">
      <c r="A18" s="23" t="str">
        <f>'Tổng hợp 2015'!A283</f>
        <v>13.08.15/DCV-THP</v>
      </c>
      <c r="B18" s="42">
        <f>'Tổng hợp 2015'!B283</f>
        <v>42229</v>
      </c>
      <c r="C18" s="200" t="str">
        <f>'Tổng hợp 2015'!C283</f>
        <v>CÔNG TY CP TM XNK THIÊN HÙNG PHÚC</v>
      </c>
      <c r="D18" s="52" t="str">
        <f>'Tổng hợp 2015'!D283</f>
        <v>Mai Huyền Trang 0988696868</v>
      </c>
      <c r="E18" s="40" t="str">
        <f>'Tổng hợp 2015'!E283</f>
        <v>Thiết kế web, domain, hosting</v>
      </c>
      <c r="F18" s="21" t="str">
        <f>'Tổng hợp 2015'!F283</f>
        <v>thienhungphuc.com</v>
      </c>
      <c r="G18" s="40" t="str">
        <f>'Tổng hợp 2015'!G283</f>
        <v>Quyên</v>
      </c>
      <c r="H18" s="23">
        <f>'Tổng hợp 2015'!H283</f>
        <v>250000</v>
      </c>
      <c r="I18" s="23">
        <f>'Tổng hợp 2015'!I283</f>
        <v>0</v>
      </c>
      <c r="J18" s="23">
        <f>'Tổng hợp 2015'!J283</f>
        <v>1620000</v>
      </c>
      <c r="K18" s="24">
        <f>'Tổng hợp 2015'!K283</f>
        <v>0</v>
      </c>
      <c r="L18" s="23">
        <f>'Tổng hợp 2015'!L283</f>
        <v>0</v>
      </c>
      <c r="M18" s="23">
        <f>'Tổng hợp 2015'!M283</f>
        <v>0</v>
      </c>
      <c r="N18" s="23">
        <f>'Tổng hợp 2015'!N283</f>
        <v>0</v>
      </c>
      <c r="O18" s="23">
        <f>'Tổng hợp 2015'!O283</f>
        <v>0</v>
      </c>
      <c r="P18" s="23">
        <f>'Tổng hợp 2015'!P283</f>
        <v>0</v>
      </c>
      <c r="Q18" s="23">
        <f>'Tổng hợp 2015'!Q283</f>
        <v>0</v>
      </c>
      <c r="R18" s="23">
        <f>'Tổng hợp 2015'!R283</f>
        <v>0</v>
      </c>
      <c r="S18" s="23">
        <f>'Tổng hợp 2015'!S283</f>
        <v>0</v>
      </c>
      <c r="T18" s="23">
        <f>'Tổng hợp 2015'!T283</f>
        <v>0</v>
      </c>
      <c r="U18" s="16">
        <f t="shared" si="3"/>
        <v>1870000</v>
      </c>
      <c r="V18" s="23">
        <f>'Tổng hợp 2015'!V283</f>
        <v>1870000</v>
      </c>
      <c r="W18" s="23">
        <f>'Tổng hợp 2015'!W283</f>
        <v>42233</v>
      </c>
      <c r="X18" s="23">
        <f>'Tổng hợp 2015'!X283</f>
        <v>0</v>
      </c>
      <c r="Y18" s="22">
        <f t="shared" si="4"/>
        <v>0</v>
      </c>
      <c r="Z18" s="18"/>
    </row>
    <row r="19" spans="1:27" s="124" customFormat="1" ht="46.8">
      <c r="A19" s="23" t="str">
        <f>'Tổng hợp 2015'!A284</f>
        <v>13.08.15/DCV-HN</v>
      </c>
      <c r="B19" s="42">
        <f>'Tổng hợp 2015'!B284</f>
        <v>42229</v>
      </c>
      <c r="C19" s="200" t="str">
        <f>'Tổng hợp 2015'!C284</f>
        <v>CÔNG TY TNHH MÔI TRƯỜNG HỒNG NHẬT</v>
      </c>
      <c r="D19" s="52" t="str">
        <f>'Tổng hợp 2015'!D284</f>
        <v>Nguyễn Thị Ngọc Phượng 0838687948</v>
      </c>
      <c r="E19" s="40" t="str">
        <f>'Tổng hợp 2015'!E284</f>
        <v>Thiết kế web, domain, hosting</v>
      </c>
      <c r="F19" s="21" t="str">
        <f>'Tổng hợp 2015'!F284</f>
        <v>hongnhat-environment.com.vn</v>
      </c>
      <c r="G19" s="40" t="str">
        <f>'Tổng hợp 2015'!G284</f>
        <v>Tuyền</v>
      </c>
      <c r="H19" s="23">
        <f>'Tổng hợp 2015'!H284</f>
        <v>700000</v>
      </c>
      <c r="I19" s="23">
        <f>'Tổng hợp 2015'!I284</f>
        <v>0</v>
      </c>
      <c r="J19" s="23">
        <f>'Tổng hợp 2015'!J284</f>
        <v>1440000</v>
      </c>
      <c r="K19" s="24">
        <f>'Tổng hợp 2015'!K284</f>
        <v>0</v>
      </c>
      <c r="L19" s="23">
        <f>'Tổng hợp 2015'!L284</f>
        <v>0</v>
      </c>
      <c r="M19" s="23">
        <f>'Tổng hợp 2015'!M284</f>
        <v>0</v>
      </c>
      <c r="N19" s="23">
        <f>'Tổng hợp 2015'!N284</f>
        <v>0</v>
      </c>
      <c r="O19" s="23">
        <f>'Tổng hợp 2015'!O284</f>
        <v>0</v>
      </c>
      <c r="P19" s="23">
        <f>'Tổng hợp 2015'!P284</f>
        <v>0</v>
      </c>
      <c r="Q19" s="23">
        <f>'Tổng hợp 2015'!Q284</f>
        <v>0</v>
      </c>
      <c r="R19" s="23">
        <f>'Tổng hợp 2015'!R284</f>
        <v>0</v>
      </c>
      <c r="S19" s="23">
        <f>'Tổng hợp 2015'!S284</f>
        <v>0</v>
      </c>
      <c r="T19" s="23">
        <f>'Tổng hợp 2015'!T284</f>
        <v>144000</v>
      </c>
      <c r="U19" s="16">
        <f t="shared" si="3"/>
        <v>2284000</v>
      </c>
      <c r="V19" s="23">
        <f>'Tổng hợp 2015'!V284</f>
        <v>2284000</v>
      </c>
      <c r="W19" s="23">
        <f>'Tổng hợp 2015'!W284</f>
        <v>42237</v>
      </c>
      <c r="X19" s="23" t="str">
        <f>'Tổng hợp 2015'!X284</f>
        <v>14/08/2015 Số 497, 500</v>
      </c>
      <c r="Y19" s="22">
        <f t="shared" si="4"/>
        <v>0</v>
      </c>
      <c r="Z19" s="18"/>
    </row>
    <row r="20" spans="1:27" s="124" customFormat="1" ht="46.8">
      <c r="A20" s="23" t="str">
        <f>'Tổng hợp 2015'!A285</f>
        <v>14.08.15/DCV-PLT</v>
      </c>
      <c r="B20" s="42">
        <f>'Tổng hợp 2015'!B285</f>
        <v>42230</v>
      </c>
      <c r="C20" s="200" t="str">
        <f>'Tổng hợp 2015'!C285</f>
        <v>CÔNG TY TNHH MTV PHÚC LÂM TRẦN</v>
      </c>
      <c r="D20" s="52" t="str">
        <f>'Tổng hợp 2015'!D285</f>
        <v>Võ Phạm Hoàng Quyên 0935822411</v>
      </c>
      <c r="E20" s="40" t="str">
        <f>'Tổng hợp 2015'!E285</f>
        <v>Thiết kế web, domain, hosting</v>
      </c>
      <c r="F20" s="21">
        <f>'Tổng hợp 2015'!F285</f>
        <v>0</v>
      </c>
      <c r="G20" s="40" t="str">
        <f>'Tổng hợp 2015'!G285</f>
        <v>Đạo-THV</v>
      </c>
      <c r="H20" s="23">
        <f>'Tổng hợp 2015'!H285</f>
        <v>250000</v>
      </c>
      <c r="I20" s="23">
        <f>'Tổng hợp 2015'!I285</f>
        <v>0</v>
      </c>
      <c r="J20" s="23">
        <f>'Tổng hợp 2015'!J285</f>
        <v>1620000</v>
      </c>
      <c r="K20" s="24">
        <f>'Tổng hợp 2015'!K285</f>
        <v>2130000</v>
      </c>
      <c r="L20" s="23">
        <f>'Tổng hợp 2015'!L285</f>
        <v>0</v>
      </c>
      <c r="M20" s="23">
        <f>'Tổng hợp 2015'!M285</f>
        <v>0</v>
      </c>
      <c r="N20" s="23">
        <f>'Tổng hợp 2015'!N285</f>
        <v>0</v>
      </c>
      <c r="O20" s="23">
        <f>'Tổng hợp 2015'!O285</f>
        <v>0</v>
      </c>
      <c r="P20" s="23">
        <f>'Tổng hợp 2015'!P285</f>
        <v>0</v>
      </c>
      <c r="Q20" s="23">
        <f>'Tổng hợp 2015'!Q285</f>
        <v>0</v>
      </c>
      <c r="R20" s="23">
        <f>'Tổng hợp 2015'!R285</f>
        <v>0</v>
      </c>
      <c r="S20" s="23">
        <f>'Tổng hợp 2015'!S285</f>
        <v>0</v>
      </c>
      <c r="T20" s="23">
        <f>'Tổng hợp 2015'!T285</f>
        <v>0</v>
      </c>
      <c r="U20" s="16">
        <f t="shared" si="3"/>
        <v>4000000</v>
      </c>
      <c r="V20" s="23">
        <f>'Tổng hợp 2015'!V285</f>
        <v>0</v>
      </c>
      <c r="W20" s="23">
        <f>'Tổng hợp 2015'!W285</f>
        <v>0</v>
      </c>
      <c r="X20" s="23">
        <f>'Tổng hợp 2015'!X285</f>
        <v>0</v>
      </c>
      <c r="Y20" s="22">
        <f t="shared" si="4"/>
        <v>4000000</v>
      </c>
      <c r="Z20" s="82"/>
    </row>
    <row r="21" spans="1:27" s="124" customFormat="1" ht="31.2">
      <c r="A21" s="27" t="str">
        <f>'Tổng hợp 2015'!A286</f>
        <v>15.08.15/DCV-TT</v>
      </c>
      <c r="B21" s="42">
        <f>'Tổng hợp 2015'!B286</f>
        <v>42231</v>
      </c>
      <c r="C21" s="200" t="str">
        <f>'Tổng hợp 2015'!C286</f>
        <v>DNTN THƯƠNG MẠI THIÊN THANH</v>
      </c>
      <c r="D21" s="52" t="str">
        <f>'Tổng hợp 2015'!D286</f>
        <v>Nguyễn Thị Thu Hà 058836036</v>
      </c>
      <c r="E21" s="40" t="str">
        <f>'Tổng hợp 2015'!E286</f>
        <v>Gia hạn tên miền, hosting</v>
      </c>
      <c r="F21" s="21" t="str">
        <f>'Tổng hợp 2015'!F286</f>
        <v>thienthanhnt.com.vn</v>
      </c>
      <c r="G21" s="40" t="str">
        <f>'Tổng hợp 2015'!G286</f>
        <v>Đạo-THV</v>
      </c>
      <c r="H21" s="23">
        <f>'Tổng hợp 2015'!H286</f>
        <v>350000</v>
      </c>
      <c r="I21" s="23">
        <f>'Tổng hợp 2015'!I286</f>
        <v>0</v>
      </c>
      <c r="J21" s="23">
        <f>'Tổng hợp 2015'!J286</f>
        <v>1080000</v>
      </c>
      <c r="K21" s="24">
        <f>'Tổng hợp 2015'!K286</f>
        <v>0</v>
      </c>
      <c r="L21" s="23">
        <f>'Tổng hợp 2015'!L286</f>
        <v>0</v>
      </c>
      <c r="M21" s="23">
        <f>'Tổng hợp 2015'!M286</f>
        <v>0</v>
      </c>
      <c r="N21" s="23">
        <f>'Tổng hợp 2015'!N286</f>
        <v>0</v>
      </c>
      <c r="O21" s="23">
        <f>'Tổng hợp 2015'!O286</f>
        <v>0</v>
      </c>
      <c r="P21" s="23">
        <f>'Tổng hợp 2015'!P286</f>
        <v>0</v>
      </c>
      <c r="Q21" s="23">
        <f>'Tổng hợp 2015'!Q286</f>
        <v>0</v>
      </c>
      <c r="R21" s="23">
        <f>'Tổng hợp 2015'!R286</f>
        <v>0</v>
      </c>
      <c r="S21" s="23">
        <f>'Tổng hợp 2015'!S286</f>
        <v>0</v>
      </c>
      <c r="T21" s="23">
        <f>'Tổng hợp 2015'!T286</f>
        <v>108000</v>
      </c>
      <c r="U21" s="16">
        <f t="shared" si="3"/>
        <v>1538000</v>
      </c>
      <c r="V21" s="23">
        <f>'Tổng hợp 2015'!V286</f>
        <v>0</v>
      </c>
      <c r="W21" s="23">
        <f>'Tổng hợp 2015'!W286</f>
        <v>0</v>
      </c>
      <c r="X21" s="23" t="str">
        <f>'Tổng hợp 2015'!X286</f>
        <v>14/08/2015 Số 498, 499</v>
      </c>
      <c r="Y21" s="22">
        <f t="shared" si="4"/>
        <v>1538000</v>
      </c>
      <c r="Z21" s="18"/>
    </row>
    <row r="22" spans="1:27" s="124" customFormat="1" ht="31.2">
      <c r="A22" s="23" t="str">
        <f>'Tổng hợp 2015'!A287</f>
        <v>18.08.15/DCV-TV</v>
      </c>
      <c r="B22" s="42">
        <f>'Tổng hợp 2015'!B287</f>
        <v>42233</v>
      </c>
      <c r="C22" s="200" t="str">
        <f>'Tổng hợp 2015'!C287</f>
        <v>HÀ TRUNG VĨ</v>
      </c>
      <c r="D22" s="52">
        <f>'Tổng hợp 2015'!D332</f>
        <v>0</v>
      </c>
      <c r="E22" s="40" t="str">
        <f>'Tổng hợp 2015'!E287</f>
        <v>Thiết kế web, hosting</v>
      </c>
      <c r="F22" s="21">
        <f>'Tổng hợp 2015'!F287</f>
        <v>0</v>
      </c>
      <c r="G22" s="40" t="str">
        <f>'Tổng hợp 2015'!G287</f>
        <v>Tuyền</v>
      </c>
      <c r="H22" s="23">
        <f>'Tổng hợp 2015'!H287</f>
        <v>0</v>
      </c>
      <c r="I22" s="23">
        <f>'Tổng hợp 2015'!I287</f>
        <v>0</v>
      </c>
      <c r="J22" s="23">
        <f>'Tổng hợp 2015'!J287</f>
        <v>0</v>
      </c>
      <c r="K22" s="24">
        <f>'Tổng hợp 2015'!K287</f>
        <v>7000000</v>
      </c>
      <c r="L22" s="23">
        <f>'Tổng hợp 2015'!L287</f>
        <v>0</v>
      </c>
      <c r="M22" s="23">
        <f>'Tổng hợp 2015'!M287</f>
        <v>0</v>
      </c>
      <c r="N22" s="23">
        <f>'Tổng hợp 2015'!N287</f>
        <v>0</v>
      </c>
      <c r="O22" s="23">
        <f>'Tổng hợp 2015'!O287</f>
        <v>0</v>
      </c>
      <c r="P22" s="23">
        <f>'Tổng hợp 2015'!P287</f>
        <v>0</v>
      </c>
      <c r="Q22" s="23">
        <f>'Tổng hợp 2015'!Q287</f>
        <v>0</v>
      </c>
      <c r="R22" s="23">
        <f>'Tổng hợp 2015'!R287</f>
        <v>0</v>
      </c>
      <c r="S22" s="23">
        <f>'Tổng hợp 2015'!S287</f>
        <v>0</v>
      </c>
      <c r="T22" s="23">
        <f>'Tổng hợp 2015'!T287</f>
        <v>0</v>
      </c>
      <c r="U22" s="16">
        <f t="shared" si="3"/>
        <v>7000000</v>
      </c>
      <c r="V22" s="23">
        <f>'Tổng hợp 2015'!V287</f>
        <v>3500000</v>
      </c>
      <c r="W22" s="23">
        <f>'Tổng hợp 2015'!W287</f>
        <v>42233</v>
      </c>
      <c r="X22" s="23">
        <f>'Tổng hợp 2015'!X287</f>
        <v>0</v>
      </c>
      <c r="Y22" s="22">
        <f t="shared" si="4"/>
        <v>3500000</v>
      </c>
      <c r="Z22" s="18"/>
    </row>
    <row r="23" spans="1:27" s="124" customFormat="1" ht="27.6">
      <c r="A23" s="27">
        <f>'Tổng hợp 2015'!A288</f>
        <v>0</v>
      </c>
      <c r="B23" s="42">
        <f>'Tổng hợp 2015'!B288</f>
        <v>42234</v>
      </c>
      <c r="C23" s="200" t="str">
        <f>'Tổng hợp 2015'!C288</f>
        <v>CTY TNHH TIN HỌC NGUYỄN ĐĂNG</v>
      </c>
      <c r="D23" s="52">
        <f>'Tổng hợp 2015'!D333</f>
        <v>0</v>
      </c>
      <c r="E23" s="40"/>
      <c r="F23" s="21" t="str">
        <f>'Tổng hợp 2015'!F288</f>
        <v>sieuthinguyendang.com</v>
      </c>
      <c r="G23" s="40" t="str">
        <f>'Tổng hợp 2015'!G288</f>
        <v>Oanh</v>
      </c>
      <c r="H23" s="23">
        <f>'Tổng hợp 2015'!H288</f>
        <v>0</v>
      </c>
      <c r="I23" s="123"/>
      <c r="J23" s="23"/>
      <c r="K23" s="24"/>
      <c r="L23" s="123"/>
      <c r="M23" s="123"/>
      <c r="N23" s="27"/>
      <c r="O23" s="27"/>
      <c r="P23" s="27"/>
      <c r="Q23" s="27"/>
      <c r="R23" s="27"/>
      <c r="S23" s="27"/>
      <c r="T23" s="24"/>
      <c r="U23" s="16">
        <f t="shared" si="2"/>
        <v>0</v>
      </c>
      <c r="V23" s="23">
        <f>'Tổng hợp 2015'!V333</f>
        <v>0</v>
      </c>
      <c r="W23" s="23">
        <f>'Tổng hợp 2015'!W333</f>
        <v>0</v>
      </c>
      <c r="X23" s="23">
        <f>'Tổng hợp 2015'!X333</f>
        <v>0</v>
      </c>
      <c r="Y23" s="22">
        <f t="shared" si="1"/>
        <v>0</v>
      </c>
      <c r="Z23" s="82"/>
    </row>
    <row r="24" spans="1:27" s="124" customFormat="1" ht="15.6">
      <c r="A24" s="27">
        <f>'Tổng hợp 2015'!A325</f>
        <v>0</v>
      </c>
      <c r="B24" s="42">
        <f>'Tổng hợp 2015'!B325</f>
        <v>0</v>
      </c>
      <c r="C24" s="200">
        <f>'Tổng hợp 2015'!C325</f>
        <v>0</v>
      </c>
      <c r="D24" s="52">
        <f>'Tổng hợp 2015'!D334</f>
        <v>0</v>
      </c>
      <c r="E24" s="40"/>
      <c r="F24" s="21">
        <f>'Tổng hợp 2015'!F325</f>
        <v>0</v>
      </c>
      <c r="G24" s="40">
        <f>'Tổng hợp 2015'!G325</f>
        <v>0</v>
      </c>
      <c r="H24" s="23">
        <f>'Tổng hợp 2015'!H325</f>
        <v>0</v>
      </c>
      <c r="I24" s="123"/>
      <c r="J24" s="23"/>
      <c r="K24" s="24"/>
      <c r="L24" s="123"/>
      <c r="M24" s="123"/>
      <c r="N24" s="27"/>
      <c r="O24" s="27"/>
      <c r="P24" s="27"/>
      <c r="Q24" s="27"/>
      <c r="R24" s="27"/>
      <c r="S24" s="27"/>
      <c r="T24" s="24"/>
      <c r="U24" s="16">
        <f t="shared" si="2"/>
        <v>0</v>
      </c>
      <c r="V24" s="23">
        <f>'Tổng hợp 2015'!V334</f>
        <v>0</v>
      </c>
      <c r="W24" s="23">
        <f>'Tổng hợp 2015'!W334</f>
        <v>0</v>
      </c>
      <c r="X24" s="23">
        <f>'Tổng hợp 2015'!X334</f>
        <v>0</v>
      </c>
      <c r="Y24" s="22">
        <f t="shared" si="1"/>
        <v>0</v>
      </c>
      <c r="Z24" s="82"/>
    </row>
    <row r="25" spans="1:27" s="63" customFormat="1" ht="15.6">
      <c r="A25" s="27">
        <f>'Tổng hợp 2015'!A326</f>
        <v>0</v>
      </c>
      <c r="B25" s="42">
        <f>'Tổng hợp 2015'!B326</f>
        <v>0</v>
      </c>
      <c r="C25" s="200"/>
      <c r="D25" s="52">
        <f>'Tổng hợp 2015'!D335</f>
        <v>0</v>
      </c>
      <c r="E25" s="40"/>
      <c r="F25" s="21">
        <f>'Tổng hợp 2015'!F326</f>
        <v>0</v>
      </c>
      <c r="G25" s="40">
        <f>'Tổng hợp 2015'!G326</f>
        <v>0</v>
      </c>
      <c r="H25" s="23">
        <f>'Tổng hợp 2015'!H326</f>
        <v>0</v>
      </c>
      <c r="I25" s="121"/>
      <c r="J25" s="23"/>
      <c r="K25" s="24"/>
      <c r="L25" s="121"/>
      <c r="M25" s="121"/>
      <c r="N25" s="121"/>
      <c r="O25" s="121"/>
      <c r="P25" s="24"/>
      <c r="Q25" s="24"/>
      <c r="R25" s="121"/>
      <c r="S25" s="121"/>
      <c r="T25" s="24"/>
      <c r="U25" s="16">
        <f t="shared" si="2"/>
        <v>0</v>
      </c>
      <c r="V25" s="23">
        <f>'Tổng hợp 2015'!V335</f>
        <v>0</v>
      </c>
      <c r="W25" s="122"/>
      <c r="X25" s="17"/>
      <c r="Y25" s="22">
        <f t="shared" si="1"/>
        <v>0</v>
      </c>
      <c r="Z25" s="33"/>
      <c r="AA25" s="158"/>
    </row>
    <row r="26" spans="1:27" s="63" customFormat="1" ht="15.6">
      <c r="A26" s="27">
        <f>'Tổng hợp 2015'!A327</f>
        <v>0</v>
      </c>
      <c r="B26" s="42">
        <f>'Tổng hợp 2015'!B327</f>
        <v>0</v>
      </c>
      <c r="C26" s="200"/>
      <c r="D26" s="52"/>
      <c r="E26" s="40"/>
      <c r="F26" s="184"/>
      <c r="G26" s="40">
        <f>'Tổng hợp 2015'!G327</f>
        <v>0</v>
      </c>
      <c r="H26" s="23">
        <f>'Tổng hợp 2015'!H327</f>
        <v>0</v>
      </c>
      <c r="I26" s="121"/>
      <c r="J26" s="23"/>
      <c r="K26" s="24"/>
      <c r="L26" s="121"/>
      <c r="M26" s="121"/>
      <c r="N26" s="121"/>
      <c r="O26" s="121"/>
      <c r="P26" s="24"/>
      <c r="Q26" s="24"/>
      <c r="R26" s="121"/>
      <c r="S26" s="121"/>
      <c r="T26" s="24"/>
      <c r="U26" s="16">
        <f t="shared" si="2"/>
        <v>0</v>
      </c>
      <c r="V26" s="23">
        <f>'Tổng hợp 2015'!V336</f>
        <v>0</v>
      </c>
      <c r="W26" s="122"/>
      <c r="X26" s="17"/>
      <c r="Y26" s="22">
        <f t="shared" si="1"/>
        <v>0</v>
      </c>
      <c r="Z26" s="33"/>
      <c r="AA26" s="158"/>
    </row>
    <row r="27" spans="1:27" s="63" customFormat="1" ht="15.6">
      <c r="A27" s="27">
        <f>'Tổng hợp 2015'!A328</f>
        <v>0</v>
      </c>
      <c r="B27" s="42"/>
      <c r="C27" s="200"/>
      <c r="D27" s="52"/>
      <c r="E27" s="40"/>
      <c r="F27" s="21"/>
      <c r="G27" s="40">
        <f>'Tổng hợp 2015'!G328</f>
        <v>0</v>
      </c>
      <c r="H27" s="23">
        <f>'Tổng hợp 2015'!H328</f>
        <v>0</v>
      </c>
      <c r="I27" s="121"/>
      <c r="J27" s="23"/>
      <c r="K27" s="24"/>
      <c r="L27" s="121"/>
      <c r="M27" s="121"/>
      <c r="N27" s="121"/>
      <c r="O27" s="121"/>
      <c r="P27" s="24"/>
      <c r="Q27" s="24"/>
      <c r="R27" s="121"/>
      <c r="S27" s="121"/>
      <c r="T27" s="24"/>
      <c r="U27" s="16">
        <f t="shared" si="2"/>
        <v>0</v>
      </c>
      <c r="V27" s="23">
        <f>'Tổng hợp 2015'!V337</f>
        <v>0</v>
      </c>
      <c r="W27" s="122"/>
      <c r="X27" s="17"/>
      <c r="Y27" s="22">
        <f t="shared" si="1"/>
        <v>0</v>
      </c>
      <c r="Z27" s="33"/>
      <c r="AA27" s="158"/>
    </row>
    <row r="28" spans="1:27" s="63" customFormat="1" ht="15.6">
      <c r="A28" s="27">
        <f>'Tổng hợp 2015'!A329</f>
        <v>0</v>
      </c>
      <c r="B28" s="42"/>
      <c r="C28" s="200"/>
      <c r="D28" s="52"/>
      <c r="E28" s="40"/>
      <c r="F28" s="21"/>
      <c r="G28" s="40">
        <f>'Tổng hợp 2015'!G329</f>
        <v>0</v>
      </c>
      <c r="H28" s="23">
        <f>'Tổng hợp 2015'!H329</f>
        <v>0</v>
      </c>
      <c r="I28" s="121"/>
      <c r="J28" s="23"/>
      <c r="K28" s="24"/>
      <c r="L28" s="121"/>
      <c r="M28" s="121"/>
      <c r="N28" s="121"/>
      <c r="O28" s="121"/>
      <c r="P28" s="24"/>
      <c r="Q28" s="24"/>
      <c r="R28" s="121"/>
      <c r="S28" s="121"/>
      <c r="T28" s="24"/>
      <c r="U28" s="16">
        <f t="shared" si="2"/>
        <v>0</v>
      </c>
      <c r="V28" s="23">
        <f>'Tổng hợp 2015'!V338</f>
        <v>0</v>
      </c>
      <c r="W28" s="122"/>
      <c r="X28" s="17"/>
      <c r="Y28" s="22">
        <f t="shared" si="1"/>
        <v>0</v>
      </c>
      <c r="Z28" s="33"/>
      <c r="AA28" s="158"/>
    </row>
    <row r="29" spans="1:27" s="63" customFormat="1" ht="17.25" customHeight="1">
      <c r="A29" s="27">
        <f>'Tổng hợp 2015'!A330</f>
        <v>0</v>
      </c>
      <c r="B29" s="42"/>
      <c r="C29" s="200"/>
      <c r="D29" s="22"/>
      <c r="E29" s="40"/>
      <c r="F29" s="21"/>
      <c r="G29" s="40">
        <f>'Tổng hợp 2015'!G330</f>
        <v>0</v>
      </c>
      <c r="H29" s="23">
        <f>'Tổng hợp 2015'!H330</f>
        <v>0</v>
      </c>
      <c r="I29" s="121"/>
      <c r="J29" s="23"/>
      <c r="K29" s="24"/>
      <c r="L29" s="121"/>
      <c r="M29" s="121"/>
      <c r="N29" s="121"/>
      <c r="O29" s="121"/>
      <c r="P29" s="24"/>
      <c r="Q29" s="24"/>
      <c r="R29" s="121"/>
      <c r="S29" s="121"/>
      <c r="T29" s="24"/>
      <c r="U29" s="16">
        <f t="shared" si="2"/>
        <v>0</v>
      </c>
      <c r="V29" s="23">
        <f>'Tổng hợp 2015'!V339</f>
        <v>0</v>
      </c>
      <c r="W29" s="122"/>
      <c r="X29" s="17"/>
      <c r="Y29" s="22">
        <f t="shared" si="1"/>
        <v>0</v>
      </c>
      <c r="Z29" s="33"/>
      <c r="AA29" s="158"/>
    </row>
    <row r="30" spans="1:27" s="63" customFormat="1" ht="15.6">
      <c r="A30" s="27">
        <f>'Tổng hợp 2015'!A331</f>
        <v>0</v>
      </c>
      <c r="B30" s="42"/>
      <c r="C30" s="200"/>
      <c r="D30" s="174"/>
      <c r="E30" s="40"/>
      <c r="F30" s="21"/>
      <c r="G30" s="40">
        <f>'Tổng hợp 2015'!G331</f>
        <v>0</v>
      </c>
      <c r="H30" s="23">
        <f>'Tổng hợp 2015'!H331</f>
        <v>0</v>
      </c>
      <c r="I30" s="121"/>
      <c r="J30" s="23"/>
      <c r="K30" s="24"/>
      <c r="L30" s="121"/>
      <c r="M30" s="121"/>
      <c r="N30" s="121"/>
      <c r="O30" s="121"/>
      <c r="P30" s="24"/>
      <c r="Q30" s="24"/>
      <c r="R30" s="121"/>
      <c r="S30" s="121"/>
      <c r="T30" s="24"/>
      <c r="U30" s="16">
        <f t="shared" si="2"/>
        <v>0</v>
      </c>
      <c r="V30" s="23">
        <f>'Tổng hợp 2015'!V340</f>
        <v>0</v>
      </c>
      <c r="W30" s="122"/>
      <c r="X30" s="17"/>
      <c r="Y30" s="22">
        <f t="shared" si="1"/>
        <v>0</v>
      </c>
      <c r="Z30" s="33"/>
      <c r="AA30" s="158"/>
    </row>
    <row r="31" spans="1:27" s="63" customFormat="1" ht="15.6">
      <c r="A31" s="27">
        <f>'Tổng hợp 2015'!A341</f>
        <v>0</v>
      </c>
      <c r="B31" s="42"/>
      <c r="C31" s="200"/>
      <c r="D31" s="20"/>
      <c r="E31" s="40"/>
      <c r="F31" s="21"/>
      <c r="G31" s="40">
        <f>'Tổng hợp 2015'!G332</f>
        <v>0</v>
      </c>
      <c r="H31" s="23">
        <f>'Tổng hợp 2015'!H332</f>
        <v>0</v>
      </c>
      <c r="I31" s="23"/>
      <c r="J31" s="23"/>
      <c r="K31" s="24"/>
      <c r="L31" s="121"/>
      <c r="M31" s="121"/>
      <c r="N31" s="121"/>
      <c r="O31" s="121"/>
      <c r="P31" s="24"/>
      <c r="Q31" s="24"/>
      <c r="R31" s="121"/>
      <c r="S31" s="121"/>
      <c r="T31" s="24"/>
      <c r="U31" s="16">
        <f t="shared" si="2"/>
        <v>0</v>
      </c>
      <c r="V31" s="23">
        <f>'Tổng hợp 2015'!V341</f>
        <v>0</v>
      </c>
      <c r="W31" s="122"/>
      <c r="X31" s="17"/>
      <c r="Y31" s="22">
        <f t="shared" si="1"/>
        <v>0</v>
      </c>
      <c r="Z31" s="33"/>
      <c r="AA31" s="158"/>
    </row>
    <row r="32" spans="1:27" ht="15.6">
      <c r="A32" s="27">
        <f>'Tổng hợp 2015'!A342</f>
        <v>0</v>
      </c>
      <c r="B32" s="42"/>
      <c r="C32" s="200"/>
      <c r="D32" s="20"/>
      <c r="E32" s="40"/>
      <c r="F32" s="21"/>
      <c r="G32" s="40">
        <f>'Tổng hợp 2015'!G333</f>
        <v>0</v>
      </c>
      <c r="H32" s="23">
        <f>'Tổng hợp 2015'!H333</f>
        <v>0</v>
      </c>
      <c r="I32" s="23"/>
      <c r="J32" s="23"/>
      <c r="K32" s="24"/>
      <c r="L32" s="57"/>
      <c r="M32" s="57"/>
      <c r="N32" s="57"/>
      <c r="O32" s="57"/>
      <c r="P32" s="57"/>
      <c r="Q32" s="57"/>
      <c r="R32" s="57"/>
      <c r="S32" s="57"/>
      <c r="T32" s="24"/>
      <c r="U32" s="16">
        <f t="shared" si="2"/>
        <v>0</v>
      </c>
      <c r="V32" s="23"/>
      <c r="W32" s="122"/>
      <c r="X32" s="17"/>
      <c r="Y32" s="22">
        <f t="shared" si="1"/>
        <v>0</v>
      </c>
      <c r="Z32" s="125"/>
    </row>
    <row r="33" spans="1:27" ht="15.6">
      <c r="A33" s="27">
        <f>'Tổng hợp 2015'!A343</f>
        <v>0</v>
      </c>
      <c r="B33" s="42"/>
      <c r="C33" s="200"/>
      <c r="D33" s="52"/>
      <c r="E33" s="40"/>
      <c r="F33" s="21"/>
      <c r="G33" s="40">
        <f>'Tổng hợp 2015'!G334</f>
        <v>0</v>
      </c>
      <c r="H33" s="23">
        <f>'Tổng hợp 2015'!H334</f>
        <v>0</v>
      </c>
      <c r="I33" s="23"/>
      <c r="J33" s="23"/>
      <c r="K33" s="24"/>
      <c r="L33" s="57"/>
      <c r="M33" s="57"/>
      <c r="N33" s="57"/>
      <c r="O33" s="57"/>
      <c r="P33" s="57"/>
      <c r="Q33" s="57"/>
      <c r="R33" s="57"/>
      <c r="S33" s="57"/>
      <c r="T33" s="24"/>
      <c r="U33" s="16">
        <f t="shared" si="2"/>
        <v>0</v>
      </c>
      <c r="V33" s="23"/>
      <c r="W33" s="122"/>
      <c r="X33" s="17"/>
      <c r="Y33" s="22">
        <f t="shared" si="1"/>
        <v>0</v>
      </c>
      <c r="Z33" s="57"/>
    </row>
    <row r="34" spans="1:27" ht="15.6">
      <c r="A34" s="27">
        <f>'Tổng hợp 2015'!A344</f>
        <v>0</v>
      </c>
      <c r="B34" s="42"/>
      <c r="C34" s="200"/>
      <c r="D34" s="52"/>
      <c r="E34" s="40"/>
      <c r="F34" s="21"/>
      <c r="G34" s="22"/>
      <c r="H34" s="23">
        <f>'Tổng hợp 2015'!H335</f>
        <v>0</v>
      </c>
      <c r="I34" s="23"/>
      <c r="J34" s="23"/>
      <c r="K34" s="24"/>
      <c r="L34" s="57"/>
      <c r="M34" s="57"/>
      <c r="N34" s="57"/>
      <c r="O34" s="57"/>
      <c r="P34" s="57"/>
      <c r="Q34" s="57"/>
      <c r="R34" s="57"/>
      <c r="S34" s="57"/>
      <c r="T34" s="24"/>
      <c r="U34" s="16">
        <f t="shared" si="2"/>
        <v>0</v>
      </c>
      <c r="V34" s="23"/>
      <c r="W34" s="122"/>
      <c r="X34" s="17"/>
      <c r="Y34" s="22">
        <f t="shared" si="1"/>
        <v>0</v>
      </c>
      <c r="Z34" s="57"/>
    </row>
    <row r="35" spans="1:27" ht="15.6">
      <c r="A35" s="23"/>
      <c r="B35" s="42"/>
      <c r="C35" s="200"/>
      <c r="D35" s="52"/>
      <c r="E35" s="40"/>
      <c r="F35" s="21"/>
      <c r="G35" s="22"/>
      <c r="H35" s="23">
        <f>'Tổng hợp 2015'!H336</f>
        <v>0</v>
      </c>
      <c r="I35" s="57"/>
      <c r="J35" s="23"/>
      <c r="K35" s="24"/>
      <c r="L35" s="57"/>
      <c r="M35" s="57"/>
      <c r="N35" s="57"/>
      <c r="O35" s="57"/>
      <c r="P35" s="57"/>
      <c r="Q35" s="57"/>
      <c r="R35" s="57"/>
      <c r="S35" s="57"/>
      <c r="T35" s="24"/>
      <c r="U35" s="16">
        <f t="shared" si="2"/>
        <v>0</v>
      </c>
      <c r="V35" s="23"/>
      <c r="W35" s="122"/>
      <c r="X35" s="17"/>
      <c r="Y35" s="22">
        <f t="shared" si="1"/>
        <v>0</v>
      </c>
      <c r="Z35" s="125"/>
    </row>
    <row r="36" spans="1:27" ht="15.6">
      <c r="A36" s="27"/>
      <c r="B36" s="42"/>
      <c r="C36" s="200"/>
      <c r="D36" s="20"/>
      <c r="E36" s="40"/>
      <c r="F36" s="21"/>
      <c r="G36" s="22"/>
      <c r="H36" s="23">
        <f>'Tổng hợp 2015'!H337</f>
        <v>0</v>
      </c>
      <c r="I36" s="57"/>
      <c r="J36" s="23"/>
      <c r="K36" s="24"/>
      <c r="L36" s="57"/>
      <c r="M36" s="57"/>
      <c r="N36" s="57"/>
      <c r="O36" s="57"/>
      <c r="P36" s="57"/>
      <c r="Q36" s="57"/>
      <c r="R36" s="57"/>
      <c r="S36" s="57"/>
      <c r="T36" s="24"/>
      <c r="U36" s="16">
        <f t="shared" si="2"/>
        <v>0</v>
      </c>
      <c r="V36" s="23"/>
      <c r="W36" s="122"/>
      <c r="X36" s="17"/>
      <c r="Y36" s="22">
        <f t="shared" si="1"/>
        <v>0</v>
      </c>
      <c r="Z36" s="125"/>
    </row>
    <row r="37" spans="1:27" ht="15.6">
      <c r="A37" s="27"/>
      <c r="B37" s="42"/>
      <c r="C37" s="200"/>
      <c r="D37" s="52"/>
      <c r="E37" s="40"/>
      <c r="F37" s="21"/>
      <c r="G37" s="22"/>
      <c r="H37" s="23">
        <f>'Tổng hợp 2015'!H338</f>
        <v>0</v>
      </c>
      <c r="I37" s="57"/>
      <c r="J37" s="23"/>
      <c r="K37" s="24"/>
      <c r="L37" s="57"/>
      <c r="M37" s="57"/>
      <c r="N37" s="57"/>
      <c r="O37" s="57"/>
      <c r="P37" s="57"/>
      <c r="Q37" s="57"/>
      <c r="R37" s="57"/>
      <c r="S37" s="57"/>
      <c r="T37" s="24"/>
      <c r="U37" s="16">
        <f t="shared" si="2"/>
        <v>0</v>
      </c>
      <c r="V37" s="23"/>
      <c r="W37" s="122"/>
      <c r="X37" s="17"/>
      <c r="Y37" s="22">
        <f t="shared" si="1"/>
        <v>0</v>
      </c>
      <c r="Z37" s="125"/>
    </row>
    <row r="38" spans="1:27" s="63" customFormat="1" ht="15.6">
      <c r="A38" s="23"/>
      <c r="B38" s="42"/>
      <c r="C38" s="200"/>
      <c r="D38" s="52"/>
      <c r="E38" s="40"/>
      <c r="F38" s="21"/>
      <c r="G38" s="22"/>
      <c r="H38" s="23">
        <f>'Tổng hợp 2015'!H339</f>
        <v>0</v>
      </c>
      <c r="I38" s="121"/>
      <c r="J38" s="23"/>
      <c r="K38" s="24"/>
      <c r="L38" s="121"/>
      <c r="M38" s="121"/>
      <c r="N38" s="121"/>
      <c r="O38" s="121"/>
      <c r="P38" s="24"/>
      <c r="Q38" s="24"/>
      <c r="R38" s="121"/>
      <c r="S38" s="121"/>
      <c r="T38" s="24"/>
      <c r="U38" s="16">
        <f t="shared" ref="U38:U40" si="5">+SUM(H38:T38)</f>
        <v>0</v>
      </c>
      <c r="V38" s="23"/>
      <c r="W38" s="122"/>
      <c r="X38" s="17"/>
      <c r="Y38" s="22">
        <f t="shared" si="1"/>
        <v>0</v>
      </c>
      <c r="Z38" s="33"/>
      <c r="AA38" s="158"/>
    </row>
    <row r="39" spans="1:27" s="63" customFormat="1" ht="15.6">
      <c r="A39" s="27"/>
      <c r="B39" s="42"/>
      <c r="C39" s="200"/>
      <c r="D39" s="52"/>
      <c r="E39" s="40"/>
      <c r="F39" s="21"/>
      <c r="G39" s="22"/>
      <c r="H39" s="23">
        <f>'Tổng hợp 2015'!H340</f>
        <v>0</v>
      </c>
      <c r="I39" s="23"/>
      <c r="J39" s="23"/>
      <c r="K39" s="24"/>
      <c r="L39" s="121"/>
      <c r="M39" s="121"/>
      <c r="N39" s="121"/>
      <c r="O39" s="121"/>
      <c r="P39" s="24"/>
      <c r="Q39" s="24"/>
      <c r="R39" s="121"/>
      <c r="S39" s="121"/>
      <c r="T39" s="24"/>
      <c r="U39" s="16">
        <f t="shared" si="5"/>
        <v>0</v>
      </c>
      <c r="V39" s="23"/>
      <c r="W39" s="122"/>
      <c r="X39" s="17"/>
      <c r="Y39" s="22"/>
      <c r="Z39" s="33"/>
      <c r="AA39" s="158"/>
    </row>
    <row r="40" spans="1:27" s="63" customFormat="1" ht="15.6">
      <c r="A40" s="27"/>
      <c r="B40" s="42"/>
      <c r="C40" s="200"/>
      <c r="D40" s="52"/>
      <c r="E40" s="40"/>
      <c r="F40" s="21"/>
      <c r="G40" s="22"/>
      <c r="H40" s="23">
        <f>'Tổng hợp 2015'!H341</f>
        <v>0</v>
      </c>
      <c r="I40" s="121"/>
      <c r="J40" s="23"/>
      <c r="K40" s="24"/>
      <c r="L40" s="121"/>
      <c r="M40" s="121"/>
      <c r="N40" s="121"/>
      <c r="O40" s="121"/>
      <c r="P40" s="24"/>
      <c r="Q40" s="24"/>
      <c r="R40" s="121"/>
      <c r="S40" s="121"/>
      <c r="T40" s="24"/>
      <c r="U40" s="16">
        <f t="shared" si="5"/>
        <v>0</v>
      </c>
      <c r="V40" s="23"/>
      <c r="W40" s="122"/>
      <c r="X40" s="17"/>
      <c r="Y40" s="22">
        <f t="shared" si="1"/>
        <v>0</v>
      </c>
      <c r="Z40" s="33"/>
      <c r="AA40" s="158"/>
    </row>
    <row r="41" spans="1:27" ht="15.6">
      <c r="A41" s="23"/>
      <c r="B41" s="42"/>
      <c r="C41" s="200"/>
      <c r="D41" s="52"/>
      <c r="E41" s="40"/>
      <c r="F41" s="21"/>
      <c r="G41" s="22"/>
      <c r="H41" s="23">
        <f>'Tổng hợp 2015'!H342</f>
        <v>0</v>
      </c>
      <c r="I41" s="57"/>
      <c r="J41" s="23"/>
      <c r="K41" s="24"/>
      <c r="L41" s="57"/>
      <c r="M41" s="57"/>
      <c r="N41" s="57"/>
      <c r="O41" s="57"/>
      <c r="P41" s="57"/>
      <c r="Q41" s="57"/>
      <c r="R41" s="57"/>
      <c r="S41" s="57"/>
      <c r="T41" s="24"/>
      <c r="U41" s="16">
        <f t="shared" si="2"/>
        <v>0</v>
      </c>
      <c r="V41" s="23"/>
      <c r="W41" s="122"/>
      <c r="X41" s="17"/>
      <c r="Y41" s="22">
        <f t="shared" si="1"/>
        <v>0</v>
      </c>
      <c r="Z41" s="57"/>
    </row>
    <row r="42" spans="1:27" ht="15.6">
      <c r="A42" s="27"/>
      <c r="B42" s="42"/>
      <c r="C42" s="200"/>
      <c r="D42" s="20"/>
      <c r="E42" s="40"/>
      <c r="F42" s="21"/>
      <c r="G42" s="22"/>
      <c r="H42" s="23"/>
      <c r="I42" s="57"/>
      <c r="J42" s="23"/>
      <c r="K42" s="24"/>
      <c r="L42" s="57"/>
      <c r="M42" s="57"/>
      <c r="N42" s="57"/>
      <c r="O42" s="57"/>
      <c r="P42" s="57"/>
      <c r="Q42" s="57"/>
      <c r="R42" s="57"/>
      <c r="S42" s="57"/>
      <c r="T42" s="24"/>
      <c r="U42" s="16">
        <f t="shared" si="2"/>
        <v>0</v>
      </c>
      <c r="V42" s="23"/>
      <c r="W42" s="122"/>
      <c r="X42" s="17"/>
      <c r="Y42" s="22">
        <f t="shared" si="1"/>
        <v>0</v>
      </c>
      <c r="Z42" s="57"/>
    </row>
    <row r="43" spans="1:27" ht="15.6">
      <c r="A43" s="27"/>
      <c r="B43" s="42"/>
      <c r="C43" s="200"/>
      <c r="D43" s="52"/>
      <c r="E43" s="40"/>
      <c r="F43" s="21"/>
      <c r="G43" s="22"/>
      <c r="H43" s="23"/>
      <c r="I43" s="57"/>
      <c r="J43" s="23"/>
      <c r="K43" s="24"/>
      <c r="L43" s="57"/>
      <c r="M43" s="57"/>
      <c r="N43" s="57"/>
      <c r="O43" s="57"/>
      <c r="P43" s="57"/>
      <c r="Q43" s="57"/>
      <c r="R43" s="57"/>
      <c r="S43" s="57"/>
      <c r="T43" s="24"/>
      <c r="U43" s="16">
        <f t="shared" si="2"/>
        <v>0</v>
      </c>
      <c r="V43" s="23"/>
      <c r="W43" s="122"/>
      <c r="X43" s="17"/>
      <c r="Y43" s="22">
        <f t="shared" si="1"/>
        <v>0</v>
      </c>
      <c r="Z43" s="57"/>
    </row>
    <row r="44" spans="1:27" ht="15.6">
      <c r="A44" s="27"/>
      <c r="B44" s="42"/>
      <c r="C44" s="200"/>
      <c r="D44" s="52"/>
      <c r="E44" s="40"/>
      <c r="F44" s="21"/>
      <c r="G44" s="22"/>
      <c r="H44" s="23"/>
      <c r="I44" s="57"/>
      <c r="J44" s="23"/>
      <c r="K44" s="24"/>
      <c r="L44" s="57"/>
      <c r="M44" s="57"/>
      <c r="N44" s="57"/>
      <c r="O44" s="57"/>
      <c r="P44" s="57"/>
      <c r="Q44" s="57"/>
      <c r="R44" s="57"/>
      <c r="S44" s="57"/>
      <c r="T44" s="24"/>
      <c r="U44" s="16">
        <f t="shared" si="2"/>
        <v>0</v>
      </c>
      <c r="V44" s="23"/>
      <c r="W44" s="122"/>
      <c r="X44" s="17"/>
      <c r="Y44" s="22">
        <f t="shared" si="1"/>
        <v>0</v>
      </c>
      <c r="Z44" s="57"/>
    </row>
    <row r="45" spans="1:27" ht="15.6">
      <c r="A45" s="23"/>
      <c r="B45" s="42"/>
      <c r="C45" s="200"/>
      <c r="D45" s="52"/>
      <c r="E45" s="40"/>
      <c r="F45" s="21"/>
      <c r="G45" s="22"/>
      <c r="H45" s="23"/>
      <c r="I45" s="57"/>
      <c r="J45" s="23"/>
      <c r="K45" s="24"/>
      <c r="L45" s="57"/>
      <c r="M45" s="57"/>
      <c r="N45" s="57"/>
      <c r="O45" s="57"/>
      <c r="P45" s="57"/>
      <c r="Q45" s="57"/>
      <c r="R45" s="57"/>
      <c r="S45" s="57"/>
      <c r="T45" s="24"/>
      <c r="U45" s="16">
        <f t="shared" si="2"/>
        <v>0</v>
      </c>
      <c r="V45" s="23"/>
      <c r="W45" s="122"/>
      <c r="X45" s="17"/>
      <c r="Y45" s="22">
        <f t="shared" si="1"/>
        <v>0</v>
      </c>
      <c r="Z45" s="57"/>
    </row>
    <row r="46" spans="1:27" ht="15.6">
      <c r="A46" s="27"/>
      <c r="B46" s="42"/>
      <c r="C46" s="200"/>
      <c r="D46" s="194"/>
      <c r="E46" s="40"/>
      <c r="F46" s="21"/>
      <c r="G46" s="22"/>
      <c r="H46" s="23"/>
      <c r="I46" s="23"/>
      <c r="J46" s="23"/>
      <c r="K46" s="24"/>
      <c r="L46" s="57"/>
      <c r="M46" s="57"/>
      <c r="N46" s="57"/>
      <c r="O46" s="57"/>
      <c r="P46" s="57"/>
      <c r="Q46" s="57"/>
      <c r="R46" s="57"/>
      <c r="S46" s="57"/>
      <c r="T46" s="24"/>
      <c r="U46" s="16">
        <f t="shared" si="2"/>
        <v>0</v>
      </c>
      <c r="V46" s="23"/>
      <c r="W46" s="122"/>
      <c r="X46" s="81"/>
      <c r="Y46" s="22">
        <f t="shared" si="1"/>
        <v>0</v>
      </c>
      <c r="Z46" s="57"/>
    </row>
    <row r="47" spans="1:27" ht="15.6">
      <c r="A47" s="23"/>
      <c r="B47" s="42"/>
      <c r="C47" s="200"/>
      <c r="D47" s="20"/>
      <c r="E47" s="40"/>
      <c r="F47" s="21"/>
      <c r="G47" s="22"/>
      <c r="H47" s="23"/>
      <c r="I47" s="57"/>
      <c r="J47" s="23"/>
      <c r="K47" s="24"/>
      <c r="L47" s="57"/>
      <c r="M47" s="57"/>
      <c r="N47" s="57"/>
      <c r="O47" s="57"/>
      <c r="P47" s="57"/>
      <c r="Q47" s="57"/>
      <c r="R47" s="57"/>
      <c r="S47" s="57"/>
      <c r="T47" s="24"/>
      <c r="U47" s="16">
        <f t="shared" si="2"/>
        <v>0</v>
      </c>
      <c r="V47" s="23"/>
      <c r="W47" s="122"/>
      <c r="X47" s="17"/>
      <c r="Y47" s="22">
        <f t="shared" si="1"/>
        <v>0</v>
      </c>
      <c r="Z47" s="57"/>
    </row>
    <row r="48" spans="1:27" ht="15.6">
      <c r="A48" s="27"/>
      <c r="B48" s="42"/>
      <c r="C48" s="200"/>
      <c r="D48" s="52"/>
      <c r="E48" s="40"/>
      <c r="F48" s="21"/>
      <c r="G48" s="22"/>
      <c r="H48" s="23"/>
      <c r="I48" s="57"/>
      <c r="J48" s="23"/>
      <c r="K48" s="24"/>
      <c r="L48" s="57"/>
      <c r="M48" s="57"/>
      <c r="N48" s="57"/>
      <c r="O48" s="57"/>
      <c r="P48" s="57"/>
      <c r="Q48" s="57"/>
      <c r="R48" s="57"/>
      <c r="S48" s="57"/>
      <c r="T48" s="24"/>
      <c r="U48" s="16">
        <f t="shared" si="2"/>
        <v>0</v>
      </c>
      <c r="V48" s="23"/>
      <c r="W48" s="51"/>
      <c r="X48" s="17"/>
      <c r="Y48" s="22">
        <f t="shared" si="1"/>
        <v>0</v>
      </c>
      <c r="Z48" s="57"/>
    </row>
    <row r="49" spans="1:26" ht="15.6">
      <c r="A49" s="27"/>
      <c r="B49" s="42"/>
      <c r="C49" s="200"/>
      <c r="D49" s="198"/>
      <c r="E49" s="28"/>
      <c r="F49" s="199"/>
      <c r="G49" s="22"/>
      <c r="H49" s="23"/>
      <c r="I49" s="57"/>
      <c r="J49" s="23"/>
      <c r="K49" s="24"/>
      <c r="L49" s="57"/>
      <c r="M49" s="57"/>
      <c r="N49" s="57"/>
      <c r="O49" s="57"/>
      <c r="P49" s="57"/>
      <c r="Q49" s="57"/>
      <c r="R49" s="57"/>
      <c r="S49" s="57"/>
      <c r="T49" s="24"/>
      <c r="U49" s="16">
        <f t="shared" si="2"/>
        <v>0</v>
      </c>
      <c r="V49" s="23"/>
      <c r="W49" s="122"/>
      <c r="X49" s="17"/>
      <c r="Y49" s="22">
        <f t="shared" si="1"/>
        <v>0</v>
      </c>
      <c r="Z49" s="57"/>
    </row>
    <row r="50" spans="1:26" ht="15.6">
      <c r="A50" s="23"/>
      <c r="B50" s="42"/>
      <c r="C50" s="125"/>
      <c r="D50" s="52"/>
      <c r="E50" s="40"/>
      <c r="F50" s="21"/>
      <c r="G50" s="22"/>
      <c r="H50" s="23"/>
      <c r="I50" s="57"/>
      <c r="J50" s="23"/>
      <c r="K50" s="24"/>
      <c r="L50" s="57"/>
      <c r="M50" s="57"/>
      <c r="N50" s="57"/>
      <c r="O50" s="57"/>
      <c r="P50" s="57"/>
      <c r="Q50" s="57"/>
      <c r="R50" s="57"/>
      <c r="S50" s="57"/>
      <c r="T50" s="24"/>
      <c r="U50" s="16">
        <f t="shared" si="2"/>
        <v>0</v>
      </c>
      <c r="V50" s="23"/>
      <c r="W50" s="122"/>
      <c r="X50" s="17"/>
      <c r="Y50" s="22">
        <f t="shared" si="1"/>
        <v>0</v>
      </c>
      <c r="Z50" s="57"/>
    </row>
    <row r="51" spans="1:26" ht="15.6">
      <c r="A51" s="23"/>
      <c r="B51" s="42"/>
      <c r="C51" s="125"/>
      <c r="D51" s="52"/>
      <c r="E51" s="40"/>
      <c r="F51" s="21"/>
      <c r="G51" s="22"/>
      <c r="H51" s="23"/>
      <c r="I51" s="57"/>
      <c r="J51" s="23"/>
      <c r="K51" s="24"/>
      <c r="L51" s="57"/>
      <c r="M51" s="57"/>
      <c r="N51" s="57"/>
      <c r="O51" s="57"/>
      <c r="P51" s="57"/>
      <c r="Q51" s="57"/>
      <c r="R51" s="57"/>
      <c r="S51" s="57"/>
      <c r="T51" s="24"/>
      <c r="U51" s="16">
        <f t="shared" si="2"/>
        <v>0</v>
      </c>
      <c r="V51" s="23"/>
      <c r="W51" s="122"/>
      <c r="X51" s="17"/>
      <c r="Y51" s="22">
        <f t="shared" si="1"/>
        <v>0</v>
      </c>
      <c r="Z51" s="57"/>
    </row>
    <row r="52" spans="1:26" ht="15.6">
      <c r="A52" s="23"/>
      <c r="B52" s="42"/>
      <c r="C52" s="18"/>
      <c r="D52" s="52"/>
      <c r="E52" s="40"/>
      <c r="F52" s="21"/>
      <c r="G52" s="22"/>
      <c r="H52" s="23"/>
      <c r="I52" s="57"/>
      <c r="J52" s="23"/>
      <c r="K52" s="24"/>
      <c r="L52" s="57"/>
      <c r="M52" s="57"/>
      <c r="N52" s="57"/>
      <c r="O52" s="57"/>
      <c r="P52" s="57"/>
      <c r="Q52" s="57"/>
      <c r="R52" s="57"/>
      <c r="S52" s="57"/>
      <c r="T52" s="24"/>
      <c r="U52" s="16">
        <f t="shared" si="2"/>
        <v>0</v>
      </c>
      <c r="V52" s="23"/>
      <c r="W52" s="122"/>
      <c r="X52" s="57"/>
      <c r="Y52" s="22">
        <f t="shared" si="1"/>
        <v>0</v>
      </c>
      <c r="Z52" s="57"/>
    </row>
    <row r="53" spans="1:26" ht="15.6">
      <c r="A53" s="27"/>
      <c r="B53" s="17"/>
      <c r="C53" s="18"/>
      <c r="D53" s="20"/>
      <c r="E53" s="40"/>
      <c r="F53" s="21"/>
      <c r="G53" s="22"/>
      <c r="H53" s="23"/>
      <c r="I53" s="57"/>
      <c r="J53" s="23"/>
      <c r="K53" s="24"/>
      <c r="L53" s="57"/>
      <c r="M53" s="57"/>
      <c r="N53" s="57"/>
      <c r="O53" s="57"/>
      <c r="P53" s="57"/>
      <c r="Q53" s="57"/>
      <c r="R53" s="57"/>
      <c r="S53" s="57"/>
      <c r="T53" s="24"/>
      <c r="U53" s="16">
        <f t="shared" si="2"/>
        <v>0</v>
      </c>
      <c r="V53" s="57"/>
      <c r="W53" s="57"/>
      <c r="X53" s="57"/>
      <c r="Y53" s="22">
        <f t="shared" si="1"/>
        <v>0</v>
      </c>
      <c r="Z53" s="57"/>
    </row>
    <row r="54" spans="1:26" ht="15.6">
      <c r="A54" s="27"/>
      <c r="B54" s="17"/>
      <c r="C54" s="18"/>
      <c r="D54" s="20"/>
      <c r="E54" s="40"/>
      <c r="F54" s="21"/>
      <c r="G54" s="22"/>
      <c r="H54" s="23"/>
      <c r="I54" s="57"/>
      <c r="J54" s="23"/>
      <c r="K54" s="24"/>
      <c r="L54" s="57"/>
      <c r="M54" s="57"/>
      <c r="N54" s="57"/>
      <c r="O54" s="57"/>
      <c r="P54" s="57"/>
      <c r="Q54" s="57"/>
      <c r="R54" s="57"/>
      <c r="S54" s="57"/>
      <c r="T54" s="24"/>
      <c r="U54" s="16">
        <f t="shared" si="2"/>
        <v>0</v>
      </c>
      <c r="V54" s="57"/>
      <c r="W54" s="57"/>
      <c r="X54" s="57"/>
      <c r="Y54" s="22">
        <f t="shared" si="1"/>
        <v>0</v>
      </c>
      <c r="Z54" s="57"/>
    </row>
    <row r="55" spans="1:26" ht="15.6">
      <c r="A55" s="27"/>
      <c r="B55" s="17"/>
      <c r="C55" s="18"/>
      <c r="D55" s="20"/>
      <c r="E55" s="40"/>
      <c r="F55" s="21"/>
      <c r="G55" s="22"/>
      <c r="H55" s="23"/>
      <c r="I55" s="57"/>
      <c r="J55" s="23"/>
      <c r="K55" s="24"/>
      <c r="L55" s="57"/>
      <c r="M55" s="57"/>
      <c r="N55" s="57"/>
      <c r="O55" s="57"/>
      <c r="P55" s="57"/>
      <c r="Q55" s="57"/>
      <c r="R55" s="57"/>
      <c r="S55" s="57"/>
      <c r="T55" s="24"/>
      <c r="U55" s="16">
        <f t="shared" si="2"/>
        <v>0</v>
      </c>
      <c r="V55" s="57"/>
      <c r="W55" s="57"/>
      <c r="X55" s="57"/>
      <c r="Y55" s="22">
        <f t="shared" si="1"/>
        <v>0</v>
      </c>
      <c r="Z55" s="57"/>
    </row>
    <row r="56" spans="1:26" ht="15.6">
      <c r="A56" s="27"/>
      <c r="B56" s="17"/>
      <c r="C56" s="79" t="s">
        <v>107</v>
      </c>
      <c r="D56" s="57"/>
      <c r="E56" s="57"/>
      <c r="F56" s="57"/>
      <c r="G56" s="57"/>
      <c r="H56" s="80">
        <f>SUM(H6:H33)</f>
        <v>6080000</v>
      </c>
      <c r="I56" s="80">
        <f>SUM(I6:I32)</f>
        <v>0</v>
      </c>
      <c r="J56" s="80">
        <f>SUM(J6:J47)</f>
        <v>18994000</v>
      </c>
      <c r="K56" s="80">
        <f t="shared" ref="K56:V56" si="6">SUM(K6:K32)</f>
        <v>31480000</v>
      </c>
      <c r="L56" s="80">
        <f t="shared" si="6"/>
        <v>0</v>
      </c>
      <c r="M56" s="80">
        <f t="shared" si="6"/>
        <v>0</v>
      </c>
      <c r="N56" s="80">
        <f t="shared" si="6"/>
        <v>0</v>
      </c>
      <c r="O56" s="80">
        <f t="shared" si="6"/>
        <v>0</v>
      </c>
      <c r="P56" s="80">
        <f t="shared" si="6"/>
        <v>0</v>
      </c>
      <c r="Q56" s="80">
        <f t="shared" si="6"/>
        <v>0</v>
      </c>
      <c r="R56" s="80">
        <f t="shared" si="6"/>
        <v>0</v>
      </c>
      <c r="S56" s="80">
        <f t="shared" si="6"/>
        <v>0</v>
      </c>
      <c r="T56" s="80">
        <f t="shared" si="6"/>
        <v>1250400</v>
      </c>
      <c r="U56" s="80">
        <f t="shared" si="6"/>
        <v>57804400</v>
      </c>
      <c r="V56" s="80">
        <f t="shared" si="6"/>
        <v>21850400</v>
      </c>
      <c r="W56" s="80"/>
      <c r="X56" s="80">
        <f>SUM(X6:X32)</f>
        <v>0</v>
      </c>
      <c r="Y56" s="80">
        <f>SUM(Y6:Y32)</f>
        <v>35954000</v>
      </c>
      <c r="Z56" s="57"/>
    </row>
    <row r="60" spans="1:26">
      <c r="O60" t="s">
        <v>95</v>
      </c>
      <c r="U60" s="78"/>
    </row>
    <row r="61" spans="1:26">
      <c r="A61" s="133" t="s">
        <v>327</v>
      </c>
    </row>
  </sheetData>
  <mergeCells count="16">
    <mergeCell ref="Z3:Z4"/>
    <mergeCell ref="A1:Z1"/>
    <mergeCell ref="A3:A4"/>
    <mergeCell ref="B3:B4"/>
    <mergeCell ref="C3:C4"/>
    <mergeCell ref="E3:E4"/>
    <mergeCell ref="F3:F4"/>
    <mergeCell ref="G3:G4"/>
    <mergeCell ref="H3:R3"/>
    <mergeCell ref="S3:S4"/>
    <mergeCell ref="T3:T4"/>
    <mergeCell ref="U3:U4"/>
    <mergeCell ref="V3:V4"/>
    <mergeCell ref="W3:W4"/>
    <mergeCell ref="X3:X4"/>
    <mergeCell ref="Y3:Y4"/>
  </mergeCells>
  <conditionalFormatting sqref="E50:E55 E1:E48 G6:G33">
    <cfRule type="containsText" dxfId="182" priority="24" stopIfTrue="1" operator="containsText" text="Gia hạn">
      <formula>NOT(ISERROR(SEARCH("Gia hạn",E1)))</formula>
    </cfRule>
    <cfRule type="cellIs" dxfId="181" priority="25" stopIfTrue="1" operator="equal">
      <formula>"Gia hạn"</formula>
    </cfRule>
  </conditionalFormatting>
  <conditionalFormatting sqref="D29:D30 G1:G55">
    <cfRule type="containsText" dxfId="180" priority="23" stopIfTrue="1" operator="containsText" text="THV">
      <formula>NOT(ISERROR(SEARCH("THV",D1)))</formula>
    </cfRule>
  </conditionalFormatting>
  <conditionalFormatting sqref="E50:E65506 E1:E48 G6:G33">
    <cfRule type="containsText" dxfId="179" priority="22" stopIfTrue="1" operator="containsText" text="gia hạn">
      <formula>NOT(ISERROR(SEARCH("gia hạn",E1)))</formula>
    </cfRule>
  </conditionalFormatting>
  <conditionalFormatting sqref="D29:D30 G1:G1048576">
    <cfRule type="containsText" dxfId="178" priority="21" operator="containsText" text="Tịnh">
      <formula>NOT(ISERROR(SEARCH("Tịnh",D1)))</formula>
    </cfRule>
  </conditionalFormatting>
  <conditionalFormatting sqref="E23:E24">
    <cfRule type="containsText" dxfId="177" priority="19" stopIfTrue="1" operator="containsText" text="Gia hạn">
      <formula>NOT(ISERROR(SEARCH("Gia hạn",E23)))</formula>
    </cfRule>
    <cfRule type="cellIs" dxfId="176" priority="20" stopIfTrue="1" operator="equal">
      <formula>"Gia hạn"</formula>
    </cfRule>
  </conditionalFormatting>
  <conditionalFormatting sqref="E23:E24">
    <cfRule type="containsText" dxfId="175" priority="18" stopIfTrue="1" operator="containsText" text="gia hạn">
      <formula>NOT(ISERROR(SEARCH("gia hạn",E23)))</formula>
    </cfRule>
  </conditionalFormatting>
  <conditionalFormatting sqref="E38:E40">
    <cfRule type="containsText" dxfId="174" priority="16" stopIfTrue="1" operator="containsText" text="Gia hạn">
      <formula>NOT(ISERROR(SEARCH("Gia hạn",E38)))</formula>
    </cfRule>
    <cfRule type="cellIs" dxfId="173" priority="17" stopIfTrue="1" operator="equal">
      <formula>"Gia hạn"</formula>
    </cfRule>
  </conditionalFormatting>
  <conditionalFormatting sqref="G38:G40">
    <cfRule type="containsText" dxfId="172" priority="15" stopIfTrue="1" operator="containsText" text="THV">
      <formula>NOT(ISERROR(SEARCH("THV",G38)))</formula>
    </cfRule>
  </conditionalFormatting>
  <conditionalFormatting sqref="E38:E40">
    <cfRule type="containsText" dxfId="171" priority="14" stopIfTrue="1" operator="containsText" text="gia hạn">
      <formula>NOT(ISERROR(SEARCH("gia hạn",E38)))</formula>
    </cfRule>
  </conditionalFormatting>
  <conditionalFormatting sqref="G38:G40">
    <cfRule type="containsText" dxfId="170" priority="13" operator="containsText" text="Tịnh">
      <formula>NOT(ISERROR(SEARCH("Tịnh",G38)))</formula>
    </cfRule>
  </conditionalFormatting>
  <conditionalFormatting sqref="E41">
    <cfRule type="containsText" dxfId="169" priority="11" stopIfTrue="1" operator="containsText" text="Gia hạn">
      <formula>NOT(ISERROR(SEARCH("Gia hạn",E41)))</formula>
    </cfRule>
    <cfRule type="cellIs" dxfId="168" priority="12" stopIfTrue="1" operator="equal">
      <formula>"Gia hạn"</formula>
    </cfRule>
  </conditionalFormatting>
  <conditionalFormatting sqref="E41">
    <cfRule type="containsText" dxfId="167" priority="10" stopIfTrue="1" operator="containsText" text="gia hạn">
      <formula>NOT(ISERROR(SEARCH("gia hạn",E41)))</formula>
    </cfRule>
  </conditionalFormatting>
  <conditionalFormatting sqref="E43">
    <cfRule type="containsText" dxfId="166" priority="8" stopIfTrue="1" operator="containsText" text="Gia hạn">
      <formula>NOT(ISERROR(SEARCH("Gia hạn",E43)))</formula>
    </cfRule>
    <cfRule type="cellIs" dxfId="165" priority="9" stopIfTrue="1" operator="equal">
      <formula>"Gia hạn"</formula>
    </cfRule>
  </conditionalFormatting>
  <conditionalFormatting sqref="E43">
    <cfRule type="containsText" dxfId="164" priority="7" stopIfTrue="1" operator="containsText" text="gia hạn">
      <formula>NOT(ISERROR(SEARCH("gia hạn",E43)))</formula>
    </cfRule>
  </conditionalFormatting>
  <conditionalFormatting sqref="E44">
    <cfRule type="containsText" dxfId="163" priority="5" stopIfTrue="1" operator="containsText" text="Gia hạn">
      <formula>NOT(ISERROR(SEARCH("Gia hạn",E44)))</formula>
    </cfRule>
    <cfRule type="cellIs" dxfId="162" priority="6" stopIfTrue="1" operator="equal">
      <formula>"Gia hạn"</formula>
    </cfRule>
  </conditionalFormatting>
  <conditionalFormatting sqref="E44">
    <cfRule type="containsText" dxfId="161" priority="4" stopIfTrue="1" operator="containsText" text="gia hạn">
      <formula>NOT(ISERROR(SEARCH("gia hạn",E44)))</formula>
    </cfRule>
  </conditionalFormatting>
  <conditionalFormatting sqref="E48">
    <cfRule type="containsText" dxfId="160" priority="2" stopIfTrue="1" operator="containsText" text="Gia hạn">
      <formula>NOT(ISERROR(SEARCH("Gia hạn",E48)))</formula>
    </cfRule>
    <cfRule type="cellIs" dxfId="159" priority="3" stopIfTrue="1" operator="equal">
      <formula>"Gia hạn"</formula>
    </cfRule>
  </conditionalFormatting>
  <conditionalFormatting sqref="E48">
    <cfRule type="containsText" dxfId="158" priority="1" stopIfTrue="1" operator="containsText" text="gia hạn">
      <formula>NOT(ISERROR(SEARCH("gia hạn",E48)))</formula>
    </cfRule>
  </conditionalFormatting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46"/>
  <sheetViews>
    <sheetView workbookViewId="0">
      <pane xSplit="6" ySplit="2" topLeftCell="G39" activePane="bottomRight" state="frozen"/>
      <selection pane="topRight" activeCell="G1" sqref="G1"/>
      <selection pane="bottomLeft" activeCell="A3" sqref="A3"/>
      <selection pane="bottomRight" activeCell="F48" sqref="F48"/>
    </sheetView>
  </sheetViews>
  <sheetFormatPr defaultColWidth="14.33203125" defaultRowHeight="14.4"/>
  <cols>
    <col min="1" max="1" width="15.6640625" style="50" customWidth="1"/>
    <col min="2" max="2" width="14.33203125" style="50"/>
    <col min="3" max="3" width="19.6640625" style="50" customWidth="1"/>
    <col min="4" max="4" width="14.6640625" style="50" customWidth="1"/>
    <col min="5" max="5" width="14.33203125" style="50"/>
    <col min="6" max="6" width="21.33203125" style="50" customWidth="1"/>
    <col min="7" max="23" width="14.33203125" style="50"/>
    <col min="24" max="24" width="18" style="50" customWidth="1"/>
    <col min="25" max="16384" width="14.33203125" style="50"/>
  </cols>
  <sheetData>
    <row r="1" spans="1:31" ht="15.6">
      <c r="A1" s="230" t="s">
        <v>1</v>
      </c>
      <c r="B1" s="231" t="s">
        <v>2</v>
      </c>
      <c r="C1" s="230" t="s">
        <v>3</v>
      </c>
      <c r="D1" s="46"/>
      <c r="E1" s="230" t="s">
        <v>4</v>
      </c>
      <c r="F1" s="228" t="s">
        <v>5</v>
      </c>
      <c r="G1" s="228" t="s">
        <v>6</v>
      </c>
      <c r="H1" s="236" t="s">
        <v>7</v>
      </c>
      <c r="I1" s="237"/>
      <c r="J1" s="237"/>
      <c r="K1" s="237"/>
      <c r="L1" s="237"/>
      <c r="M1" s="237"/>
      <c r="N1" s="237"/>
      <c r="O1" s="237"/>
      <c r="P1" s="237"/>
      <c r="Q1" s="237"/>
      <c r="R1" s="238"/>
      <c r="S1" s="228" t="s">
        <v>8</v>
      </c>
      <c r="T1" s="234" t="s">
        <v>9</v>
      </c>
      <c r="U1" s="234" t="s">
        <v>10</v>
      </c>
      <c r="V1" s="234" t="s">
        <v>11</v>
      </c>
      <c r="W1" s="232" t="s">
        <v>12</v>
      </c>
      <c r="X1" s="232" t="s">
        <v>13</v>
      </c>
      <c r="Y1" s="234" t="s">
        <v>14</v>
      </c>
      <c r="Z1" s="228" t="s">
        <v>15</v>
      </c>
      <c r="AA1" s="47"/>
      <c r="AB1" s="48"/>
      <c r="AC1" s="47"/>
      <c r="AD1" s="49"/>
      <c r="AE1" s="49"/>
    </row>
    <row r="2" spans="1:31" ht="46.8">
      <c r="A2" s="230"/>
      <c r="B2" s="231"/>
      <c r="C2" s="230"/>
      <c r="D2" s="46" t="s">
        <v>16</v>
      </c>
      <c r="E2" s="230"/>
      <c r="F2" s="229"/>
      <c r="G2" s="229"/>
      <c r="H2" s="34" t="s">
        <v>17</v>
      </c>
      <c r="I2" s="34" t="s">
        <v>18</v>
      </c>
      <c r="J2" s="34" t="s">
        <v>19</v>
      </c>
      <c r="K2" s="34" t="s">
        <v>20</v>
      </c>
      <c r="L2" s="34" t="s">
        <v>21</v>
      </c>
      <c r="M2" s="34" t="s">
        <v>22</v>
      </c>
      <c r="N2" s="34" t="s">
        <v>23</v>
      </c>
      <c r="O2" s="34" t="s">
        <v>24</v>
      </c>
      <c r="P2" s="34" t="s">
        <v>25</v>
      </c>
      <c r="Q2" s="34" t="s">
        <v>26</v>
      </c>
      <c r="R2" s="34" t="s">
        <v>27</v>
      </c>
      <c r="S2" s="229"/>
      <c r="T2" s="235"/>
      <c r="U2" s="235"/>
      <c r="V2" s="235"/>
      <c r="W2" s="233"/>
      <c r="X2" s="233"/>
      <c r="Y2" s="235"/>
      <c r="Z2" s="229"/>
      <c r="AA2" s="35"/>
      <c r="AB2" s="36"/>
      <c r="AC2" s="35"/>
      <c r="AD2" s="37"/>
      <c r="AE2" s="37"/>
    </row>
    <row r="3" spans="1:31" customFormat="1" ht="46.8">
      <c r="A3" s="27"/>
      <c r="B3" s="17">
        <v>42003</v>
      </c>
      <c r="C3" s="18" t="s">
        <v>113</v>
      </c>
      <c r="D3" s="20"/>
      <c r="E3" s="28" t="s">
        <v>96</v>
      </c>
      <c r="F3" s="21" t="s">
        <v>54</v>
      </c>
      <c r="G3" s="22" t="s">
        <v>91</v>
      </c>
      <c r="H3" s="23">
        <v>350000</v>
      </c>
      <c r="I3" s="24"/>
      <c r="J3" s="23">
        <v>660000</v>
      </c>
      <c r="K3" s="24"/>
      <c r="L3" s="24"/>
      <c r="M3" s="23"/>
      <c r="N3" s="24"/>
      <c r="O3" s="24"/>
      <c r="P3" s="24"/>
      <c r="Q3" s="24"/>
      <c r="R3" s="24"/>
      <c r="S3" s="24"/>
      <c r="T3" s="24"/>
      <c r="U3" s="16">
        <f>+SUM(H3:T3)-S3</f>
        <v>1010000</v>
      </c>
      <c r="V3" s="23">
        <v>1010000</v>
      </c>
      <c r="W3" s="17">
        <v>42013</v>
      </c>
      <c r="X3" s="17"/>
      <c r="Y3" s="22">
        <f t="shared" ref="Y3:Y10" si="0">U3-V3</f>
        <v>0</v>
      </c>
      <c r="Z3" s="25"/>
      <c r="AA3" s="29"/>
    </row>
    <row r="4" spans="1:31" customFormat="1" ht="46.8">
      <c r="A4" s="27" t="s">
        <v>70</v>
      </c>
      <c r="B4" s="17">
        <v>42011</v>
      </c>
      <c r="C4" s="18" t="s">
        <v>71</v>
      </c>
      <c r="D4" s="20" t="s">
        <v>72</v>
      </c>
      <c r="E4" s="28" t="s">
        <v>110</v>
      </c>
      <c r="F4" s="21" t="s">
        <v>78</v>
      </c>
      <c r="G4" s="22" t="s">
        <v>28</v>
      </c>
      <c r="H4" s="57"/>
      <c r="I4" s="23"/>
      <c r="J4" s="23">
        <v>2160000</v>
      </c>
      <c r="K4" s="23"/>
      <c r="L4" s="57"/>
      <c r="M4" s="57"/>
      <c r="N4" s="23"/>
      <c r="O4" s="23"/>
      <c r="P4" s="23"/>
      <c r="Q4" s="23"/>
      <c r="R4" s="23"/>
      <c r="S4" s="23"/>
      <c r="T4" s="24">
        <v>216000</v>
      </c>
      <c r="U4" s="16">
        <f t="shared" ref="U4" si="1">+SUM(H4:T4)</f>
        <v>2376000</v>
      </c>
      <c r="V4" s="23">
        <v>2376000</v>
      </c>
      <c r="W4" s="17">
        <v>42016</v>
      </c>
      <c r="X4" s="17" t="s">
        <v>77</v>
      </c>
      <c r="Y4" s="22">
        <f t="shared" si="0"/>
        <v>0</v>
      </c>
      <c r="Z4" s="62" t="s">
        <v>80</v>
      </c>
      <c r="AA4" t="s">
        <v>111</v>
      </c>
    </row>
    <row r="5" spans="1:31" customFormat="1" ht="46.8">
      <c r="A5" s="27"/>
      <c r="B5" s="17">
        <v>42020</v>
      </c>
      <c r="C5" s="18" t="s">
        <v>133</v>
      </c>
      <c r="D5" s="20"/>
      <c r="E5" s="28" t="s">
        <v>134</v>
      </c>
      <c r="F5" s="21" t="s">
        <v>135</v>
      </c>
      <c r="G5" s="22" t="s">
        <v>28</v>
      </c>
      <c r="H5" s="23">
        <v>480000</v>
      </c>
      <c r="I5" s="57"/>
      <c r="J5" s="23">
        <v>660000</v>
      </c>
      <c r="K5" s="24"/>
      <c r="L5" s="57"/>
      <c r="M5" s="57"/>
      <c r="N5" s="23"/>
      <c r="O5" s="23"/>
      <c r="P5" s="23"/>
      <c r="Q5" s="23"/>
      <c r="R5" s="23"/>
      <c r="S5" s="23"/>
      <c r="T5" s="24">
        <v>66000</v>
      </c>
      <c r="U5" s="16">
        <f t="shared" ref="U5" si="2">+SUM(H5:T5)</f>
        <v>1206000</v>
      </c>
      <c r="V5" s="23">
        <v>1206000</v>
      </c>
      <c r="W5" s="17">
        <v>42021</v>
      </c>
      <c r="X5" s="17" t="s">
        <v>139</v>
      </c>
      <c r="Y5" s="22">
        <f t="shared" si="0"/>
        <v>0</v>
      </c>
      <c r="Z5" s="62"/>
      <c r="AA5" t="s">
        <v>111</v>
      </c>
    </row>
    <row r="6" spans="1:31" customFormat="1" ht="31.2">
      <c r="A6" s="27"/>
      <c r="B6" s="17">
        <v>42068</v>
      </c>
      <c r="C6" s="18" t="s">
        <v>309</v>
      </c>
      <c r="D6" s="20"/>
      <c r="E6" s="28" t="s">
        <v>310</v>
      </c>
      <c r="F6" s="45" t="s">
        <v>307</v>
      </c>
      <c r="G6" s="22" t="s">
        <v>91</v>
      </c>
      <c r="H6" s="23">
        <v>250000</v>
      </c>
      <c r="I6" s="24"/>
      <c r="J6" s="23"/>
      <c r="K6" s="24"/>
      <c r="L6" s="24"/>
      <c r="M6" s="23"/>
      <c r="N6" s="24"/>
      <c r="O6" s="24"/>
      <c r="P6" s="24"/>
      <c r="Q6" s="24"/>
      <c r="R6" s="24"/>
      <c r="S6" s="24"/>
      <c r="T6" s="24"/>
      <c r="U6" s="16">
        <f t="shared" ref="U6:U7" si="3">+SUM(H6:T6)</f>
        <v>250000</v>
      </c>
      <c r="V6" s="23">
        <v>250000</v>
      </c>
      <c r="W6" s="17"/>
      <c r="X6" s="17"/>
      <c r="Y6" s="22">
        <f t="shared" si="0"/>
        <v>0</v>
      </c>
      <c r="Z6" s="25"/>
      <c r="AA6" s="29" t="s">
        <v>111</v>
      </c>
    </row>
    <row r="7" spans="1:31" customFormat="1" ht="31.2">
      <c r="A7" s="60"/>
      <c r="B7" s="17">
        <v>42068</v>
      </c>
      <c r="C7" s="18" t="s">
        <v>309</v>
      </c>
      <c r="D7" s="20"/>
      <c r="E7" s="28" t="s">
        <v>310</v>
      </c>
      <c r="F7" s="45" t="s">
        <v>308</v>
      </c>
      <c r="G7" s="22" t="s">
        <v>91</v>
      </c>
      <c r="H7" s="23">
        <v>250000</v>
      </c>
      <c r="I7" s="24"/>
      <c r="J7" s="23"/>
      <c r="K7" s="24"/>
      <c r="L7" s="24"/>
      <c r="M7" s="23"/>
      <c r="N7" s="24"/>
      <c r="O7" s="24"/>
      <c r="P7" s="24"/>
      <c r="Q7" s="24"/>
      <c r="R7" s="24"/>
      <c r="S7" s="24"/>
      <c r="T7" s="24"/>
      <c r="U7" s="16">
        <f t="shared" si="3"/>
        <v>250000</v>
      </c>
      <c r="V7" s="23">
        <v>250000</v>
      </c>
      <c r="W7" s="17"/>
      <c r="X7" s="17"/>
      <c r="Y7" s="22">
        <f t="shared" si="0"/>
        <v>0</v>
      </c>
      <c r="Z7" s="25"/>
      <c r="AA7" s="29" t="s">
        <v>111</v>
      </c>
    </row>
    <row r="8" spans="1:31" s="124" customFormat="1" ht="78">
      <c r="A8" s="27"/>
      <c r="B8" s="128">
        <v>42076</v>
      </c>
      <c r="C8" s="129" t="s">
        <v>309</v>
      </c>
      <c r="D8" s="62"/>
      <c r="E8" s="40" t="s">
        <v>310</v>
      </c>
      <c r="F8" s="21" t="s">
        <v>337</v>
      </c>
      <c r="G8" s="23" t="s">
        <v>91</v>
      </c>
      <c r="H8" s="23">
        <v>500000</v>
      </c>
      <c r="I8" s="123"/>
      <c r="J8" s="23"/>
      <c r="K8" s="23"/>
      <c r="L8" s="123"/>
      <c r="M8" s="123"/>
      <c r="N8" s="27"/>
      <c r="O8" s="27"/>
      <c r="P8" s="27"/>
      <c r="Q8" s="27"/>
      <c r="R8" s="27"/>
      <c r="S8" s="27"/>
      <c r="T8" s="24"/>
      <c r="U8" s="16">
        <f t="shared" ref="U8" si="4">+SUM(H8:T8)</f>
        <v>500000</v>
      </c>
      <c r="V8" s="23">
        <v>500000</v>
      </c>
      <c r="W8" s="17">
        <v>42076</v>
      </c>
      <c r="X8" s="17"/>
      <c r="Y8" s="22">
        <f t="shared" si="0"/>
        <v>0</v>
      </c>
      <c r="Z8" s="83"/>
    </row>
    <row r="9" spans="1:31" s="124" customFormat="1" ht="41.4">
      <c r="A9" s="27"/>
      <c r="B9" s="128">
        <v>42081</v>
      </c>
      <c r="C9" s="129" t="s">
        <v>364</v>
      </c>
      <c r="D9" s="62"/>
      <c r="E9" s="40" t="s">
        <v>310</v>
      </c>
      <c r="F9" s="21" t="s">
        <v>365</v>
      </c>
      <c r="G9" s="23" t="s">
        <v>91</v>
      </c>
      <c r="H9" s="23">
        <v>480000</v>
      </c>
      <c r="I9" s="123"/>
      <c r="J9" s="23"/>
      <c r="K9" s="23"/>
      <c r="L9" s="123"/>
      <c r="M9" s="123"/>
      <c r="N9" s="27"/>
      <c r="O9" s="27"/>
      <c r="P9" s="27"/>
      <c r="Q9" s="27"/>
      <c r="R9" s="27"/>
      <c r="S9" s="27"/>
      <c r="T9" s="24"/>
      <c r="U9" s="16">
        <f t="shared" ref="U9" si="5">+SUM(H9:T9)</f>
        <v>480000</v>
      </c>
      <c r="V9" s="23">
        <v>480000</v>
      </c>
      <c r="W9" s="17">
        <v>42081</v>
      </c>
      <c r="X9" s="17"/>
      <c r="Y9" s="22">
        <f t="shared" si="0"/>
        <v>0</v>
      </c>
      <c r="Z9" s="83"/>
    </row>
    <row r="10" spans="1:31" s="124" customFormat="1" ht="31.2">
      <c r="A10" s="27"/>
      <c r="B10" s="128">
        <v>42089</v>
      </c>
      <c r="C10" s="129" t="s">
        <v>402</v>
      </c>
      <c r="D10" s="62"/>
      <c r="E10" s="40" t="s">
        <v>96</v>
      </c>
      <c r="F10" s="21" t="s">
        <v>400</v>
      </c>
      <c r="G10" s="23" t="s">
        <v>140</v>
      </c>
      <c r="H10" s="23">
        <v>250000</v>
      </c>
      <c r="I10" s="123"/>
      <c r="J10" s="23">
        <v>1440000</v>
      </c>
      <c r="K10" s="24"/>
      <c r="L10" s="123"/>
      <c r="M10" s="123"/>
      <c r="N10" s="27"/>
      <c r="O10" s="27"/>
      <c r="P10" s="27"/>
      <c r="Q10" s="27"/>
      <c r="R10" s="27"/>
      <c r="S10" s="27"/>
      <c r="T10" s="24"/>
      <c r="U10" s="16">
        <f t="shared" ref="U10" si="6">+SUM(H10:T10)</f>
        <v>1690000</v>
      </c>
      <c r="V10" s="23"/>
      <c r="W10" s="17"/>
      <c r="X10" s="17"/>
      <c r="Y10" s="22">
        <f t="shared" si="0"/>
        <v>1690000</v>
      </c>
      <c r="Z10" s="83"/>
    </row>
    <row r="11" spans="1:31" s="124" customFormat="1" ht="31.2">
      <c r="A11" s="23"/>
      <c r="B11" s="128">
        <v>42110</v>
      </c>
      <c r="C11" s="129" t="s">
        <v>477</v>
      </c>
      <c r="D11" s="136"/>
      <c r="E11" s="40" t="s">
        <v>96</v>
      </c>
      <c r="F11" s="21" t="s">
        <v>479</v>
      </c>
      <c r="G11" s="23" t="s">
        <v>91</v>
      </c>
      <c r="H11" s="23">
        <v>480000</v>
      </c>
      <c r="I11" s="123"/>
      <c r="J11" s="23">
        <v>660000</v>
      </c>
      <c r="K11" s="24"/>
      <c r="L11" s="123"/>
      <c r="M11" s="123"/>
      <c r="N11" s="27"/>
      <c r="O11" s="27"/>
      <c r="P11" s="27"/>
      <c r="Q11" s="27"/>
      <c r="R11" s="27"/>
      <c r="S11" s="27"/>
      <c r="T11" s="24"/>
      <c r="U11" s="16">
        <f t="shared" ref="U11" si="7">+SUM(H11:T11)</f>
        <v>1140000</v>
      </c>
      <c r="V11" s="23">
        <v>1140000</v>
      </c>
      <c r="W11" s="17">
        <v>42110</v>
      </c>
      <c r="X11" s="17"/>
      <c r="Y11" s="22"/>
      <c r="Z11" s="83"/>
    </row>
    <row r="12" spans="1:31" s="124" customFormat="1" ht="46.8">
      <c r="A12" s="23"/>
      <c r="B12" s="128">
        <v>42111</v>
      </c>
      <c r="C12" s="129" t="s">
        <v>483</v>
      </c>
      <c r="D12" s="62" t="s">
        <v>484</v>
      </c>
      <c r="E12" s="40" t="s">
        <v>96</v>
      </c>
      <c r="F12" s="21" t="s">
        <v>485</v>
      </c>
      <c r="G12" s="23" t="s">
        <v>94</v>
      </c>
      <c r="H12" s="23">
        <v>250000</v>
      </c>
      <c r="I12" s="123"/>
      <c r="J12" s="23">
        <v>1440000</v>
      </c>
      <c r="K12" s="24"/>
      <c r="L12" s="123"/>
      <c r="M12" s="123"/>
      <c r="N12" s="27"/>
      <c r="O12" s="27"/>
      <c r="P12" s="27"/>
      <c r="Q12" s="27"/>
      <c r="R12" s="27"/>
      <c r="S12" s="27"/>
      <c r="T12" s="24">
        <v>169000</v>
      </c>
      <c r="U12" s="16">
        <f t="shared" ref="U12:U13" si="8">+SUM(H12:T12)</f>
        <v>1859000</v>
      </c>
      <c r="V12" s="23">
        <v>1859000</v>
      </c>
      <c r="W12" s="17">
        <v>42114</v>
      </c>
      <c r="X12" s="17" t="s">
        <v>489</v>
      </c>
      <c r="Y12" s="22">
        <f t="shared" ref="Y12:Y13" si="9">U12-V12</f>
        <v>0</v>
      </c>
      <c r="Z12" s="62" t="s">
        <v>494</v>
      </c>
    </row>
    <row r="13" spans="1:31" s="124" customFormat="1" ht="46.8">
      <c r="A13" s="27"/>
      <c r="B13" s="128">
        <v>42114</v>
      </c>
      <c r="C13" s="129" t="s">
        <v>491</v>
      </c>
      <c r="D13" s="62"/>
      <c r="E13" s="40" t="s">
        <v>310</v>
      </c>
      <c r="F13" s="21" t="s">
        <v>492</v>
      </c>
      <c r="G13" s="23" t="s">
        <v>91</v>
      </c>
      <c r="H13" s="23">
        <v>500000</v>
      </c>
      <c r="I13" s="123"/>
      <c r="J13" s="23"/>
      <c r="K13" s="24"/>
      <c r="L13" s="123"/>
      <c r="M13" s="123"/>
      <c r="N13" s="27"/>
      <c r="O13" s="27"/>
      <c r="P13" s="27"/>
      <c r="Q13" s="27"/>
      <c r="R13" s="27"/>
      <c r="S13" s="27"/>
      <c r="T13" s="24"/>
      <c r="U13" s="16">
        <f t="shared" si="8"/>
        <v>500000</v>
      </c>
      <c r="V13" s="23">
        <v>500000</v>
      </c>
      <c r="W13" s="17">
        <v>42114</v>
      </c>
      <c r="X13" s="17"/>
      <c r="Y13" s="22">
        <f t="shared" si="9"/>
        <v>0</v>
      </c>
      <c r="Z13" s="83"/>
    </row>
    <row r="14" spans="1:31" s="63" customFormat="1" ht="46.8">
      <c r="A14" s="23"/>
      <c r="B14" s="42">
        <v>42116</v>
      </c>
      <c r="C14" s="125" t="s">
        <v>514</v>
      </c>
      <c r="D14" s="20"/>
      <c r="E14" s="28" t="s">
        <v>96</v>
      </c>
      <c r="F14" s="21" t="s">
        <v>513</v>
      </c>
      <c r="G14" s="22" t="s">
        <v>94</v>
      </c>
      <c r="H14" s="23">
        <v>250000</v>
      </c>
      <c r="I14" s="121"/>
      <c r="J14" s="23">
        <v>1440000</v>
      </c>
      <c r="K14" s="24"/>
      <c r="L14" s="121"/>
      <c r="M14" s="121"/>
      <c r="N14" s="121"/>
      <c r="O14" s="121"/>
      <c r="P14" s="24"/>
      <c r="Q14" s="24"/>
      <c r="R14" s="121"/>
      <c r="S14" s="121"/>
      <c r="T14" s="24"/>
      <c r="U14" s="16"/>
      <c r="V14" s="23"/>
      <c r="W14" s="122"/>
      <c r="X14" s="17"/>
      <c r="Y14" s="22"/>
      <c r="Z14" s="33"/>
      <c r="AA14" s="158"/>
    </row>
    <row r="15" spans="1:31" customFormat="1" ht="31.2">
      <c r="A15" s="27"/>
      <c r="B15" s="17">
        <v>42128</v>
      </c>
      <c r="C15" s="125" t="s">
        <v>526</v>
      </c>
      <c r="D15" s="20"/>
      <c r="E15" s="28" t="s">
        <v>96</v>
      </c>
      <c r="F15" s="21" t="s">
        <v>527</v>
      </c>
      <c r="G15" s="22" t="s">
        <v>91</v>
      </c>
      <c r="H15" s="23">
        <v>250000</v>
      </c>
      <c r="I15" s="24"/>
      <c r="J15" s="23">
        <v>660000</v>
      </c>
      <c r="K15" s="24"/>
      <c r="L15" s="24"/>
      <c r="M15" s="23"/>
      <c r="N15" s="24"/>
      <c r="O15" s="24"/>
      <c r="P15" s="24"/>
      <c r="Q15" s="24"/>
      <c r="R15" s="24"/>
      <c r="S15" s="24"/>
      <c r="T15" s="24"/>
      <c r="U15" s="16">
        <f>+SUM(H15:T15)</f>
        <v>910000</v>
      </c>
      <c r="V15" s="23">
        <v>910000</v>
      </c>
      <c r="W15" s="17">
        <v>42128</v>
      </c>
      <c r="X15" s="17"/>
      <c r="Y15" s="22">
        <f>U15-V15</f>
        <v>0</v>
      </c>
      <c r="Z15" s="62"/>
      <c r="AA15" s="29"/>
    </row>
    <row r="16" spans="1:31" customFormat="1" ht="31.2">
      <c r="A16" s="27"/>
      <c r="B16" s="17">
        <v>42131</v>
      </c>
      <c r="C16" s="18" t="s">
        <v>532</v>
      </c>
      <c r="D16" s="20"/>
      <c r="E16" s="28" t="s">
        <v>310</v>
      </c>
      <c r="F16" s="21" t="s">
        <v>533</v>
      </c>
      <c r="G16" s="22" t="s">
        <v>91</v>
      </c>
      <c r="H16" s="23">
        <v>480000</v>
      </c>
      <c r="I16" s="57"/>
      <c r="J16" s="23"/>
      <c r="K16" s="24"/>
      <c r="L16" s="57"/>
      <c r="M16" s="57"/>
      <c r="N16" s="57"/>
      <c r="O16" s="57"/>
      <c r="P16" s="57"/>
      <c r="Q16" s="57"/>
      <c r="R16" s="76"/>
      <c r="S16" s="57"/>
      <c r="T16" s="24"/>
      <c r="U16" s="16">
        <f t="shared" ref="U16:U36" si="10">+SUM(H16:T16)</f>
        <v>480000</v>
      </c>
      <c r="V16" s="23">
        <v>480000</v>
      </c>
      <c r="W16" s="17">
        <v>42131</v>
      </c>
      <c r="X16" s="17"/>
      <c r="Y16" s="22">
        <f t="shared" ref="Y16:Y43" si="11">U16-V16</f>
        <v>0</v>
      </c>
      <c r="Z16" s="18"/>
    </row>
    <row r="17" spans="1:27" s="124" customFormat="1" ht="46.8">
      <c r="A17" s="27"/>
      <c r="B17" s="128">
        <v>42132</v>
      </c>
      <c r="C17" s="129" t="s">
        <v>535</v>
      </c>
      <c r="D17" s="62" t="s">
        <v>536</v>
      </c>
      <c r="E17" s="40" t="s">
        <v>538</v>
      </c>
      <c r="F17" s="21" t="s">
        <v>537</v>
      </c>
      <c r="G17" s="23" t="s">
        <v>94</v>
      </c>
      <c r="H17" s="23"/>
      <c r="I17" s="123"/>
      <c r="J17" s="23">
        <v>1320000</v>
      </c>
      <c r="K17" s="24"/>
      <c r="L17" s="123"/>
      <c r="M17" s="123"/>
      <c r="N17" s="27"/>
      <c r="O17" s="27"/>
      <c r="P17" s="27"/>
      <c r="Q17" s="27"/>
      <c r="R17" s="27"/>
      <c r="S17" s="27"/>
      <c r="T17" s="24">
        <v>132000</v>
      </c>
      <c r="U17" s="16">
        <f t="shared" si="10"/>
        <v>1452000</v>
      </c>
      <c r="V17" s="23">
        <v>1452000</v>
      </c>
      <c r="W17" s="17">
        <v>42132</v>
      </c>
      <c r="X17" s="17" t="s">
        <v>539</v>
      </c>
      <c r="Y17" s="22">
        <f t="shared" si="11"/>
        <v>0</v>
      </c>
      <c r="Z17" s="18"/>
    </row>
    <row r="18" spans="1:27" s="124" customFormat="1" ht="31.2">
      <c r="A18" s="23"/>
      <c r="B18" s="128">
        <v>42132</v>
      </c>
      <c r="C18" s="129" t="s">
        <v>540</v>
      </c>
      <c r="D18" s="62">
        <v>906668084</v>
      </c>
      <c r="E18" s="28" t="s">
        <v>96</v>
      </c>
      <c r="F18" s="21" t="s">
        <v>541</v>
      </c>
      <c r="G18" s="23" t="s">
        <v>94</v>
      </c>
      <c r="H18" s="23">
        <v>200000</v>
      </c>
      <c r="I18" s="123"/>
      <c r="J18" s="23">
        <v>1920000</v>
      </c>
      <c r="K18" s="24"/>
      <c r="L18" s="123"/>
      <c r="M18" s="123"/>
      <c r="N18" s="27"/>
      <c r="O18" s="27"/>
      <c r="P18" s="27"/>
      <c r="Q18" s="27"/>
      <c r="R18" s="27"/>
      <c r="S18" s="27"/>
      <c r="T18" s="24">
        <v>192000</v>
      </c>
      <c r="U18" s="16">
        <f t="shared" si="10"/>
        <v>2312000</v>
      </c>
      <c r="V18" s="23"/>
      <c r="W18" s="17"/>
      <c r="X18" s="17" t="s">
        <v>548</v>
      </c>
      <c r="Y18" s="22">
        <f t="shared" si="11"/>
        <v>2312000</v>
      </c>
      <c r="Z18" s="18"/>
    </row>
    <row r="19" spans="1:27" s="124" customFormat="1" ht="55.2">
      <c r="A19" s="27"/>
      <c r="B19" s="128">
        <v>42144</v>
      </c>
      <c r="C19" s="129" t="s">
        <v>601</v>
      </c>
      <c r="D19" s="62"/>
      <c r="E19" s="28" t="s">
        <v>600</v>
      </c>
      <c r="F19" s="21" t="s">
        <v>599</v>
      </c>
      <c r="G19" s="23" t="s">
        <v>602</v>
      </c>
      <c r="H19" s="23"/>
      <c r="I19" s="123"/>
      <c r="J19" s="23">
        <v>1440000</v>
      </c>
      <c r="K19" s="24"/>
      <c r="L19" s="123"/>
      <c r="M19" s="123"/>
      <c r="N19" s="27"/>
      <c r="O19" s="27"/>
      <c r="P19" s="27"/>
      <c r="Q19" s="27"/>
      <c r="R19" s="27"/>
      <c r="S19" s="27"/>
      <c r="T19" s="24"/>
      <c r="U19" s="16">
        <f t="shared" si="10"/>
        <v>1440000</v>
      </c>
      <c r="V19" s="23">
        <v>1440000</v>
      </c>
      <c r="W19" s="17">
        <v>42144</v>
      </c>
      <c r="X19" s="17"/>
      <c r="Y19" s="22">
        <f t="shared" si="11"/>
        <v>0</v>
      </c>
      <c r="Z19" s="18"/>
    </row>
    <row r="20" spans="1:27" s="124" customFormat="1" ht="46.8">
      <c r="A20" s="27"/>
      <c r="B20" s="128"/>
      <c r="C20" s="129" t="s">
        <v>611</v>
      </c>
      <c r="D20" s="62" t="s">
        <v>612</v>
      </c>
      <c r="E20" s="28" t="s">
        <v>134</v>
      </c>
      <c r="F20" s="21" t="s">
        <v>613</v>
      </c>
      <c r="G20" s="23" t="s">
        <v>94</v>
      </c>
      <c r="H20" s="23">
        <v>250000</v>
      </c>
      <c r="I20" s="123"/>
      <c r="J20" s="23">
        <v>660000</v>
      </c>
      <c r="K20" s="24"/>
      <c r="L20" s="123"/>
      <c r="M20" s="123"/>
      <c r="N20" s="27"/>
      <c r="O20" s="27"/>
      <c r="P20" s="27"/>
      <c r="Q20" s="27"/>
      <c r="R20" s="27"/>
      <c r="S20" s="27"/>
      <c r="T20" s="24"/>
      <c r="U20" s="16">
        <f t="shared" si="10"/>
        <v>910000</v>
      </c>
      <c r="V20" s="23">
        <v>910000</v>
      </c>
      <c r="W20" s="17">
        <v>42145</v>
      </c>
      <c r="X20" s="17"/>
      <c r="Y20" s="22">
        <f t="shared" si="11"/>
        <v>0</v>
      </c>
      <c r="Z20" s="82"/>
    </row>
    <row r="21" spans="1:27" customFormat="1" ht="46.8">
      <c r="A21" s="27"/>
      <c r="B21" s="17">
        <v>42159</v>
      </c>
      <c r="C21" s="125" t="s">
        <v>659</v>
      </c>
      <c r="D21" s="20">
        <v>838409861</v>
      </c>
      <c r="E21" s="28" t="s">
        <v>661</v>
      </c>
      <c r="F21" s="21" t="s">
        <v>660</v>
      </c>
      <c r="G21" s="22" t="s">
        <v>125</v>
      </c>
      <c r="H21" s="23">
        <v>250000</v>
      </c>
      <c r="I21" s="24"/>
      <c r="J21" s="23">
        <v>660000</v>
      </c>
      <c r="K21" s="24"/>
      <c r="L21" s="24"/>
      <c r="M21" s="23"/>
      <c r="N21" s="24"/>
      <c r="O21" s="24"/>
      <c r="P21" s="24"/>
      <c r="Q21" s="24"/>
      <c r="R21" s="24"/>
      <c r="S21" s="24"/>
      <c r="T21" s="24"/>
      <c r="U21" s="16">
        <f t="shared" si="10"/>
        <v>910000</v>
      </c>
      <c r="V21" s="23">
        <v>910000</v>
      </c>
      <c r="W21" s="17">
        <v>42159</v>
      </c>
      <c r="X21" s="17"/>
      <c r="Y21" s="22">
        <f t="shared" si="11"/>
        <v>0</v>
      </c>
      <c r="Z21" s="62"/>
      <c r="AA21" s="29"/>
    </row>
    <row r="22" spans="1:27" s="124" customFormat="1" ht="41.4">
      <c r="A22" s="64"/>
      <c r="B22" s="65">
        <v>42160</v>
      </c>
      <c r="C22" s="135" t="s">
        <v>666</v>
      </c>
      <c r="D22" s="77"/>
      <c r="E22" s="77" t="s">
        <v>667</v>
      </c>
      <c r="F22" s="68"/>
      <c r="G22" s="70" t="s">
        <v>62</v>
      </c>
      <c r="H22" s="70"/>
      <c r="I22" s="95"/>
      <c r="J22" s="70">
        <v>1920000</v>
      </c>
      <c r="K22" s="90"/>
      <c r="L22" s="95"/>
      <c r="M22" s="95"/>
      <c r="N22" s="64"/>
      <c r="O22" s="64"/>
      <c r="P22" s="64"/>
      <c r="Q22" s="64"/>
      <c r="R22" s="64"/>
      <c r="S22" s="64"/>
      <c r="T22" s="90">
        <v>192000</v>
      </c>
      <c r="U22" s="72">
        <f t="shared" si="10"/>
        <v>2112000</v>
      </c>
      <c r="V22" s="70"/>
      <c r="W22" s="65"/>
      <c r="X22" s="65" t="s">
        <v>668</v>
      </c>
      <c r="Y22" s="69">
        <f t="shared" si="11"/>
        <v>2112000</v>
      </c>
      <c r="Z22" s="66"/>
    </row>
    <row r="23" spans="1:27" s="124" customFormat="1" ht="31.2">
      <c r="A23" s="27"/>
      <c r="B23" s="128">
        <v>42163</v>
      </c>
      <c r="C23" s="129" t="s">
        <v>681</v>
      </c>
      <c r="D23" s="62"/>
      <c r="E23" s="40" t="s">
        <v>310</v>
      </c>
      <c r="F23" s="21" t="s">
        <v>680</v>
      </c>
      <c r="G23" s="23" t="s">
        <v>91</v>
      </c>
      <c r="H23" s="23">
        <v>480000</v>
      </c>
      <c r="I23" s="123"/>
      <c r="J23" s="23"/>
      <c r="K23" s="24"/>
      <c r="L23" s="123"/>
      <c r="M23" s="123"/>
      <c r="N23" s="27"/>
      <c r="O23" s="27"/>
      <c r="P23" s="27"/>
      <c r="Q23" s="27"/>
      <c r="R23" s="27"/>
      <c r="S23" s="27"/>
      <c r="T23" s="24"/>
      <c r="U23" s="16">
        <f t="shared" si="10"/>
        <v>480000</v>
      </c>
      <c r="V23" s="23">
        <v>480000</v>
      </c>
      <c r="W23" s="17">
        <v>42163</v>
      </c>
      <c r="X23" s="17"/>
      <c r="Y23" s="22">
        <f t="shared" si="11"/>
        <v>0</v>
      </c>
      <c r="Z23" s="18"/>
    </row>
    <row r="24" spans="1:27" s="124" customFormat="1" ht="31.2">
      <c r="A24" s="27"/>
      <c r="B24" s="128">
        <v>42163</v>
      </c>
      <c r="C24" s="129" t="s">
        <v>686</v>
      </c>
      <c r="D24" s="62"/>
      <c r="E24" s="40" t="s">
        <v>96</v>
      </c>
      <c r="F24" s="21" t="s">
        <v>684</v>
      </c>
      <c r="G24" s="23" t="s">
        <v>275</v>
      </c>
      <c r="H24" s="23">
        <v>250000</v>
      </c>
      <c r="I24" s="123"/>
      <c r="J24" s="23">
        <v>1440000</v>
      </c>
      <c r="K24" s="24"/>
      <c r="L24" s="123"/>
      <c r="M24" s="123"/>
      <c r="N24" s="27"/>
      <c r="O24" s="27"/>
      <c r="P24" s="27"/>
      <c r="Q24" s="27"/>
      <c r="R24" s="27"/>
      <c r="S24" s="27"/>
      <c r="T24" s="24"/>
      <c r="U24" s="16">
        <f t="shared" si="10"/>
        <v>1690000</v>
      </c>
      <c r="V24" s="23">
        <v>1690000</v>
      </c>
      <c r="W24" s="17">
        <v>42163</v>
      </c>
      <c r="X24" s="17"/>
      <c r="Y24" s="22">
        <f t="shared" si="11"/>
        <v>0</v>
      </c>
      <c r="Z24" s="18"/>
    </row>
    <row r="25" spans="1:27" s="124" customFormat="1" ht="46.8">
      <c r="A25" s="23"/>
      <c r="B25" s="128">
        <v>42163</v>
      </c>
      <c r="C25" s="160" t="s">
        <v>691</v>
      </c>
      <c r="D25" s="62"/>
      <c r="E25" s="40" t="s">
        <v>96</v>
      </c>
      <c r="F25" s="21" t="s">
        <v>482</v>
      </c>
      <c r="G25" s="23" t="s">
        <v>140</v>
      </c>
      <c r="H25" s="23">
        <v>250000</v>
      </c>
      <c r="I25" s="123"/>
      <c r="J25" s="23">
        <v>1440000</v>
      </c>
      <c r="K25" s="24"/>
      <c r="L25" s="123"/>
      <c r="M25" s="123"/>
      <c r="N25" s="27"/>
      <c r="O25" s="27"/>
      <c r="P25" s="27"/>
      <c r="Q25" s="27"/>
      <c r="R25" s="27"/>
      <c r="S25" s="27"/>
      <c r="T25" s="24">
        <v>169000</v>
      </c>
      <c r="U25" s="16">
        <f t="shared" si="10"/>
        <v>1859000</v>
      </c>
      <c r="V25" s="23">
        <v>1859000</v>
      </c>
      <c r="W25" s="17">
        <v>42163</v>
      </c>
      <c r="X25" s="17"/>
      <c r="Y25" s="22">
        <f t="shared" si="11"/>
        <v>0</v>
      </c>
      <c r="Z25" s="18"/>
    </row>
    <row r="26" spans="1:27" s="124" customFormat="1" ht="31.2">
      <c r="A26" s="23"/>
      <c r="B26" s="128">
        <v>42163</v>
      </c>
      <c r="C26" s="129" t="s">
        <v>692</v>
      </c>
      <c r="D26" s="62"/>
      <c r="E26" s="40" t="s">
        <v>600</v>
      </c>
      <c r="F26" s="21"/>
      <c r="G26" s="23" t="s">
        <v>91</v>
      </c>
      <c r="H26" s="23"/>
      <c r="I26" s="123"/>
      <c r="J26" s="23">
        <v>900000</v>
      </c>
      <c r="K26" s="24"/>
      <c r="L26" s="123"/>
      <c r="M26" s="123"/>
      <c r="N26" s="27"/>
      <c r="O26" s="27"/>
      <c r="P26" s="27"/>
      <c r="Q26" s="27"/>
      <c r="R26" s="27"/>
      <c r="S26" s="27"/>
      <c r="T26" s="24">
        <v>90000</v>
      </c>
      <c r="U26" s="16">
        <f t="shared" si="10"/>
        <v>990000</v>
      </c>
      <c r="V26" s="23">
        <v>990000</v>
      </c>
      <c r="W26" s="17">
        <v>42163</v>
      </c>
      <c r="X26" s="17"/>
      <c r="Y26" s="22">
        <f t="shared" si="11"/>
        <v>0</v>
      </c>
      <c r="Z26" s="18"/>
    </row>
    <row r="27" spans="1:27" s="124" customFormat="1" ht="46.8">
      <c r="A27" s="23" t="s">
        <v>708</v>
      </c>
      <c r="B27" s="42">
        <v>42170</v>
      </c>
      <c r="C27" s="129" t="s">
        <v>709</v>
      </c>
      <c r="D27" s="62" t="s">
        <v>710</v>
      </c>
      <c r="E27" s="28" t="s">
        <v>600</v>
      </c>
      <c r="F27" s="21" t="s">
        <v>711</v>
      </c>
      <c r="G27" s="23" t="s">
        <v>28</v>
      </c>
      <c r="H27" s="23"/>
      <c r="I27" s="123"/>
      <c r="J27" s="23">
        <v>1440000</v>
      </c>
      <c r="K27" s="24"/>
      <c r="L27" s="123"/>
      <c r="M27" s="123"/>
      <c r="N27" s="27"/>
      <c r="O27" s="27"/>
      <c r="P27" s="27"/>
      <c r="Q27" s="27"/>
      <c r="R27" s="27"/>
      <c r="S27" s="27"/>
      <c r="T27" s="24">
        <v>144000</v>
      </c>
      <c r="U27" s="16">
        <f t="shared" si="10"/>
        <v>1584000</v>
      </c>
      <c r="V27" s="23">
        <v>1584000</v>
      </c>
      <c r="W27" s="17">
        <v>42172</v>
      </c>
      <c r="X27" s="17" t="s">
        <v>716</v>
      </c>
      <c r="Y27" s="22">
        <f t="shared" si="11"/>
        <v>0</v>
      </c>
      <c r="Z27" s="82"/>
    </row>
    <row r="28" spans="1:27" s="63" customFormat="1" ht="41.4">
      <c r="A28" s="27" t="s">
        <v>712</v>
      </c>
      <c r="B28" s="42">
        <v>42170</v>
      </c>
      <c r="C28" s="125" t="s">
        <v>713</v>
      </c>
      <c r="D28" s="20" t="s">
        <v>714</v>
      </c>
      <c r="E28" s="40" t="s">
        <v>96</v>
      </c>
      <c r="F28" s="21" t="s">
        <v>715</v>
      </c>
      <c r="G28" s="23" t="s">
        <v>28</v>
      </c>
      <c r="H28" s="23">
        <v>250000</v>
      </c>
      <c r="I28" s="121"/>
      <c r="J28" s="23">
        <v>1440000</v>
      </c>
      <c r="K28" s="24"/>
      <c r="L28" s="121"/>
      <c r="M28" s="121"/>
      <c r="N28" s="121"/>
      <c r="O28" s="121"/>
      <c r="P28" s="24"/>
      <c r="Q28" s="24"/>
      <c r="R28" s="121"/>
      <c r="S28" s="121"/>
      <c r="T28" s="24">
        <v>169000</v>
      </c>
      <c r="U28" s="16">
        <f t="shared" si="10"/>
        <v>1859000</v>
      </c>
      <c r="V28" s="23">
        <v>1859000</v>
      </c>
      <c r="W28" s="122">
        <v>42177</v>
      </c>
      <c r="X28" s="17" t="s">
        <v>717</v>
      </c>
      <c r="Y28" s="22">
        <f t="shared" si="11"/>
        <v>0</v>
      </c>
      <c r="Z28" s="33"/>
      <c r="AA28" s="158"/>
    </row>
    <row r="29" spans="1:27" s="63" customFormat="1" ht="31.2">
      <c r="A29" s="27"/>
      <c r="B29" s="42">
        <v>42171</v>
      </c>
      <c r="C29" s="125" t="s">
        <v>731</v>
      </c>
      <c r="D29" s="174" t="s">
        <v>733</v>
      </c>
      <c r="E29" s="40" t="s">
        <v>96</v>
      </c>
      <c r="F29" s="21" t="s">
        <v>732</v>
      </c>
      <c r="G29" s="22" t="s">
        <v>602</v>
      </c>
      <c r="H29" s="23">
        <v>250000</v>
      </c>
      <c r="I29" s="121"/>
      <c r="J29" s="23">
        <v>660000</v>
      </c>
      <c r="K29" s="24"/>
      <c r="L29" s="121"/>
      <c r="M29" s="121"/>
      <c r="N29" s="121"/>
      <c r="O29" s="121"/>
      <c r="P29" s="24"/>
      <c r="Q29" s="24"/>
      <c r="R29" s="121"/>
      <c r="S29" s="121"/>
      <c r="T29" s="24"/>
      <c r="U29" s="16">
        <f t="shared" si="10"/>
        <v>910000</v>
      </c>
      <c r="V29" s="23">
        <v>910000</v>
      </c>
      <c r="W29" s="122">
        <v>42174</v>
      </c>
      <c r="X29" s="17"/>
      <c r="Y29" s="22">
        <f t="shared" si="11"/>
        <v>0</v>
      </c>
      <c r="Z29" s="33"/>
      <c r="AA29" s="158"/>
    </row>
    <row r="30" spans="1:27" customFormat="1" ht="78">
      <c r="A30" s="27"/>
      <c r="B30" s="42">
        <v>42180</v>
      </c>
      <c r="C30" s="125" t="s">
        <v>768</v>
      </c>
      <c r="D30" s="176" t="s">
        <v>770</v>
      </c>
      <c r="E30" s="40" t="s">
        <v>134</v>
      </c>
      <c r="F30" s="21" t="s">
        <v>769</v>
      </c>
      <c r="G30" s="22" t="s">
        <v>47</v>
      </c>
      <c r="H30" s="23">
        <v>500000</v>
      </c>
      <c r="I30" s="57"/>
      <c r="J30" s="23">
        <v>2880000</v>
      </c>
      <c r="K30" s="24"/>
      <c r="L30" s="57"/>
      <c r="M30" s="57"/>
      <c r="N30" s="57"/>
      <c r="O30" s="57"/>
      <c r="P30" s="57"/>
      <c r="Q30" s="57"/>
      <c r="R30" s="57"/>
      <c r="S30" s="57"/>
      <c r="T30" s="24"/>
      <c r="U30" s="16">
        <f t="shared" si="10"/>
        <v>3380000</v>
      </c>
      <c r="V30" s="23">
        <v>3380000</v>
      </c>
      <c r="W30" s="122">
        <v>42180</v>
      </c>
      <c r="X30" s="17"/>
      <c r="Y30" s="22">
        <f t="shared" si="11"/>
        <v>0</v>
      </c>
      <c r="Z30" s="57"/>
    </row>
    <row r="31" spans="1:27" customFormat="1" ht="62.4">
      <c r="A31" s="23" t="s">
        <v>786</v>
      </c>
      <c r="B31" s="42">
        <v>42180</v>
      </c>
      <c r="C31" s="125" t="s">
        <v>784</v>
      </c>
      <c r="D31" s="177" t="s">
        <v>785</v>
      </c>
      <c r="E31" s="40" t="s">
        <v>134</v>
      </c>
      <c r="F31" s="21" t="s">
        <v>787</v>
      </c>
      <c r="G31" s="22" t="s">
        <v>140</v>
      </c>
      <c r="H31" s="23">
        <v>250000</v>
      </c>
      <c r="I31" s="57"/>
      <c r="J31" s="23">
        <v>1080000</v>
      </c>
      <c r="K31" s="24"/>
      <c r="L31" s="57"/>
      <c r="M31" s="57"/>
      <c r="N31" s="57"/>
      <c r="O31" s="57"/>
      <c r="P31" s="57"/>
      <c r="Q31" s="57"/>
      <c r="R31" s="57"/>
      <c r="S31" s="57"/>
      <c r="T31" s="24">
        <v>133000</v>
      </c>
      <c r="U31" s="16">
        <f t="shared" si="10"/>
        <v>1463000</v>
      </c>
      <c r="V31" s="23">
        <v>1463000</v>
      </c>
      <c r="W31" s="122">
        <v>42180</v>
      </c>
      <c r="X31" s="81" t="s">
        <v>803</v>
      </c>
      <c r="Y31" s="22">
        <f t="shared" si="11"/>
        <v>0</v>
      </c>
      <c r="Z31" s="57"/>
    </row>
    <row r="32" spans="1:27" customFormat="1" ht="46.8">
      <c r="A32" s="27"/>
      <c r="B32" s="42">
        <v>42182</v>
      </c>
      <c r="C32" s="125" t="s">
        <v>798</v>
      </c>
      <c r="D32" s="177">
        <v>919678322</v>
      </c>
      <c r="E32" s="40" t="s">
        <v>134</v>
      </c>
      <c r="F32" s="21" t="s">
        <v>799</v>
      </c>
      <c r="G32" s="22" t="s">
        <v>94</v>
      </c>
      <c r="H32" s="23">
        <v>480000</v>
      </c>
      <c r="I32" s="57"/>
      <c r="J32" s="23">
        <v>1440000</v>
      </c>
      <c r="K32" s="24"/>
      <c r="L32" s="57"/>
      <c r="M32" s="57"/>
      <c r="N32" s="57"/>
      <c r="O32" s="57"/>
      <c r="P32" s="57"/>
      <c r="Q32" s="57"/>
      <c r="R32" s="57"/>
      <c r="S32" s="57"/>
      <c r="T32" s="24">
        <v>144000</v>
      </c>
      <c r="U32" s="16">
        <f t="shared" si="10"/>
        <v>2064000</v>
      </c>
      <c r="V32" s="23">
        <v>2064000</v>
      </c>
      <c r="W32" s="122">
        <v>42184</v>
      </c>
      <c r="X32" s="17" t="s">
        <v>800</v>
      </c>
      <c r="Y32" s="22">
        <f t="shared" si="11"/>
        <v>0</v>
      </c>
      <c r="Z32" s="57"/>
    </row>
    <row r="33" spans="1:27" customFormat="1" ht="46.8">
      <c r="A33" s="27" t="s">
        <v>812</v>
      </c>
      <c r="B33" s="42"/>
      <c r="C33" s="125" t="s">
        <v>806</v>
      </c>
      <c r="D33" s="52" t="s">
        <v>807</v>
      </c>
      <c r="E33" s="40" t="s">
        <v>134</v>
      </c>
      <c r="F33" s="21" t="s">
        <v>808</v>
      </c>
      <c r="G33" s="22" t="s">
        <v>28</v>
      </c>
      <c r="H33" s="23">
        <v>480000</v>
      </c>
      <c r="I33" s="57"/>
      <c r="J33" s="23">
        <v>1440000</v>
      </c>
      <c r="K33" s="24"/>
      <c r="L33" s="57"/>
      <c r="M33" s="57"/>
      <c r="N33" s="57"/>
      <c r="O33" s="57"/>
      <c r="P33" s="57"/>
      <c r="Q33" s="57"/>
      <c r="R33" s="57"/>
      <c r="S33" s="57"/>
      <c r="T33" s="24">
        <v>144000</v>
      </c>
      <c r="U33" s="16">
        <f t="shared" si="10"/>
        <v>2064000</v>
      </c>
      <c r="V33" s="23"/>
      <c r="W33" s="122"/>
      <c r="X33" s="17" t="s">
        <v>809</v>
      </c>
      <c r="Y33" s="22">
        <f t="shared" si="11"/>
        <v>2064000</v>
      </c>
      <c r="Z33" s="57"/>
    </row>
    <row r="34" spans="1:27" customFormat="1" ht="41.4">
      <c r="A34" s="23" t="s">
        <v>811</v>
      </c>
      <c r="B34" s="42"/>
      <c r="C34" s="125" t="s">
        <v>810</v>
      </c>
      <c r="D34" s="52" t="s">
        <v>813</v>
      </c>
      <c r="E34" s="40" t="s">
        <v>600</v>
      </c>
      <c r="F34" s="21" t="s">
        <v>814</v>
      </c>
      <c r="G34" s="22" t="s">
        <v>28</v>
      </c>
      <c r="H34" s="23"/>
      <c r="I34" s="57"/>
      <c r="J34" s="23">
        <f>900000*2</f>
        <v>1800000</v>
      </c>
      <c r="K34" s="24"/>
      <c r="L34" s="57"/>
      <c r="M34" s="57"/>
      <c r="N34" s="57"/>
      <c r="O34" s="57"/>
      <c r="P34" s="57"/>
      <c r="Q34" s="57"/>
      <c r="R34" s="57"/>
      <c r="S34" s="57"/>
      <c r="T34" s="24"/>
      <c r="U34" s="16">
        <f t="shared" si="10"/>
        <v>1800000</v>
      </c>
      <c r="V34" s="23">
        <v>1800000</v>
      </c>
      <c r="W34" s="122">
        <v>42185</v>
      </c>
      <c r="X34" s="17"/>
      <c r="Y34" s="22">
        <f t="shared" si="11"/>
        <v>0</v>
      </c>
      <c r="Z34" s="57"/>
    </row>
    <row r="35" spans="1:27" customFormat="1" ht="46.8">
      <c r="A35" s="23" t="s">
        <v>816</v>
      </c>
      <c r="B35" s="42">
        <v>42185</v>
      </c>
      <c r="C35" s="18" t="s">
        <v>815</v>
      </c>
      <c r="D35" s="52" t="s">
        <v>817</v>
      </c>
      <c r="E35" s="40" t="s">
        <v>600</v>
      </c>
      <c r="F35" s="21" t="s">
        <v>818</v>
      </c>
      <c r="G35" s="22" t="s">
        <v>28</v>
      </c>
      <c r="H35" s="23"/>
      <c r="I35" s="57"/>
      <c r="J35" s="23">
        <v>1440000</v>
      </c>
      <c r="K35" s="24"/>
      <c r="L35" s="57"/>
      <c r="M35" s="57"/>
      <c r="N35" s="57"/>
      <c r="O35" s="57"/>
      <c r="P35" s="57"/>
      <c r="Q35" s="57"/>
      <c r="R35" s="57"/>
      <c r="S35" s="57"/>
      <c r="T35" s="24"/>
      <c r="U35" s="16">
        <f t="shared" si="10"/>
        <v>1440000</v>
      </c>
      <c r="V35" s="23">
        <v>1440000</v>
      </c>
      <c r="W35" s="122">
        <v>42185</v>
      </c>
      <c r="X35" s="57"/>
      <c r="Y35" s="22">
        <f t="shared" si="11"/>
        <v>0</v>
      </c>
      <c r="Z35" s="57"/>
    </row>
    <row r="36" spans="1:27" customFormat="1" ht="31.2">
      <c r="A36" s="27"/>
      <c r="B36" s="17">
        <v>42185</v>
      </c>
      <c r="C36" s="18" t="s">
        <v>956</v>
      </c>
      <c r="D36" s="20"/>
      <c r="E36" s="40" t="s">
        <v>310</v>
      </c>
      <c r="F36" s="21" t="s">
        <v>825</v>
      </c>
      <c r="G36" s="22"/>
      <c r="H36" s="23">
        <v>250000</v>
      </c>
      <c r="I36" s="57"/>
      <c r="J36" s="23"/>
      <c r="K36" s="24"/>
      <c r="L36" s="57"/>
      <c r="M36" s="57"/>
      <c r="N36" s="57"/>
      <c r="O36" s="57"/>
      <c r="P36" s="57"/>
      <c r="Q36" s="57"/>
      <c r="R36" s="57"/>
      <c r="S36" s="57"/>
      <c r="T36" s="24"/>
      <c r="U36" s="16">
        <f t="shared" si="10"/>
        <v>250000</v>
      </c>
      <c r="V36" s="57"/>
      <c r="W36" s="57"/>
      <c r="X36" s="57"/>
      <c r="Y36" s="22">
        <f t="shared" si="11"/>
        <v>250000</v>
      </c>
      <c r="Z36" s="57"/>
    </row>
    <row r="37" spans="1:27" s="124" customFormat="1" ht="46.8">
      <c r="A37" s="27"/>
      <c r="B37" s="42"/>
      <c r="C37" s="129" t="s">
        <v>949</v>
      </c>
      <c r="D37" s="62"/>
      <c r="E37" s="28" t="s">
        <v>950</v>
      </c>
      <c r="F37" s="21" t="s">
        <v>951</v>
      </c>
      <c r="G37" s="23" t="s">
        <v>953</v>
      </c>
      <c r="H37" s="23">
        <v>200000</v>
      </c>
      <c r="I37" s="123"/>
      <c r="J37" s="23">
        <v>900000</v>
      </c>
      <c r="K37" s="24"/>
      <c r="L37" s="123"/>
      <c r="M37" s="123"/>
      <c r="N37" s="27"/>
      <c r="O37" s="27"/>
      <c r="P37" s="27"/>
      <c r="Q37" s="27"/>
      <c r="R37" s="27"/>
      <c r="S37" s="27"/>
      <c r="T37" s="24">
        <v>90000</v>
      </c>
      <c r="U37" s="16">
        <f t="shared" ref="U37" si="12">+SUM(H37:T37)</f>
        <v>1190000</v>
      </c>
      <c r="V37" s="23">
        <v>1190000</v>
      </c>
      <c r="W37" s="17"/>
      <c r="X37" s="17" t="s">
        <v>952</v>
      </c>
      <c r="Y37" s="22">
        <f t="shared" si="11"/>
        <v>0</v>
      </c>
      <c r="Z37" s="82"/>
    </row>
    <row r="38" spans="1:27" s="124" customFormat="1" ht="41.4">
      <c r="A38" s="27"/>
      <c r="B38" s="128">
        <v>42193</v>
      </c>
      <c r="C38" s="129" t="s">
        <v>848</v>
      </c>
      <c r="D38" s="186" t="s">
        <v>849</v>
      </c>
      <c r="E38" s="28" t="s">
        <v>96</v>
      </c>
      <c r="F38" s="184" t="s">
        <v>850</v>
      </c>
      <c r="G38" s="38" t="s">
        <v>851</v>
      </c>
      <c r="H38" s="23">
        <v>200000</v>
      </c>
      <c r="I38" s="123"/>
      <c r="J38" s="23">
        <v>1440000</v>
      </c>
      <c r="K38" s="24"/>
      <c r="L38" s="123"/>
      <c r="M38" s="123"/>
      <c r="N38" s="27"/>
      <c r="O38" s="27"/>
      <c r="P38" s="27"/>
      <c r="Q38" s="27"/>
      <c r="R38" s="27"/>
      <c r="S38" s="27"/>
      <c r="T38" s="24"/>
      <c r="U38" s="16">
        <f t="shared" ref="U38:U41" si="13">+SUM(H38:T38)</f>
        <v>1640000</v>
      </c>
      <c r="V38" s="23">
        <v>1640000</v>
      </c>
      <c r="W38" s="17">
        <v>42193</v>
      </c>
      <c r="X38" s="17"/>
      <c r="Y38" s="22">
        <f t="shared" si="11"/>
        <v>0</v>
      </c>
      <c r="Z38" s="18"/>
    </row>
    <row r="39" spans="1:27" s="124" customFormat="1" ht="31.2">
      <c r="A39" s="23" t="s">
        <v>880</v>
      </c>
      <c r="B39" s="128">
        <v>42200</v>
      </c>
      <c r="C39" s="129" t="s">
        <v>877</v>
      </c>
      <c r="D39" s="136" t="s">
        <v>878</v>
      </c>
      <c r="E39" s="40" t="s">
        <v>96</v>
      </c>
      <c r="F39" s="21" t="s">
        <v>879</v>
      </c>
      <c r="G39" s="23" t="s">
        <v>275</v>
      </c>
      <c r="H39" s="23">
        <v>250000</v>
      </c>
      <c r="I39" s="123"/>
      <c r="J39" s="23">
        <v>828000</v>
      </c>
      <c r="K39" s="24"/>
      <c r="L39" s="123"/>
      <c r="M39" s="123"/>
      <c r="N39" s="27"/>
      <c r="O39" s="27"/>
      <c r="P39" s="27"/>
      <c r="Q39" s="27"/>
      <c r="R39" s="27"/>
      <c r="S39" s="27"/>
      <c r="T39" s="24"/>
      <c r="U39" s="16">
        <f t="shared" si="13"/>
        <v>1078000</v>
      </c>
      <c r="V39" s="23">
        <v>1078000</v>
      </c>
      <c r="W39" s="17">
        <v>42201</v>
      </c>
      <c r="X39" s="17"/>
      <c r="Y39" s="22">
        <f t="shared" si="11"/>
        <v>0</v>
      </c>
      <c r="Z39" s="18"/>
    </row>
    <row r="40" spans="1:27" s="63" customFormat="1" ht="31.2">
      <c r="A40" s="23"/>
      <c r="B40" s="42">
        <v>42201</v>
      </c>
      <c r="C40" s="125"/>
      <c r="D40" s="52"/>
      <c r="E40" s="40" t="s">
        <v>310</v>
      </c>
      <c r="F40" s="184" t="s">
        <v>883</v>
      </c>
      <c r="G40" s="22" t="s">
        <v>47</v>
      </c>
      <c r="H40" s="23">
        <v>350000</v>
      </c>
      <c r="I40" s="121"/>
      <c r="J40" s="23"/>
      <c r="K40" s="24"/>
      <c r="L40" s="121"/>
      <c r="M40" s="121"/>
      <c r="N40" s="121"/>
      <c r="O40" s="121"/>
      <c r="P40" s="24"/>
      <c r="Q40" s="24"/>
      <c r="R40" s="121"/>
      <c r="S40" s="121"/>
      <c r="T40" s="24"/>
      <c r="U40" s="16">
        <f t="shared" si="13"/>
        <v>350000</v>
      </c>
      <c r="V40" s="23">
        <v>350000</v>
      </c>
      <c r="W40" s="122">
        <v>42201</v>
      </c>
      <c r="X40" s="17"/>
      <c r="Y40" s="22">
        <f t="shared" si="11"/>
        <v>0</v>
      </c>
      <c r="Z40" s="33"/>
      <c r="AA40" s="158"/>
    </row>
    <row r="41" spans="1:27" s="63" customFormat="1" ht="31.2">
      <c r="A41" s="23"/>
      <c r="B41" s="42">
        <v>42202</v>
      </c>
      <c r="C41" s="125" t="s">
        <v>895</v>
      </c>
      <c r="D41" s="20"/>
      <c r="E41" s="40" t="s">
        <v>96</v>
      </c>
      <c r="F41" s="21" t="s">
        <v>924</v>
      </c>
      <c r="G41" s="22" t="s">
        <v>140</v>
      </c>
      <c r="H41" s="23">
        <v>250000</v>
      </c>
      <c r="I41" s="23"/>
      <c r="J41" s="23">
        <v>1080000</v>
      </c>
      <c r="K41" s="24"/>
      <c r="L41" s="121"/>
      <c r="M41" s="121"/>
      <c r="N41" s="121"/>
      <c r="O41" s="121"/>
      <c r="P41" s="24"/>
      <c r="Q41" s="24"/>
      <c r="R41" s="121"/>
      <c r="S41" s="121"/>
      <c r="T41" s="24"/>
      <c r="U41" s="16">
        <f t="shared" si="13"/>
        <v>1330000</v>
      </c>
      <c r="V41" s="23">
        <v>1330000</v>
      </c>
      <c r="W41" s="122">
        <v>42202</v>
      </c>
      <c r="X41" s="17"/>
      <c r="Y41" s="22">
        <f t="shared" si="11"/>
        <v>0</v>
      </c>
      <c r="Z41" s="33"/>
      <c r="AA41" s="158"/>
    </row>
    <row r="42" spans="1:27" s="63" customFormat="1" ht="46.8">
      <c r="A42" s="27" t="s">
        <v>961</v>
      </c>
      <c r="B42" s="42">
        <v>42205</v>
      </c>
      <c r="C42" s="125" t="s">
        <v>962</v>
      </c>
      <c r="D42" s="52" t="s">
        <v>963</v>
      </c>
      <c r="E42" s="40" t="s">
        <v>950</v>
      </c>
      <c r="F42" s="21" t="s">
        <v>964</v>
      </c>
      <c r="G42" s="22" t="s">
        <v>62</v>
      </c>
      <c r="H42" s="23">
        <v>253000</v>
      </c>
      <c r="I42" s="121"/>
      <c r="J42" s="23">
        <v>1620000</v>
      </c>
      <c r="K42" s="24"/>
      <c r="L42" s="121"/>
      <c r="M42" s="121"/>
      <c r="N42" s="121"/>
      <c r="O42" s="121"/>
      <c r="P42" s="24"/>
      <c r="Q42" s="24"/>
      <c r="R42" s="121"/>
      <c r="S42" s="121"/>
      <c r="T42" s="24">
        <v>187300</v>
      </c>
      <c r="U42" s="16">
        <f t="shared" ref="U42" si="14">+SUM(H42:T42)</f>
        <v>2060300</v>
      </c>
      <c r="V42" s="23"/>
      <c r="W42" s="122"/>
      <c r="X42" s="17"/>
      <c r="Y42" s="22">
        <f t="shared" si="11"/>
        <v>2060300</v>
      </c>
      <c r="Z42" s="33"/>
      <c r="AA42" s="158"/>
    </row>
    <row r="43" spans="1:27" customFormat="1" ht="41.4">
      <c r="A43" s="23"/>
      <c r="B43" s="42">
        <v>42214</v>
      </c>
      <c r="C43" s="125" t="s">
        <v>993</v>
      </c>
      <c r="D43" s="20"/>
      <c r="E43" s="40" t="s">
        <v>310</v>
      </c>
      <c r="F43" s="21" t="s">
        <v>994</v>
      </c>
      <c r="G43" s="22"/>
      <c r="H43" s="23">
        <v>480000</v>
      </c>
      <c r="I43" s="57"/>
      <c r="J43" s="23"/>
      <c r="K43" s="24"/>
      <c r="L43" s="57"/>
      <c r="M43" s="57"/>
      <c r="N43" s="57"/>
      <c r="O43" s="57"/>
      <c r="P43" s="57"/>
      <c r="Q43" s="57"/>
      <c r="R43" s="57"/>
      <c r="S43" s="57"/>
      <c r="T43" s="24"/>
      <c r="U43" s="16">
        <f t="shared" ref="U43" si="15">+SUM(H43:T43)</f>
        <v>480000</v>
      </c>
      <c r="V43" s="23">
        <v>480000</v>
      </c>
      <c r="W43" s="122">
        <v>42215</v>
      </c>
      <c r="X43" s="17" t="s">
        <v>995</v>
      </c>
      <c r="Y43" s="22">
        <f t="shared" si="11"/>
        <v>0</v>
      </c>
      <c r="Z43" s="57" t="s">
        <v>1002</v>
      </c>
    </row>
    <row r="44" spans="1:27" ht="15.6">
      <c r="A44" s="27"/>
      <c r="B44" s="17"/>
      <c r="C44" s="18"/>
      <c r="D44" s="20"/>
      <c r="E44" s="28"/>
      <c r="F44" s="21"/>
      <c r="G44" s="22"/>
      <c r="H44" s="23"/>
      <c r="I44" s="24"/>
      <c r="J44" s="23"/>
      <c r="K44" s="24"/>
      <c r="L44" s="24"/>
      <c r="M44" s="23"/>
      <c r="N44" s="24"/>
      <c r="O44" s="24"/>
      <c r="P44" s="24"/>
      <c r="Q44" s="24"/>
      <c r="R44" s="24"/>
      <c r="S44" s="24"/>
      <c r="T44" s="24"/>
      <c r="U44" s="16"/>
      <c r="V44" s="23"/>
      <c r="W44" s="17"/>
      <c r="X44" s="17"/>
      <c r="Y44" s="22"/>
      <c r="Z44" s="25"/>
      <c r="AA44" s="29"/>
    </row>
    <row r="45" spans="1:27" ht="15.6">
      <c r="A45" s="27"/>
      <c r="B45" s="17"/>
      <c r="C45" s="18"/>
      <c r="D45" s="20"/>
      <c r="E45" s="28"/>
      <c r="F45" s="21"/>
      <c r="G45" s="22"/>
      <c r="H45" s="23"/>
      <c r="I45" s="24"/>
      <c r="J45" s="23"/>
      <c r="K45" s="24"/>
      <c r="L45" s="24"/>
      <c r="M45" s="23"/>
      <c r="N45" s="24"/>
      <c r="O45" s="24"/>
      <c r="P45" s="24"/>
      <c r="Q45" s="24"/>
      <c r="R45" s="24"/>
      <c r="S45" s="24"/>
      <c r="T45" s="24"/>
      <c r="U45" s="16"/>
      <c r="V45" s="23"/>
      <c r="W45" s="17"/>
      <c r="X45" s="17"/>
      <c r="Y45" s="22"/>
      <c r="Z45" s="25"/>
      <c r="AA45" s="29"/>
    </row>
    <row r="46" spans="1:27" ht="15.6">
      <c r="A46" s="27"/>
      <c r="B46" s="17"/>
      <c r="C46" s="18"/>
      <c r="D46" s="20"/>
      <c r="E46" s="28"/>
      <c r="F46" s="21"/>
      <c r="G46" s="22"/>
      <c r="H46" s="23"/>
      <c r="I46" s="24"/>
      <c r="J46" s="23"/>
      <c r="K46" s="24"/>
      <c r="L46" s="24"/>
      <c r="M46" s="23"/>
      <c r="N46" s="24"/>
      <c r="O46" s="24"/>
      <c r="P46" s="24"/>
      <c r="Q46" s="24"/>
      <c r="R46" s="24"/>
      <c r="S46" s="24"/>
      <c r="T46" s="24"/>
      <c r="U46" s="16"/>
      <c r="V46" s="23"/>
      <c r="W46" s="17"/>
      <c r="X46" s="17"/>
      <c r="Y46" s="22"/>
      <c r="Z46" s="25"/>
      <c r="AA46" s="29"/>
    </row>
  </sheetData>
  <mergeCells count="15">
    <mergeCell ref="X1:X2"/>
    <mergeCell ref="Y1:Y2"/>
    <mergeCell ref="Z1:Z2"/>
    <mergeCell ref="H1:R1"/>
    <mergeCell ref="S1:S2"/>
    <mergeCell ref="T1:T2"/>
    <mergeCell ref="U1:U2"/>
    <mergeCell ref="V1:V2"/>
    <mergeCell ref="W1:W2"/>
    <mergeCell ref="G1:G2"/>
    <mergeCell ref="A1:A2"/>
    <mergeCell ref="B1:B2"/>
    <mergeCell ref="C1:C2"/>
    <mergeCell ref="E1:E2"/>
    <mergeCell ref="F1:F2"/>
  </mergeCells>
  <conditionalFormatting sqref="E31 E3:E26">
    <cfRule type="containsText" dxfId="157" priority="220" stopIfTrue="1" operator="containsText" text="Gia hạn">
      <formula>NOT(ISERROR(SEARCH("Gia hạn",E3)))</formula>
    </cfRule>
    <cfRule type="cellIs" dxfId="156" priority="221" stopIfTrue="1" operator="equal">
      <formula>"Gia hạn"</formula>
    </cfRule>
  </conditionalFormatting>
  <conditionalFormatting sqref="E31">
    <cfRule type="containsText" dxfId="155" priority="219" stopIfTrue="1" operator="containsText" text="Gia hạn tên miền, hosting">
      <formula>NOT(ISERROR(SEARCH("Gia hạn tên miền, hosting",E31)))</formula>
    </cfRule>
  </conditionalFormatting>
  <conditionalFormatting sqref="E1:E65536">
    <cfRule type="containsText" dxfId="154" priority="217" stopIfTrue="1" operator="containsText" text="Gia hạn ">
      <formula>NOT(ISERROR(SEARCH("Gia hạn ",E1)))</formula>
    </cfRule>
    <cfRule type="containsText" dxfId="153" priority="218" stopIfTrue="1" operator="containsText" text="Gia hạn domain, hosting">
      <formula>NOT(ISERROR(SEARCH("Gia hạn domain, hosting",E1)))</formula>
    </cfRule>
  </conditionalFormatting>
  <conditionalFormatting sqref="F35">
    <cfRule type="containsText" dxfId="152" priority="214" stopIfTrue="1" operator="containsText" text="Gia hạn">
      <formula>NOT(ISERROR(SEARCH("Gia hạn",F35)))</formula>
    </cfRule>
    <cfRule type="cellIs" dxfId="151" priority="215" stopIfTrue="1" operator="equal">
      <formula>"Gia hạn"</formula>
    </cfRule>
  </conditionalFormatting>
  <conditionalFormatting sqref="E35">
    <cfRule type="containsText" dxfId="150" priority="212" stopIfTrue="1" operator="containsText" text="Gia hạn">
      <formula>NOT(ISERROR(SEARCH("Gia hạn",E35)))</formula>
    </cfRule>
    <cfRule type="cellIs" dxfId="149" priority="213" stopIfTrue="1" operator="equal">
      <formula>"Gia hạn"</formula>
    </cfRule>
  </conditionalFormatting>
  <conditionalFormatting sqref="E36">
    <cfRule type="containsText" dxfId="148" priority="210" stopIfTrue="1" operator="containsText" text="Gia hạn">
      <formula>NOT(ISERROR(SEARCH("Gia hạn",E36)))</formula>
    </cfRule>
    <cfRule type="cellIs" dxfId="147" priority="211" stopIfTrue="1" operator="equal">
      <formula>"Gia hạn"</formula>
    </cfRule>
  </conditionalFormatting>
  <conditionalFormatting sqref="E37">
    <cfRule type="containsText" dxfId="146" priority="208" stopIfTrue="1" operator="containsText" text="Gia hạn">
      <formula>NOT(ISERROR(SEARCH("Gia hạn",E37)))</formula>
    </cfRule>
    <cfRule type="cellIs" dxfId="145" priority="209" stopIfTrue="1" operator="equal">
      <formula>"Gia hạn"</formula>
    </cfRule>
  </conditionalFormatting>
  <conditionalFormatting sqref="E38:E39">
    <cfRule type="containsText" dxfId="144" priority="206" stopIfTrue="1" operator="containsText" text="Gia hạn">
      <formula>NOT(ISERROR(SEARCH("Gia hạn",E38)))</formula>
    </cfRule>
    <cfRule type="cellIs" dxfId="143" priority="207" stopIfTrue="1" operator="equal">
      <formula>"Gia hạn"</formula>
    </cfRule>
  </conditionalFormatting>
  <conditionalFormatting sqref="E38:E39">
    <cfRule type="containsText" dxfId="142" priority="205" stopIfTrue="1" operator="containsText" text="Gia hạn tên miền, hosting">
      <formula>NOT(ISERROR(SEARCH("Gia hạn tên miền, hosting",E38)))</formula>
    </cfRule>
  </conditionalFormatting>
  <conditionalFormatting sqref="E40">
    <cfRule type="containsText" dxfId="141" priority="203" stopIfTrue="1" operator="containsText" text="Gia hạn">
      <formula>NOT(ISERROR(SEARCH("Gia hạn",E40)))</formula>
    </cfRule>
    <cfRule type="cellIs" dxfId="140" priority="204" stopIfTrue="1" operator="equal">
      <formula>"Gia hạn"</formula>
    </cfRule>
  </conditionalFormatting>
  <conditionalFormatting sqref="G40 G3:G26">
    <cfRule type="containsText" dxfId="139" priority="202" stopIfTrue="1" operator="containsText" text="THV">
      <formula>NOT(ISERROR(SEARCH("THV",G3)))</formula>
    </cfRule>
  </conditionalFormatting>
  <conditionalFormatting sqref="E41">
    <cfRule type="containsText" dxfId="138" priority="200" stopIfTrue="1" operator="containsText" text="Gia hạn">
      <formula>NOT(ISERROR(SEARCH("Gia hạn",E41)))</formula>
    </cfRule>
    <cfRule type="cellIs" dxfId="137" priority="201" stopIfTrue="1" operator="equal">
      <formula>"Gia hạn"</formula>
    </cfRule>
  </conditionalFormatting>
  <conditionalFormatting sqref="G41">
    <cfRule type="containsText" dxfId="136" priority="199" stopIfTrue="1" operator="containsText" text="THV">
      <formula>NOT(ISERROR(SEARCH("THV",G41)))</formula>
    </cfRule>
  </conditionalFormatting>
  <conditionalFormatting sqref="E42">
    <cfRule type="containsText" dxfId="135" priority="197" stopIfTrue="1" operator="containsText" text="Gia hạn">
      <formula>NOT(ISERROR(SEARCH("Gia hạn",E42)))</formula>
    </cfRule>
    <cfRule type="cellIs" dxfId="134" priority="198" stopIfTrue="1" operator="equal">
      <formula>"Gia hạn"</formula>
    </cfRule>
  </conditionalFormatting>
  <conditionalFormatting sqref="G42">
    <cfRule type="containsText" dxfId="133" priority="196" stopIfTrue="1" operator="containsText" text="THV">
      <formula>NOT(ISERROR(SEARCH("THV",G42)))</formula>
    </cfRule>
  </conditionalFormatting>
  <conditionalFormatting sqref="E43">
    <cfRule type="containsText" dxfId="132" priority="194" stopIfTrue="1" operator="containsText" text="Gia hạn">
      <formula>NOT(ISERROR(SEARCH("Gia hạn",E43)))</formula>
    </cfRule>
    <cfRule type="cellIs" dxfId="131" priority="195" stopIfTrue="1" operator="equal">
      <formula>"Gia hạn"</formula>
    </cfRule>
  </conditionalFormatting>
  <conditionalFormatting sqref="G43">
    <cfRule type="containsText" dxfId="130" priority="193" stopIfTrue="1" operator="containsText" text="THV">
      <formula>NOT(ISERROR(SEARCH("THV",G43)))</formula>
    </cfRule>
  </conditionalFormatting>
  <conditionalFormatting sqref="E39">
    <cfRule type="containsText" dxfId="129" priority="191" stopIfTrue="1" operator="containsText" text="Gia hạn">
      <formula>NOT(ISERROR(SEARCH("Gia hạn",E39)))</formula>
    </cfRule>
    <cfRule type="cellIs" dxfId="128" priority="192" stopIfTrue="1" operator="equal">
      <formula>"Gia hạn"</formula>
    </cfRule>
  </conditionalFormatting>
  <conditionalFormatting sqref="G39">
    <cfRule type="containsText" dxfId="127" priority="190" stopIfTrue="1" operator="containsText" text="THV">
      <formula>NOT(ISERROR(SEARCH("THV",G39)))</formula>
    </cfRule>
  </conditionalFormatting>
  <conditionalFormatting sqref="E44:E46">
    <cfRule type="containsText" dxfId="126" priority="188" stopIfTrue="1" operator="containsText" text="Gia hạn">
      <formula>NOT(ISERROR(SEARCH("Gia hạn",E44)))</formula>
    </cfRule>
    <cfRule type="cellIs" dxfId="125" priority="189" stopIfTrue="1" operator="equal">
      <formula>"Gia hạn"</formula>
    </cfRule>
  </conditionalFormatting>
  <conditionalFormatting sqref="G44:G46">
    <cfRule type="containsText" dxfId="124" priority="187" stopIfTrue="1" operator="containsText" text="THV">
      <formula>NOT(ISERROR(SEARCH("THV",G44)))</formula>
    </cfRule>
  </conditionalFormatting>
  <conditionalFormatting sqref="E44:E46 E3:E26">
    <cfRule type="containsText" dxfId="123" priority="186" stopIfTrue="1" operator="containsText" text="gia hạn">
      <formula>NOT(ISERROR(SEARCH("gia hạn",E3)))</formula>
    </cfRule>
  </conditionalFormatting>
  <conditionalFormatting sqref="E45">
    <cfRule type="containsText" dxfId="122" priority="184" stopIfTrue="1" operator="containsText" text="Gia hạn">
      <formula>NOT(ISERROR(SEARCH("Gia hạn",E45)))</formula>
    </cfRule>
    <cfRule type="cellIs" dxfId="121" priority="185" stopIfTrue="1" operator="equal">
      <formula>"Gia hạn"</formula>
    </cfRule>
  </conditionalFormatting>
  <conditionalFormatting sqref="G45">
    <cfRule type="containsText" dxfId="120" priority="183" stopIfTrue="1" operator="containsText" text="THV">
      <formula>NOT(ISERROR(SEARCH("THV",G45)))</formula>
    </cfRule>
  </conditionalFormatting>
  <conditionalFormatting sqref="E45">
    <cfRule type="containsText" dxfId="119" priority="182" stopIfTrue="1" operator="containsText" text="gia hạn">
      <formula>NOT(ISERROR(SEARCH("gia hạn",E45)))</formula>
    </cfRule>
  </conditionalFormatting>
  <conditionalFormatting sqref="G5:G26">
    <cfRule type="containsText" dxfId="118" priority="168" operator="containsText" text="Tịnh">
      <formula>NOT(ISERROR(SEARCH("Tịnh",G5)))</formula>
    </cfRule>
  </conditionalFormatting>
  <conditionalFormatting sqref="E27:E28">
    <cfRule type="containsText" dxfId="117" priority="81" stopIfTrue="1" operator="containsText" text="Gia hạn">
      <formula>NOT(ISERROR(SEARCH("Gia hạn",E27)))</formula>
    </cfRule>
    <cfRule type="cellIs" dxfId="116" priority="82" stopIfTrue="1" operator="equal">
      <formula>"Gia hạn"</formula>
    </cfRule>
  </conditionalFormatting>
  <conditionalFormatting sqref="G27:G28">
    <cfRule type="containsText" dxfId="115" priority="80" stopIfTrue="1" operator="containsText" text="THV">
      <formula>NOT(ISERROR(SEARCH("THV",G27)))</formula>
    </cfRule>
  </conditionalFormatting>
  <conditionalFormatting sqref="E27:E28">
    <cfRule type="containsText" dxfId="114" priority="79" stopIfTrue="1" operator="containsText" text="gia hạn">
      <formula>NOT(ISERROR(SEARCH("gia hạn",E27)))</formula>
    </cfRule>
  </conditionalFormatting>
  <conditionalFormatting sqref="G27:G28">
    <cfRule type="containsText" dxfId="113" priority="78" operator="containsText" text="Tịnh">
      <formula>NOT(ISERROR(SEARCH("Tịnh",G27)))</formula>
    </cfRule>
  </conditionalFormatting>
  <conditionalFormatting sqref="E29">
    <cfRule type="containsText" dxfId="112" priority="76" stopIfTrue="1" operator="containsText" text="Gia hạn">
      <formula>NOT(ISERROR(SEARCH("Gia hạn",E29)))</formula>
    </cfRule>
    <cfRule type="cellIs" dxfId="111" priority="77" stopIfTrue="1" operator="equal">
      <formula>"Gia hạn"</formula>
    </cfRule>
  </conditionalFormatting>
  <conditionalFormatting sqref="G29">
    <cfRule type="containsText" dxfId="110" priority="75" stopIfTrue="1" operator="containsText" text="THV">
      <formula>NOT(ISERROR(SEARCH("THV",G29)))</formula>
    </cfRule>
  </conditionalFormatting>
  <conditionalFormatting sqref="E29">
    <cfRule type="containsText" dxfId="109" priority="74" stopIfTrue="1" operator="containsText" text="gia hạn">
      <formula>NOT(ISERROR(SEARCH("gia hạn",E29)))</formula>
    </cfRule>
  </conditionalFormatting>
  <conditionalFormatting sqref="G29">
    <cfRule type="containsText" dxfId="108" priority="73" operator="containsText" text="Tịnh">
      <formula>NOT(ISERROR(SEARCH("Tịnh",G29)))</formula>
    </cfRule>
  </conditionalFormatting>
  <conditionalFormatting sqref="D29">
    <cfRule type="containsText" dxfId="107" priority="72" stopIfTrue="1" operator="containsText" text="THV">
      <formula>NOT(ISERROR(SEARCH("THV",D29)))</formula>
    </cfRule>
  </conditionalFormatting>
  <conditionalFormatting sqref="D29">
    <cfRule type="containsText" dxfId="106" priority="71" operator="containsText" text="Tịnh">
      <formula>NOT(ISERROR(SEARCH("Tịnh",D29)))</formula>
    </cfRule>
  </conditionalFormatting>
  <conditionalFormatting sqref="E30">
    <cfRule type="containsText" dxfId="105" priority="69" stopIfTrue="1" operator="containsText" text="Gia hạn">
      <formula>NOT(ISERROR(SEARCH("Gia hạn",E30)))</formula>
    </cfRule>
    <cfRule type="cellIs" dxfId="104" priority="70" stopIfTrue="1" operator="equal">
      <formula>"Gia hạn"</formula>
    </cfRule>
  </conditionalFormatting>
  <conditionalFormatting sqref="G30">
    <cfRule type="containsText" dxfId="103" priority="68" stopIfTrue="1" operator="containsText" text="THV">
      <formula>NOT(ISERROR(SEARCH("THV",G30)))</formula>
    </cfRule>
  </conditionalFormatting>
  <conditionalFormatting sqref="E30">
    <cfRule type="containsText" dxfId="102" priority="67" stopIfTrue="1" operator="containsText" text="gia hạn">
      <formula>NOT(ISERROR(SEARCH("gia hạn",E30)))</formula>
    </cfRule>
  </conditionalFormatting>
  <conditionalFormatting sqref="G30">
    <cfRule type="containsText" dxfId="101" priority="66" operator="containsText" text="Tịnh">
      <formula>NOT(ISERROR(SEARCH("Tịnh",G30)))</formula>
    </cfRule>
  </conditionalFormatting>
  <conditionalFormatting sqref="E31">
    <cfRule type="containsText" dxfId="100" priority="64" stopIfTrue="1" operator="containsText" text="Gia hạn">
      <formula>NOT(ISERROR(SEARCH("Gia hạn",E31)))</formula>
    </cfRule>
    <cfRule type="cellIs" dxfId="99" priority="65" stopIfTrue="1" operator="equal">
      <formula>"Gia hạn"</formula>
    </cfRule>
  </conditionalFormatting>
  <conditionalFormatting sqref="G31">
    <cfRule type="containsText" dxfId="98" priority="63" stopIfTrue="1" operator="containsText" text="THV">
      <formula>NOT(ISERROR(SEARCH("THV",G31)))</formula>
    </cfRule>
  </conditionalFormatting>
  <conditionalFormatting sqref="E31">
    <cfRule type="containsText" dxfId="97" priority="62" stopIfTrue="1" operator="containsText" text="gia hạn">
      <formula>NOT(ISERROR(SEARCH("gia hạn",E31)))</formula>
    </cfRule>
  </conditionalFormatting>
  <conditionalFormatting sqref="G31">
    <cfRule type="containsText" dxfId="96" priority="61" operator="containsText" text="Tịnh">
      <formula>NOT(ISERROR(SEARCH("Tịnh",G31)))</formula>
    </cfRule>
  </conditionalFormatting>
  <conditionalFormatting sqref="E32:E34">
    <cfRule type="containsText" dxfId="95" priority="59" stopIfTrue="1" operator="containsText" text="Gia hạn">
      <formula>NOT(ISERROR(SEARCH("Gia hạn",E32)))</formula>
    </cfRule>
    <cfRule type="cellIs" dxfId="94" priority="60" stopIfTrue="1" operator="equal">
      <formula>"Gia hạn"</formula>
    </cfRule>
  </conditionalFormatting>
  <conditionalFormatting sqref="G32:G34">
    <cfRule type="containsText" dxfId="93" priority="58" stopIfTrue="1" operator="containsText" text="THV">
      <formula>NOT(ISERROR(SEARCH("THV",G32)))</formula>
    </cfRule>
  </conditionalFormatting>
  <conditionalFormatting sqref="E32:E34">
    <cfRule type="containsText" dxfId="92" priority="57" stopIfTrue="1" operator="containsText" text="gia hạn">
      <formula>NOT(ISERROR(SEARCH("gia hạn",E32)))</formula>
    </cfRule>
  </conditionalFormatting>
  <conditionalFormatting sqref="G32:G34">
    <cfRule type="containsText" dxfId="91" priority="56" operator="containsText" text="Tịnh">
      <formula>NOT(ISERROR(SEARCH("Tịnh",G32)))</formula>
    </cfRule>
  </conditionalFormatting>
  <conditionalFormatting sqref="E35">
    <cfRule type="containsText" dxfId="90" priority="54" stopIfTrue="1" operator="containsText" text="Gia hạn">
      <formula>NOT(ISERROR(SEARCH("Gia hạn",E35)))</formula>
    </cfRule>
    <cfRule type="cellIs" dxfId="89" priority="55" stopIfTrue="1" operator="equal">
      <formula>"Gia hạn"</formula>
    </cfRule>
  </conditionalFormatting>
  <conditionalFormatting sqref="G35">
    <cfRule type="containsText" dxfId="88" priority="53" stopIfTrue="1" operator="containsText" text="THV">
      <formula>NOT(ISERROR(SEARCH("THV",G35)))</formula>
    </cfRule>
  </conditionalFormatting>
  <conditionalFormatting sqref="E35">
    <cfRule type="containsText" dxfId="87" priority="52" stopIfTrue="1" operator="containsText" text="gia hạn">
      <formula>NOT(ISERROR(SEARCH("gia hạn",E35)))</formula>
    </cfRule>
  </conditionalFormatting>
  <conditionalFormatting sqref="G35">
    <cfRule type="containsText" dxfId="86" priority="51" operator="containsText" text="Tịnh">
      <formula>NOT(ISERROR(SEARCH("Tịnh",G35)))</formula>
    </cfRule>
  </conditionalFormatting>
  <conditionalFormatting sqref="E36">
    <cfRule type="containsText" dxfId="85" priority="49" stopIfTrue="1" operator="containsText" text="Gia hạn">
      <formula>NOT(ISERROR(SEARCH("Gia hạn",E36)))</formula>
    </cfRule>
    <cfRule type="cellIs" dxfId="84" priority="50" stopIfTrue="1" operator="equal">
      <formula>"Gia hạn"</formula>
    </cfRule>
  </conditionalFormatting>
  <conditionalFormatting sqref="G36">
    <cfRule type="containsText" dxfId="83" priority="48" stopIfTrue="1" operator="containsText" text="THV">
      <formula>NOT(ISERROR(SEARCH("THV",G36)))</formula>
    </cfRule>
  </conditionalFormatting>
  <conditionalFormatting sqref="E36">
    <cfRule type="containsText" dxfId="82" priority="47" stopIfTrue="1" operator="containsText" text="gia hạn">
      <formula>NOT(ISERROR(SEARCH("gia hạn",E36)))</formula>
    </cfRule>
  </conditionalFormatting>
  <conditionalFormatting sqref="G36">
    <cfRule type="containsText" dxfId="81" priority="46" operator="containsText" text="Tịnh">
      <formula>NOT(ISERROR(SEARCH("Tịnh",G36)))</formula>
    </cfRule>
  </conditionalFormatting>
  <conditionalFormatting sqref="E37">
    <cfRule type="containsText" dxfId="80" priority="44" stopIfTrue="1" operator="containsText" text="Gia hạn">
      <formula>NOT(ISERROR(SEARCH("Gia hạn",E37)))</formula>
    </cfRule>
    <cfRule type="cellIs" dxfId="79" priority="45" stopIfTrue="1" operator="equal">
      <formula>"Gia hạn"</formula>
    </cfRule>
  </conditionalFormatting>
  <conditionalFormatting sqref="G37">
    <cfRule type="containsText" dxfId="78" priority="43" stopIfTrue="1" operator="containsText" text="THV">
      <formula>NOT(ISERROR(SEARCH("THV",G37)))</formula>
    </cfRule>
  </conditionalFormatting>
  <conditionalFormatting sqref="E37">
    <cfRule type="containsText" dxfId="77" priority="42" stopIfTrue="1" operator="containsText" text="gia hạn">
      <formula>NOT(ISERROR(SEARCH("gia hạn",E37)))</formula>
    </cfRule>
  </conditionalFormatting>
  <conditionalFormatting sqref="G37">
    <cfRule type="containsText" dxfId="76" priority="41" operator="containsText" text="Tịnh">
      <formula>NOT(ISERROR(SEARCH("Tịnh",G37)))</formula>
    </cfRule>
  </conditionalFormatting>
  <conditionalFormatting sqref="E37">
    <cfRule type="containsText" dxfId="75" priority="39" stopIfTrue="1" operator="containsText" text="Gia hạn">
      <formula>NOT(ISERROR(SEARCH("Gia hạn",E37)))</formula>
    </cfRule>
    <cfRule type="cellIs" dxfId="74" priority="40" stopIfTrue="1" operator="equal">
      <formula>"Gia hạn"</formula>
    </cfRule>
  </conditionalFormatting>
  <conditionalFormatting sqref="G37">
    <cfRule type="containsText" dxfId="73" priority="38" stopIfTrue="1" operator="containsText" text="THV">
      <formula>NOT(ISERROR(SEARCH("THV",G37)))</formula>
    </cfRule>
  </conditionalFormatting>
  <conditionalFormatting sqref="E37">
    <cfRule type="containsText" dxfId="72" priority="37" stopIfTrue="1" operator="containsText" text="gia hạn">
      <formula>NOT(ISERROR(SEARCH("gia hạn",E37)))</formula>
    </cfRule>
  </conditionalFormatting>
  <conditionalFormatting sqref="G37">
    <cfRule type="containsText" dxfId="71" priority="36" operator="containsText" text="Tịnh">
      <formula>NOT(ISERROR(SEARCH("Tịnh",G37)))</formula>
    </cfRule>
  </conditionalFormatting>
  <conditionalFormatting sqref="E38">
    <cfRule type="containsText" dxfId="70" priority="34" stopIfTrue="1" operator="containsText" text="Gia hạn">
      <formula>NOT(ISERROR(SEARCH("Gia hạn",E38)))</formula>
    </cfRule>
    <cfRule type="cellIs" dxfId="69" priority="35" stopIfTrue="1" operator="equal">
      <formula>"Gia hạn"</formula>
    </cfRule>
  </conditionalFormatting>
  <conditionalFormatting sqref="G38">
    <cfRule type="containsText" dxfId="68" priority="33" stopIfTrue="1" operator="containsText" text="THV">
      <formula>NOT(ISERROR(SEARCH("THV",G38)))</formula>
    </cfRule>
  </conditionalFormatting>
  <conditionalFormatting sqref="E38">
    <cfRule type="containsText" dxfId="67" priority="32" stopIfTrue="1" operator="containsText" text="gia hạn">
      <formula>NOT(ISERROR(SEARCH("gia hạn",E38)))</formula>
    </cfRule>
  </conditionalFormatting>
  <conditionalFormatting sqref="G38">
    <cfRule type="containsText" dxfId="66" priority="31" operator="containsText" text="Tịnh">
      <formula>NOT(ISERROR(SEARCH("Tịnh",G38)))</formula>
    </cfRule>
  </conditionalFormatting>
  <conditionalFormatting sqref="E39">
    <cfRule type="containsText" dxfId="65" priority="29" stopIfTrue="1" operator="containsText" text="Gia hạn">
      <formula>NOT(ISERROR(SEARCH("Gia hạn",E39)))</formula>
    </cfRule>
    <cfRule type="cellIs" dxfId="64" priority="30" stopIfTrue="1" operator="equal">
      <formula>"Gia hạn"</formula>
    </cfRule>
  </conditionalFormatting>
  <conditionalFormatting sqref="G39">
    <cfRule type="containsText" dxfId="63" priority="28" stopIfTrue="1" operator="containsText" text="THV">
      <formula>NOT(ISERROR(SEARCH("THV",G39)))</formula>
    </cfRule>
  </conditionalFormatting>
  <conditionalFormatting sqref="E39">
    <cfRule type="containsText" dxfId="62" priority="27" stopIfTrue="1" operator="containsText" text="gia hạn">
      <formula>NOT(ISERROR(SEARCH("gia hạn",E39)))</formula>
    </cfRule>
  </conditionalFormatting>
  <conditionalFormatting sqref="G39">
    <cfRule type="containsText" dxfId="61" priority="26" operator="containsText" text="Tịnh">
      <formula>NOT(ISERROR(SEARCH("Tịnh",G39)))</formula>
    </cfRule>
  </conditionalFormatting>
  <conditionalFormatting sqref="E40">
    <cfRule type="containsText" dxfId="60" priority="24" stopIfTrue="1" operator="containsText" text="Gia hạn">
      <formula>NOT(ISERROR(SEARCH("Gia hạn",E40)))</formula>
    </cfRule>
    <cfRule type="cellIs" dxfId="59" priority="25" stopIfTrue="1" operator="equal">
      <formula>"Gia hạn"</formula>
    </cfRule>
  </conditionalFormatting>
  <conditionalFormatting sqref="G40">
    <cfRule type="containsText" dxfId="58" priority="23" stopIfTrue="1" operator="containsText" text="THV">
      <formula>NOT(ISERROR(SEARCH("THV",G40)))</formula>
    </cfRule>
  </conditionalFormatting>
  <conditionalFormatting sqref="E40">
    <cfRule type="containsText" dxfId="57" priority="22" stopIfTrue="1" operator="containsText" text="gia hạn">
      <formula>NOT(ISERROR(SEARCH("gia hạn",E40)))</formula>
    </cfRule>
  </conditionalFormatting>
  <conditionalFormatting sqref="G40">
    <cfRule type="containsText" dxfId="56" priority="21" operator="containsText" text="Tịnh">
      <formula>NOT(ISERROR(SEARCH("Tịnh",G40)))</formula>
    </cfRule>
  </conditionalFormatting>
  <conditionalFormatting sqref="E41">
    <cfRule type="containsText" dxfId="55" priority="19" stopIfTrue="1" operator="containsText" text="Gia hạn">
      <formula>NOT(ISERROR(SEARCH("Gia hạn",E41)))</formula>
    </cfRule>
    <cfRule type="cellIs" dxfId="54" priority="20" stopIfTrue="1" operator="equal">
      <formula>"Gia hạn"</formula>
    </cfRule>
  </conditionalFormatting>
  <conditionalFormatting sqref="G41">
    <cfRule type="containsText" dxfId="53" priority="18" stopIfTrue="1" operator="containsText" text="THV">
      <formula>NOT(ISERROR(SEARCH("THV",G41)))</formula>
    </cfRule>
  </conditionalFormatting>
  <conditionalFormatting sqref="E41">
    <cfRule type="containsText" dxfId="52" priority="17" stopIfTrue="1" operator="containsText" text="gia hạn">
      <formula>NOT(ISERROR(SEARCH("gia hạn",E41)))</formula>
    </cfRule>
  </conditionalFormatting>
  <conditionalFormatting sqref="G41">
    <cfRule type="containsText" dxfId="51" priority="16" operator="containsText" text="Tịnh">
      <formula>NOT(ISERROR(SEARCH("Tịnh",G41)))</formula>
    </cfRule>
  </conditionalFormatting>
  <conditionalFormatting sqref="E42">
    <cfRule type="containsText" dxfId="50" priority="14" stopIfTrue="1" operator="containsText" text="Gia hạn">
      <formula>NOT(ISERROR(SEARCH("Gia hạn",E42)))</formula>
    </cfRule>
    <cfRule type="cellIs" dxfId="49" priority="15" stopIfTrue="1" operator="equal">
      <formula>"Gia hạn"</formula>
    </cfRule>
  </conditionalFormatting>
  <conditionalFormatting sqref="G42">
    <cfRule type="containsText" dxfId="48" priority="13" stopIfTrue="1" operator="containsText" text="THV">
      <formula>NOT(ISERROR(SEARCH("THV",G42)))</formula>
    </cfRule>
  </conditionalFormatting>
  <conditionalFormatting sqref="E42">
    <cfRule type="containsText" dxfId="47" priority="12" stopIfTrue="1" operator="containsText" text="gia hạn">
      <formula>NOT(ISERROR(SEARCH("gia hạn",E42)))</formula>
    </cfRule>
  </conditionalFormatting>
  <conditionalFormatting sqref="G42">
    <cfRule type="containsText" dxfId="46" priority="11" operator="containsText" text="Tịnh">
      <formula>NOT(ISERROR(SEARCH("Tịnh",G42)))</formula>
    </cfRule>
  </conditionalFormatting>
  <conditionalFormatting sqref="E42">
    <cfRule type="containsText" dxfId="45" priority="9" stopIfTrue="1" operator="containsText" text="Gia hạn">
      <formula>NOT(ISERROR(SEARCH("Gia hạn",E42)))</formula>
    </cfRule>
    <cfRule type="cellIs" dxfId="44" priority="10" stopIfTrue="1" operator="equal">
      <formula>"Gia hạn"</formula>
    </cfRule>
  </conditionalFormatting>
  <conditionalFormatting sqref="G42">
    <cfRule type="containsText" dxfId="43" priority="8" stopIfTrue="1" operator="containsText" text="THV">
      <formula>NOT(ISERROR(SEARCH("THV",G42)))</formula>
    </cfRule>
  </conditionalFormatting>
  <conditionalFormatting sqref="E42">
    <cfRule type="containsText" dxfId="42" priority="7" stopIfTrue="1" operator="containsText" text="gia hạn">
      <formula>NOT(ISERROR(SEARCH("gia hạn",E42)))</formula>
    </cfRule>
  </conditionalFormatting>
  <conditionalFormatting sqref="G42">
    <cfRule type="containsText" dxfId="41" priority="6" operator="containsText" text="Tịnh">
      <formula>NOT(ISERROR(SEARCH("Tịnh",G42)))</formula>
    </cfRule>
  </conditionalFormatting>
  <conditionalFormatting sqref="E43">
    <cfRule type="containsText" dxfId="40" priority="4" stopIfTrue="1" operator="containsText" text="Gia hạn">
      <formula>NOT(ISERROR(SEARCH("Gia hạn",E43)))</formula>
    </cfRule>
    <cfRule type="cellIs" dxfId="39" priority="5" stopIfTrue="1" operator="equal">
      <formula>"Gia hạn"</formula>
    </cfRule>
  </conditionalFormatting>
  <conditionalFormatting sqref="G43">
    <cfRule type="containsText" dxfId="38" priority="3" stopIfTrue="1" operator="containsText" text="THV">
      <formula>NOT(ISERROR(SEARCH("THV",G43)))</formula>
    </cfRule>
  </conditionalFormatting>
  <conditionalFormatting sqref="E43">
    <cfRule type="containsText" dxfId="37" priority="2" stopIfTrue="1" operator="containsText" text="gia hạn">
      <formula>NOT(ISERROR(SEARCH("gia hạn",E43)))</formula>
    </cfRule>
  </conditionalFormatting>
  <conditionalFormatting sqref="G43">
    <cfRule type="containsText" dxfId="36" priority="1" operator="containsText" text="Tịnh">
      <formula>NOT(ISERROR(SEARCH("Tịnh",G43)))</formula>
    </cfRule>
  </conditionalFormatting>
  <hyperlinks>
    <hyperlink ref="F19" r:id="rId1" display="http://trungvietco.com.vn/"/>
    <hyperlink ref="F30" r:id="rId2" display="www.thutuchaiquannhanh.com&#10;"/>
    <hyperlink ref="F40" r:id="rId3"/>
  </hyperlinks>
  <pageMargins left="0.7" right="0.7" top="0.75" bottom="0.75" header="0.3" footer="0.3"/>
  <pageSetup orientation="portrait" verticalDpi="0" r:id="rId4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pane ySplit="1" topLeftCell="A44" activePane="bottomLeft" state="frozen"/>
      <selection pane="bottomLeft" activeCell="D52" sqref="D52"/>
    </sheetView>
  </sheetViews>
  <sheetFormatPr defaultRowHeight="14.4"/>
  <cols>
    <col min="1" max="1" width="18.6640625" customWidth="1"/>
    <col min="2" max="2" width="18.109375" customWidth="1"/>
    <col min="3" max="3" width="17.5546875" customWidth="1"/>
    <col min="4" max="4" width="23" customWidth="1"/>
    <col min="5" max="5" width="26.6640625" customWidth="1"/>
    <col min="6" max="6" width="12.109375" customWidth="1"/>
    <col min="7" max="7" width="16.6640625" customWidth="1"/>
    <col min="8" max="8" width="19.88671875" customWidth="1"/>
  </cols>
  <sheetData>
    <row r="1" spans="1:8" ht="17.399999999999999">
      <c r="A1" s="53" t="s">
        <v>32</v>
      </c>
      <c r="B1" s="53" t="s">
        <v>33</v>
      </c>
      <c r="C1" s="54" t="s">
        <v>34</v>
      </c>
      <c r="D1" s="55" t="s">
        <v>6</v>
      </c>
      <c r="E1" s="56" t="s">
        <v>290</v>
      </c>
      <c r="F1" s="56" t="s">
        <v>269</v>
      </c>
      <c r="G1" s="56" t="s">
        <v>270</v>
      </c>
      <c r="H1" s="144" t="s">
        <v>15</v>
      </c>
    </row>
    <row r="2" spans="1:8">
      <c r="A2" s="57"/>
      <c r="B2" s="57"/>
      <c r="C2" s="57"/>
      <c r="D2" s="57"/>
      <c r="E2" s="57"/>
      <c r="F2" s="57"/>
      <c r="G2" s="57"/>
      <c r="H2" s="57"/>
    </row>
    <row r="3" spans="1:8" ht="31.2">
      <c r="A3" s="116">
        <v>42033</v>
      </c>
      <c r="B3" s="38" t="s">
        <v>194</v>
      </c>
      <c r="C3" s="115">
        <v>2000000</v>
      </c>
      <c r="D3" s="117" t="s">
        <v>140</v>
      </c>
      <c r="E3" s="115">
        <v>400000</v>
      </c>
      <c r="F3" s="117" t="s">
        <v>268</v>
      </c>
      <c r="G3" s="115">
        <v>200000</v>
      </c>
      <c r="H3" s="57"/>
    </row>
    <row r="4" spans="1:8" ht="31.2">
      <c r="A4" s="116">
        <v>42034</v>
      </c>
      <c r="B4" s="38" t="s">
        <v>201</v>
      </c>
      <c r="C4" s="115">
        <v>2000000</v>
      </c>
      <c r="D4" s="117" t="s">
        <v>202</v>
      </c>
      <c r="E4" s="115">
        <v>175000</v>
      </c>
      <c r="F4" s="117" t="s">
        <v>268</v>
      </c>
      <c r="G4" s="115" t="s">
        <v>268</v>
      </c>
      <c r="H4" s="57"/>
    </row>
    <row r="5" spans="1:8" ht="31.2">
      <c r="A5" s="116">
        <v>42038</v>
      </c>
      <c r="B5" s="23" t="s">
        <v>246</v>
      </c>
      <c r="C5" s="115">
        <v>2000000</v>
      </c>
      <c r="D5" s="117" t="s">
        <v>247</v>
      </c>
      <c r="E5" s="115">
        <v>400000</v>
      </c>
      <c r="F5" s="117" t="s">
        <v>268</v>
      </c>
      <c r="G5" s="115"/>
      <c r="H5" s="57"/>
    </row>
    <row r="6" spans="1:8" ht="31.2">
      <c r="A6" s="116">
        <v>42038</v>
      </c>
      <c r="B6" s="27" t="s">
        <v>248</v>
      </c>
      <c r="C6" s="115">
        <v>2891000</v>
      </c>
      <c r="D6" s="117" t="s">
        <v>247</v>
      </c>
      <c r="E6" s="115">
        <v>562000</v>
      </c>
      <c r="F6" s="117" t="s">
        <v>268</v>
      </c>
      <c r="G6" s="115"/>
      <c r="H6" s="57"/>
    </row>
    <row r="7" spans="1:8" ht="31.2">
      <c r="A7" s="116">
        <v>42039</v>
      </c>
      <c r="B7" s="27" t="s">
        <v>251</v>
      </c>
      <c r="C7" s="115">
        <v>3000000</v>
      </c>
      <c r="D7" s="117" t="s">
        <v>247</v>
      </c>
      <c r="E7" s="115">
        <v>600000</v>
      </c>
      <c r="F7" s="117" t="s">
        <v>268</v>
      </c>
      <c r="G7" s="115"/>
      <c r="H7" s="57"/>
    </row>
    <row r="8" spans="1:8" ht="31.2">
      <c r="A8" s="116">
        <v>42040</v>
      </c>
      <c r="B8" s="38" t="s">
        <v>252</v>
      </c>
      <c r="C8" s="115">
        <v>935000</v>
      </c>
      <c r="D8" s="117" t="s">
        <v>28</v>
      </c>
      <c r="E8" s="115">
        <v>162000</v>
      </c>
      <c r="F8" s="117" t="s">
        <v>268</v>
      </c>
      <c r="G8" s="115">
        <v>81000</v>
      </c>
      <c r="H8" s="57"/>
    </row>
    <row r="9" spans="1:8" ht="31.2">
      <c r="A9" s="116">
        <v>42041</v>
      </c>
      <c r="B9" s="27" t="s">
        <v>263</v>
      </c>
      <c r="C9" s="115">
        <v>2040000</v>
      </c>
      <c r="D9" s="117" t="s">
        <v>202</v>
      </c>
      <c r="E9" s="115">
        <v>170000</v>
      </c>
      <c r="F9" s="117" t="s">
        <v>268</v>
      </c>
      <c r="G9" s="115" t="s">
        <v>268</v>
      </c>
      <c r="H9" s="57"/>
    </row>
    <row r="10" spans="1:8" ht="31.2">
      <c r="A10" s="116">
        <v>42041</v>
      </c>
      <c r="B10" s="27" t="s">
        <v>264</v>
      </c>
      <c r="C10" s="115">
        <v>2000000</v>
      </c>
      <c r="D10" s="117" t="s">
        <v>202</v>
      </c>
      <c r="E10" s="115">
        <v>200000</v>
      </c>
      <c r="F10" s="117" t="s">
        <v>268</v>
      </c>
      <c r="G10" s="115" t="s">
        <v>268</v>
      </c>
      <c r="H10" s="57"/>
    </row>
    <row r="11" spans="1:8" ht="46.8">
      <c r="A11" s="116">
        <v>42042</v>
      </c>
      <c r="B11" s="38" t="s">
        <v>289</v>
      </c>
      <c r="C11" s="115">
        <v>2750000</v>
      </c>
      <c r="D11" s="117" t="s">
        <v>275</v>
      </c>
      <c r="E11" s="115">
        <v>550000</v>
      </c>
      <c r="F11" s="117" t="s">
        <v>268</v>
      </c>
      <c r="G11" s="115">
        <v>275000</v>
      </c>
      <c r="H11" s="57"/>
    </row>
    <row r="12" spans="1:8" ht="31.2">
      <c r="A12" s="116">
        <v>42025</v>
      </c>
      <c r="B12" s="41" t="s">
        <v>286</v>
      </c>
      <c r="C12" s="115">
        <v>1500000</v>
      </c>
      <c r="D12" s="117" t="s">
        <v>140</v>
      </c>
      <c r="E12" s="115">
        <v>300000</v>
      </c>
      <c r="F12" s="117" t="s">
        <v>268</v>
      </c>
      <c r="G12" s="115">
        <v>150000</v>
      </c>
      <c r="H12" s="57"/>
    </row>
    <row r="13" spans="1:8" ht="31.2">
      <c r="A13" s="116">
        <v>42043</v>
      </c>
      <c r="B13" s="21" t="s">
        <v>287</v>
      </c>
      <c r="C13" s="115">
        <v>830000</v>
      </c>
      <c r="D13" s="117" t="s">
        <v>140</v>
      </c>
      <c r="E13" s="115">
        <v>108000</v>
      </c>
      <c r="F13" s="117" t="s">
        <v>268</v>
      </c>
      <c r="G13" s="115">
        <v>54000</v>
      </c>
      <c r="H13" s="57"/>
    </row>
    <row r="14" spans="1:8" ht="31.2">
      <c r="A14" s="116">
        <v>42074</v>
      </c>
      <c r="B14" s="23" t="s">
        <v>328</v>
      </c>
      <c r="C14" s="115">
        <v>1000000</v>
      </c>
      <c r="D14" s="117" t="s">
        <v>125</v>
      </c>
      <c r="E14" s="115">
        <v>200000</v>
      </c>
      <c r="F14" s="117" t="s">
        <v>268</v>
      </c>
      <c r="G14" s="115"/>
      <c r="H14" s="57"/>
    </row>
    <row r="15" spans="1:8" ht="31.2">
      <c r="A15" s="116">
        <v>42074</v>
      </c>
      <c r="B15" s="39" t="s">
        <v>329</v>
      </c>
      <c r="C15" s="115">
        <v>2000000</v>
      </c>
      <c r="D15" s="117" t="s">
        <v>125</v>
      </c>
      <c r="E15" s="115">
        <v>400000</v>
      </c>
      <c r="F15" s="117" t="s">
        <v>268</v>
      </c>
      <c r="G15" s="115"/>
      <c r="H15" s="57"/>
    </row>
    <row r="16" spans="1:8" ht="31.2">
      <c r="A16" s="116">
        <v>42080</v>
      </c>
      <c r="B16" s="27" t="s">
        <v>131</v>
      </c>
      <c r="C16" s="115">
        <v>1734000</v>
      </c>
      <c r="D16" s="117" t="s">
        <v>28</v>
      </c>
      <c r="E16" s="115">
        <v>192000</v>
      </c>
      <c r="F16" s="117" t="s">
        <v>268</v>
      </c>
      <c r="G16" s="115"/>
      <c r="H16" s="57"/>
    </row>
    <row r="17" spans="1:8" ht="31.2">
      <c r="A17" s="116">
        <v>42095</v>
      </c>
      <c r="B17" s="27" t="s">
        <v>249</v>
      </c>
      <c r="C17" s="115">
        <v>5000000</v>
      </c>
      <c r="D17" s="117" t="s">
        <v>247</v>
      </c>
      <c r="E17" s="115">
        <v>3000000</v>
      </c>
      <c r="F17" s="117" t="s">
        <v>268</v>
      </c>
      <c r="G17" s="115"/>
      <c r="H17" s="57"/>
    </row>
    <row r="18" spans="1:8" ht="15.6">
      <c r="A18" s="116">
        <v>42102</v>
      </c>
      <c r="B18" s="23" t="s">
        <v>97</v>
      </c>
      <c r="C18" s="115">
        <v>3500000</v>
      </c>
      <c r="D18" s="117" t="s">
        <v>247</v>
      </c>
      <c r="E18" s="115">
        <v>2100000</v>
      </c>
      <c r="F18" s="117" t="s">
        <v>268</v>
      </c>
      <c r="G18" s="115"/>
      <c r="H18" s="57"/>
    </row>
    <row r="19" spans="1:8" ht="31.2">
      <c r="A19" s="116">
        <v>42093</v>
      </c>
      <c r="B19" s="38" t="s">
        <v>457</v>
      </c>
      <c r="C19" s="115">
        <v>13382500</v>
      </c>
      <c r="D19" s="117" t="s">
        <v>202</v>
      </c>
      <c r="E19" s="115">
        <v>990000</v>
      </c>
      <c r="F19" s="117" t="s">
        <v>268</v>
      </c>
      <c r="G19" s="115"/>
      <c r="H19" s="57"/>
    </row>
    <row r="20" spans="1:8" ht="31.2">
      <c r="A20" s="116">
        <v>42108</v>
      </c>
      <c r="B20" s="38" t="s">
        <v>467</v>
      </c>
      <c r="C20" s="115">
        <v>3210000</v>
      </c>
      <c r="D20" s="117" t="s">
        <v>468</v>
      </c>
      <c r="E20" s="115">
        <v>321000</v>
      </c>
      <c r="F20" s="117" t="s">
        <v>268</v>
      </c>
      <c r="G20" s="115"/>
      <c r="H20" s="44" t="s">
        <v>469</v>
      </c>
    </row>
    <row r="21" spans="1:8" ht="31.2">
      <c r="A21" s="116">
        <v>42117</v>
      </c>
      <c r="B21" s="38" t="s">
        <v>515</v>
      </c>
      <c r="C21" s="115">
        <v>1690000</v>
      </c>
      <c r="D21" s="117" t="s">
        <v>28</v>
      </c>
      <c r="E21" s="115"/>
      <c r="F21" s="117" t="s">
        <v>268</v>
      </c>
      <c r="G21" s="115"/>
      <c r="H21" s="44" t="s">
        <v>516</v>
      </c>
    </row>
    <row r="22" spans="1:8" ht="31.2">
      <c r="A22" s="116">
        <v>42114</v>
      </c>
      <c r="B22" s="23" t="s">
        <v>470</v>
      </c>
      <c r="C22" s="115">
        <v>3750000</v>
      </c>
      <c r="D22" s="117" t="s">
        <v>94</v>
      </c>
      <c r="E22" s="115"/>
      <c r="F22" s="117" t="s">
        <v>268</v>
      </c>
      <c r="G22" s="115"/>
      <c r="H22" s="44" t="s">
        <v>517</v>
      </c>
    </row>
    <row r="23" spans="1:8" ht="31.2">
      <c r="A23" s="116">
        <v>42119</v>
      </c>
      <c r="B23" s="23" t="s">
        <v>384</v>
      </c>
      <c r="C23" s="115">
        <v>1250000</v>
      </c>
      <c r="D23" s="117" t="s">
        <v>28</v>
      </c>
      <c r="E23" s="115"/>
      <c r="F23" s="117" t="s">
        <v>268</v>
      </c>
      <c r="G23" s="115"/>
      <c r="H23" s="44"/>
    </row>
    <row r="24" spans="1:8" ht="31.2">
      <c r="A24" s="116">
        <v>42132</v>
      </c>
      <c r="B24" s="27" t="s">
        <v>405</v>
      </c>
      <c r="C24" s="115">
        <v>2000000</v>
      </c>
      <c r="D24" s="117" t="s">
        <v>247</v>
      </c>
      <c r="E24" s="115"/>
      <c r="F24" s="117" t="s">
        <v>268</v>
      </c>
      <c r="G24" s="115"/>
      <c r="H24" s="44"/>
    </row>
    <row r="25" spans="1:8" ht="15.6">
      <c r="A25" s="116">
        <v>42112</v>
      </c>
      <c r="B25" s="38" t="s">
        <v>585</v>
      </c>
      <c r="C25" s="115"/>
      <c r="D25" s="117" t="s">
        <v>140</v>
      </c>
      <c r="E25" s="115"/>
      <c r="F25" s="117" t="s">
        <v>268</v>
      </c>
      <c r="G25" s="115"/>
      <c r="H25" s="44"/>
    </row>
    <row r="26" spans="1:8" ht="31.2">
      <c r="A26" s="116">
        <v>42137</v>
      </c>
      <c r="B26" s="23" t="s">
        <v>178</v>
      </c>
      <c r="C26" s="115">
        <v>550</v>
      </c>
      <c r="D26" s="117" t="s">
        <v>247</v>
      </c>
      <c r="E26" s="115">
        <v>3300000</v>
      </c>
      <c r="F26" s="117" t="s">
        <v>268</v>
      </c>
      <c r="G26" s="115"/>
      <c r="H26" s="44"/>
    </row>
    <row r="27" spans="1:8" ht="31.2">
      <c r="A27" s="116">
        <v>42144</v>
      </c>
      <c r="B27" s="23" t="s">
        <v>296</v>
      </c>
      <c r="C27" s="115">
        <v>1690000</v>
      </c>
      <c r="D27" s="117" t="s">
        <v>28</v>
      </c>
      <c r="E27" s="115"/>
      <c r="F27" s="117" t="s">
        <v>268</v>
      </c>
      <c r="G27" s="115"/>
      <c r="H27" s="57"/>
    </row>
    <row r="28" spans="1:8" ht="31.2">
      <c r="A28" s="116">
        <v>42145</v>
      </c>
      <c r="B28" s="23" t="s">
        <v>170</v>
      </c>
      <c r="C28" s="115">
        <v>3500000</v>
      </c>
      <c r="D28" s="117" t="s">
        <v>140</v>
      </c>
      <c r="E28" s="115">
        <v>350000</v>
      </c>
      <c r="F28" s="117" t="s">
        <v>268</v>
      </c>
      <c r="G28" s="117"/>
      <c r="H28" s="57"/>
    </row>
    <row r="29" spans="1:8" ht="31.2">
      <c r="A29" s="116">
        <v>42151</v>
      </c>
      <c r="B29" s="23" t="s">
        <v>504</v>
      </c>
      <c r="C29" s="115">
        <v>5100000</v>
      </c>
      <c r="D29" s="117" t="s">
        <v>94</v>
      </c>
      <c r="E29" s="115"/>
      <c r="F29" s="117" t="s">
        <v>268</v>
      </c>
      <c r="G29" s="117"/>
      <c r="H29" s="44" t="s">
        <v>517</v>
      </c>
    </row>
    <row r="30" spans="1:8" ht="31.2">
      <c r="A30" s="116">
        <v>42157</v>
      </c>
      <c r="B30" s="23" t="s">
        <v>445</v>
      </c>
      <c r="C30" s="115">
        <v>2690000</v>
      </c>
      <c r="D30" s="117" t="s">
        <v>28</v>
      </c>
      <c r="E30" s="115"/>
      <c r="F30" s="117" t="s">
        <v>268</v>
      </c>
      <c r="G30" s="117"/>
      <c r="H30" s="57"/>
    </row>
    <row r="31" spans="1:8" ht="31.2">
      <c r="A31" s="116">
        <v>42153</v>
      </c>
      <c r="B31" s="27" t="s">
        <v>495</v>
      </c>
      <c r="C31" s="115"/>
      <c r="D31" s="117" t="s">
        <v>102</v>
      </c>
      <c r="E31" s="115"/>
      <c r="F31" s="117" t="s">
        <v>268</v>
      </c>
      <c r="G31" s="117"/>
      <c r="H31" s="57"/>
    </row>
    <row r="32" spans="1:8" ht="31.2">
      <c r="A32" s="116"/>
      <c r="B32" s="145" t="s">
        <v>439</v>
      </c>
      <c r="C32" s="115">
        <v>1000000</v>
      </c>
      <c r="D32" s="117" t="s">
        <v>102</v>
      </c>
      <c r="E32" s="115">
        <v>500000</v>
      </c>
      <c r="F32" s="117" t="s">
        <v>268</v>
      </c>
      <c r="G32" s="117"/>
      <c r="H32" s="57" t="s">
        <v>679</v>
      </c>
    </row>
    <row r="33" spans="1:8" ht="31.2">
      <c r="A33" s="116">
        <v>42163</v>
      </c>
      <c r="B33" s="23" t="s">
        <v>683</v>
      </c>
      <c r="C33" s="115">
        <v>1000000</v>
      </c>
      <c r="D33" s="117" t="s">
        <v>102</v>
      </c>
      <c r="E33" s="115">
        <v>200000</v>
      </c>
      <c r="F33" s="117" t="s">
        <v>268</v>
      </c>
      <c r="G33" s="117"/>
      <c r="H33" s="57"/>
    </row>
    <row r="34" spans="1:8" ht="15.6">
      <c r="A34" s="116">
        <v>42163</v>
      </c>
      <c r="B34" s="23" t="s">
        <v>29</v>
      </c>
      <c r="C34" s="115"/>
      <c r="D34" s="117" t="s">
        <v>28</v>
      </c>
      <c r="E34" s="185" t="s">
        <v>846</v>
      </c>
      <c r="F34" s="185" t="s">
        <v>841</v>
      </c>
      <c r="G34" s="117"/>
      <c r="H34" s="57"/>
    </row>
    <row r="35" spans="1:8" ht="31.2">
      <c r="A35" s="116">
        <v>42174</v>
      </c>
      <c r="B35" s="23" t="s">
        <v>603</v>
      </c>
      <c r="C35" s="115">
        <v>3190000</v>
      </c>
      <c r="D35" s="117" t="s">
        <v>28</v>
      </c>
      <c r="E35" s="115">
        <v>294000</v>
      </c>
      <c r="F35" s="117" t="s">
        <v>268</v>
      </c>
      <c r="G35" s="117"/>
      <c r="H35" s="57"/>
    </row>
    <row r="36" spans="1:8" ht="31.2">
      <c r="A36" s="116">
        <v>42177</v>
      </c>
      <c r="B36" s="38" t="s">
        <v>760</v>
      </c>
      <c r="C36" s="115"/>
      <c r="D36" s="117" t="s">
        <v>275</v>
      </c>
      <c r="E36" s="115">
        <v>250000</v>
      </c>
      <c r="F36" s="117" t="s">
        <v>268</v>
      </c>
      <c r="G36" s="117"/>
      <c r="H36" s="57"/>
    </row>
    <row r="37" spans="1:8" ht="31.2">
      <c r="A37" s="116">
        <v>42177</v>
      </c>
      <c r="B37" s="27" t="s">
        <v>341</v>
      </c>
      <c r="C37" s="115"/>
      <c r="D37" s="117" t="s">
        <v>275</v>
      </c>
      <c r="E37" s="115"/>
      <c r="F37" s="117" t="s">
        <v>268</v>
      </c>
      <c r="G37" s="117"/>
      <c r="H37" s="57"/>
    </row>
    <row r="38" spans="1:8" ht="31.2">
      <c r="A38" s="116">
        <v>42180</v>
      </c>
      <c r="B38" s="27" t="s">
        <v>792</v>
      </c>
      <c r="C38" s="115">
        <v>2518000</v>
      </c>
      <c r="D38" s="117" t="s">
        <v>28</v>
      </c>
      <c r="E38" s="115">
        <v>79000</v>
      </c>
      <c r="F38" s="117" t="s">
        <v>268</v>
      </c>
      <c r="G38" s="117"/>
      <c r="H38" s="57"/>
    </row>
    <row r="39" spans="1:8" ht="31.2">
      <c r="A39" s="116">
        <v>42185</v>
      </c>
      <c r="B39" s="27" t="s">
        <v>48</v>
      </c>
      <c r="C39" s="115">
        <v>7000000</v>
      </c>
      <c r="D39" s="117" t="s">
        <v>28</v>
      </c>
      <c r="E39" s="185" t="s">
        <v>846</v>
      </c>
      <c r="F39" s="185" t="s">
        <v>841</v>
      </c>
      <c r="G39" s="117"/>
      <c r="H39" s="57"/>
    </row>
    <row r="40" spans="1:8" ht="31.2">
      <c r="A40" s="116">
        <v>42188</v>
      </c>
      <c r="B40" s="23" t="s">
        <v>166</v>
      </c>
      <c r="C40" s="115"/>
      <c r="D40" s="117" t="s">
        <v>140</v>
      </c>
      <c r="E40" s="115">
        <v>285000</v>
      </c>
      <c r="F40" s="117" t="s">
        <v>268</v>
      </c>
      <c r="G40" s="117"/>
      <c r="H40" s="57"/>
    </row>
    <row r="41" spans="1:8" ht="31.2">
      <c r="A41" s="116">
        <v>42189</v>
      </c>
      <c r="B41" s="23" t="s">
        <v>607</v>
      </c>
      <c r="C41" s="115">
        <v>7000000</v>
      </c>
      <c r="D41" s="117" t="s">
        <v>28</v>
      </c>
      <c r="E41" s="115">
        <v>1248000</v>
      </c>
      <c r="F41" s="117" t="s">
        <v>268</v>
      </c>
      <c r="G41" s="117"/>
      <c r="H41" s="57"/>
    </row>
    <row r="42" spans="1:8" ht="31.2">
      <c r="A42" s="116">
        <v>42193</v>
      </c>
      <c r="B42" s="27" t="s">
        <v>411</v>
      </c>
      <c r="C42" s="115"/>
      <c r="D42" s="117" t="s">
        <v>247</v>
      </c>
      <c r="E42" s="115">
        <v>3594000</v>
      </c>
      <c r="F42" s="117" t="s">
        <v>268</v>
      </c>
      <c r="G42" s="117"/>
      <c r="H42" s="57"/>
    </row>
    <row r="43" spans="1:8" ht="31.2">
      <c r="A43" s="116">
        <v>42193</v>
      </c>
      <c r="B43" s="23" t="s">
        <v>368</v>
      </c>
      <c r="C43" s="115"/>
      <c r="D43" s="117" t="s">
        <v>247</v>
      </c>
      <c r="E43" s="115">
        <v>2700000</v>
      </c>
      <c r="F43" s="117" t="s">
        <v>268</v>
      </c>
      <c r="G43" s="117"/>
      <c r="H43" s="57"/>
    </row>
    <row r="44" spans="1:8" ht="31.2">
      <c r="A44" s="189">
        <v>42188</v>
      </c>
      <c r="B44" s="190" t="s">
        <v>486</v>
      </c>
      <c r="C44" s="191"/>
      <c r="D44" s="192" t="s">
        <v>140</v>
      </c>
      <c r="E44" s="191"/>
      <c r="F44" s="192" t="s">
        <v>268</v>
      </c>
      <c r="G44" s="192"/>
      <c r="H44" s="193"/>
    </row>
    <row r="45" spans="1:8" ht="31.2">
      <c r="A45" s="116">
        <v>42203</v>
      </c>
      <c r="B45" s="38" t="s">
        <v>774</v>
      </c>
      <c r="C45" s="115">
        <v>3000000</v>
      </c>
      <c r="D45" s="117" t="s">
        <v>247</v>
      </c>
      <c r="E45" s="115">
        <v>600000</v>
      </c>
      <c r="F45" s="117" t="s">
        <v>268</v>
      </c>
      <c r="G45" s="117"/>
      <c r="H45" s="57"/>
    </row>
    <row r="46" spans="1:8" ht="31.2">
      <c r="A46" s="116">
        <v>42205</v>
      </c>
      <c r="B46" s="27" t="s">
        <v>916</v>
      </c>
      <c r="C46" s="115">
        <v>2000000</v>
      </c>
      <c r="D46" s="117" t="s">
        <v>247</v>
      </c>
      <c r="E46" s="115">
        <v>200000</v>
      </c>
      <c r="F46" s="117" t="s">
        <v>268</v>
      </c>
      <c r="G46" s="117"/>
      <c r="H46" s="57"/>
    </row>
    <row r="47" spans="1:8" ht="31.2">
      <c r="A47" s="116">
        <v>42206</v>
      </c>
      <c r="B47" s="27" t="s">
        <v>917</v>
      </c>
      <c r="C47" s="115">
        <v>1000000</v>
      </c>
      <c r="D47" s="117" t="s">
        <v>918</v>
      </c>
      <c r="E47" s="115">
        <v>208000</v>
      </c>
      <c r="F47" s="117" t="s">
        <v>268</v>
      </c>
      <c r="G47" s="117"/>
      <c r="H47" s="57"/>
    </row>
    <row r="48" spans="1:8" ht="15.6">
      <c r="A48" s="116">
        <v>42223</v>
      </c>
      <c r="B48" s="57" t="s">
        <v>1030</v>
      </c>
      <c r="C48" s="115">
        <v>8400000</v>
      </c>
      <c r="D48" s="117" t="s">
        <v>247</v>
      </c>
      <c r="E48" s="115">
        <v>3600000</v>
      </c>
      <c r="F48" s="117" t="s">
        <v>268</v>
      </c>
      <c r="G48" s="117"/>
    </row>
    <row r="49" spans="1:7" ht="15.6">
      <c r="A49" s="116"/>
      <c r="B49" s="57"/>
      <c r="C49" s="115"/>
      <c r="D49" s="117"/>
      <c r="E49" s="115"/>
      <c r="F49" s="117"/>
      <c r="G49" s="117"/>
    </row>
    <row r="50" spans="1:7" ht="15.6">
      <c r="A50" s="116"/>
      <c r="B50" s="57"/>
      <c r="C50" s="115"/>
      <c r="D50" s="117"/>
      <c r="E50" s="115"/>
      <c r="F50" s="117"/>
      <c r="G50" s="117"/>
    </row>
    <row r="51" spans="1:7" ht="15.6">
      <c r="A51" s="116"/>
      <c r="B51" s="57"/>
      <c r="C51" s="115"/>
      <c r="D51" s="117"/>
      <c r="E51" s="115"/>
      <c r="F51" s="117"/>
      <c r="G51" s="117"/>
    </row>
    <row r="52" spans="1:7" ht="15.6">
      <c r="A52" s="116"/>
      <c r="B52" s="57"/>
      <c r="C52" s="115"/>
      <c r="D52" s="117"/>
      <c r="E52" s="115"/>
      <c r="F52" s="117"/>
      <c r="G52" s="117"/>
    </row>
    <row r="53" spans="1:7" ht="15.6">
      <c r="A53" s="116"/>
      <c r="B53" s="57"/>
      <c r="C53" s="115"/>
      <c r="D53" s="117"/>
      <c r="E53" s="115"/>
      <c r="F53" s="117"/>
      <c r="G53" s="117"/>
    </row>
    <row r="54" spans="1:7" ht="15.6">
      <c r="A54" s="116"/>
      <c r="B54" s="57"/>
      <c r="C54" s="115"/>
      <c r="D54" s="117"/>
      <c r="E54" s="115"/>
      <c r="F54" s="117"/>
      <c r="G54" s="117"/>
    </row>
    <row r="55" spans="1:7" ht="15.6">
      <c r="A55" s="116"/>
      <c r="B55" s="57"/>
      <c r="C55" s="115"/>
      <c r="D55" s="117"/>
      <c r="E55" s="115"/>
      <c r="F55" s="117"/>
      <c r="G55" s="117"/>
    </row>
    <row r="56" spans="1:7" ht="15.6">
      <c r="A56" s="116"/>
      <c r="B56" s="57"/>
      <c r="C56" s="115"/>
      <c r="D56" s="117"/>
      <c r="E56" s="115"/>
      <c r="F56" s="117"/>
      <c r="G56" s="117"/>
    </row>
    <row r="57" spans="1:7" ht="15.6">
      <c r="A57" s="57"/>
      <c r="B57" s="57"/>
      <c r="C57" s="115"/>
      <c r="D57" s="117"/>
      <c r="E57" s="115"/>
      <c r="F57" s="117"/>
      <c r="G57" s="117"/>
    </row>
    <row r="58" spans="1:7" ht="15.6">
      <c r="A58" s="57"/>
      <c r="B58" s="57"/>
      <c r="C58" s="115"/>
      <c r="D58" s="57"/>
      <c r="E58" s="115"/>
      <c r="F58" s="117"/>
      <c r="G58" s="117"/>
    </row>
    <row r="59" spans="1:7" ht="15.6">
      <c r="E59" s="115"/>
      <c r="G59" s="1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5" sqref="E15"/>
    </sheetView>
  </sheetViews>
  <sheetFormatPr defaultRowHeight="14.4"/>
  <sheetData>
    <row r="1" spans="1:1">
      <c r="A1" s="58" t="s">
        <v>35</v>
      </c>
    </row>
    <row r="2" spans="1:1">
      <c r="A2" s="58" t="s">
        <v>36</v>
      </c>
    </row>
    <row r="4" spans="1:1">
      <c r="A4" s="58" t="s">
        <v>37</v>
      </c>
    </row>
    <row r="5" spans="1:1">
      <c r="A5" t="s">
        <v>38</v>
      </c>
    </row>
    <row r="6" spans="1:1">
      <c r="A6" s="59"/>
    </row>
  </sheetData>
  <hyperlinks>
    <hyperlink ref="A1" r:id="rId1"/>
    <hyperlink ref="A2" r:id="rId2" display="mailto:khanhnb.vpro@gmail.com"/>
    <hyperlink ref="A4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G4" sqref="G4"/>
    </sheetView>
  </sheetViews>
  <sheetFormatPr defaultRowHeight="14.4"/>
  <cols>
    <col min="1" max="1" width="19.44140625" customWidth="1"/>
    <col min="2" max="2" width="14.77734375" customWidth="1"/>
    <col min="3" max="3" width="46.33203125" customWidth="1"/>
    <col min="4" max="4" width="21.88671875" customWidth="1"/>
    <col min="5" max="5" width="25.88671875" customWidth="1"/>
    <col min="6" max="6" width="20" customWidth="1"/>
    <col min="7" max="7" width="8.77734375" customWidth="1"/>
    <col min="8" max="8" width="15.6640625" customWidth="1"/>
    <col min="9" max="9" width="14.77734375" customWidth="1"/>
    <col min="10" max="10" width="15.33203125" customWidth="1"/>
    <col min="11" max="11" width="17.33203125" customWidth="1"/>
    <col min="21" max="21" width="15.44140625" bestFit="1" customWidth="1"/>
    <col min="22" max="22" width="13" customWidth="1"/>
    <col min="23" max="23" width="14.109375" customWidth="1"/>
    <col min="24" max="24" width="14.21875" customWidth="1"/>
    <col min="25" max="25" width="12.109375" bestFit="1" customWidth="1"/>
    <col min="26" max="26" width="24.109375" customWidth="1"/>
  </cols>
  <sheetData>
    <row r="1" spans="1:27" ht="15.6">
      <c r="A1" s="211" t="s">
        <v>1</v>
      </c>
      <c r="B1" s="215" t="s">
        <v>2</v>
      </c>
      <c r="C1" s="211" t="s">
        <v>3</v>
      </c>
      <c r="D1" s="210"/>
      <c r="E1" s="211" t="s">
        <v>4</v>
      </c>
      <c r="F1" s="217" t="s">
        <v>5</v>
      </c>
      <c r="G1" s="211" t="s">
        <v>6</v>
      </c>
      <c r="H1" s="219" t="s">
        <v>7</v>
      </c>
      <c r="I1" s="220"/>
      <c r="J1" s="220"/>
      <c r="K1" s="220"/>
      <c r="L1" s="220"/>
      <c r="M1" s="220"/>
      <c r="N1" s="220"/>
      <c r="O1" s="220"/>
      <c r="P1" s="220"/>
      <c r="Q1" s="220"/>
      <c r="R1" s="221"/>
      <c r="S1" s="211" t="s">
        <v>8</v>
      </c>
      <c r="T1" s="222" t="s">
        <v>9</v>
      </c>
      <c r="U1" s="224" t="s">
        <v>10</v>
      </c>
      <c r="V1" s="222" t="s">
        <v>11</v>
      </c>
      <c r="W1" s="226" t="s">
        <v>12</v>
      </c>
      <c r="X1" s="226" t="s">
        <v>13</v>
      </c>
      <c r="Y1" s="222" t="s">
        <v>14</v>
      </c>
      <c r="Z1" s="211" t="s">
        <v>15</v>
      </c>
      <c r="AA1" s="12"/>
    </row>
    <row r="2" spans="1:27" ht="78">
      <c r="A2" s="212"/>
      <c r="B2" s="216"/>
      <c r="C2" s="212"/>
      <c r="D2" s="13" t="s">
        <v>16</v>
      </c>
      <c r="E2" s="212"/>
      <c r="F2" s="218"/>
      <c r="G2" s="212"/>
      <c r="H2" s="14" t="s">
        <v>17</v>
      </c>
      <c r="I2" s="14" t="s">
        <v>18</v>
      </c>
      <c r="J2" s="14" t="s">
        <v>19</v>
      </c>
      <c r="K2" s="14" t="s">
        <v>20</v>
      </c>
      <c r="L2" s="14" t="s">
        <v>21</v>
      </c>
      <c r="M2" s="14" t="s">
        <v>22</v>
      </c>
      <c r="N2" s="14" t="s">
        <v>23</v>
      </c>
      <c r="O2" s="14" t="s">
        <v>24</v>
      </c>
      <c r="P2" s="14" t="s">
        <v>25</v>
      </c>
      <c r="Q2" s="14" t="s">
        <v>26</v>
      </c>
      <c r="R2" s="14" t="s">
        <v>27</v>
      </c>
      <c r="S2" s="212"/>
      <c r="T2" s="223"/>
      <c r="U2" s="225"/>
      <c r="V2" s="223"/>
      <c r="W2" s="227"/>
      <c r="X2" s="227"/>
      <c r="Y2" s="223"/>
      <c r="Z2" s="212"/>
      <c r="AA2" s="15"/>
    </row>
    <row r="3" spans="1:27" ht="29.4" customHeight="1">
      <c r="A3" s="27" t="s">
        <v>1005</v>
      </c>
      <c r="B3" s="42">
        <v>42217</v>
      </c>
      <c r="C3" s="200" t="s">
        <v>1006</v>
      </c>
      <c r="D3" s="200" t="s">
        <v>1007</v>
      </c>
      <c r="E3" s="40" t="s">
        <v>361</v>
      </c>
      <c r="F3" s="21" t="s">
        <v>1008</v>
      </c>
      <c r="G3" s="22" t="s">
        <v>28</v>
      </c>
      <c r="H3" s="23">
        <v>830000</v>
      </c>
      <c r="I3" s="23"/>
      <c r="J3" s="23">
        <v>900000</v>
      </c>
      <c r="K3" s="24">
        <v>5100000</v>
      </c>
      <c r="L3" s="57"/>
      <c r="M3" s="57"/>
      <c r="N3" s="57"/>
      <c r="O3" s="57"/>
      <c r="P3" s="57"/>
      <c r="Q3" s="57"/>
      <c r="R3" s="57"/>
      <c r="S3" s="57"/>
      <c r="T3" s="24"/>
      <c r="U3" s="16">
        <f t="shared" ref="U3:U30" si="0">+SUM(H3:T3)</f>
        <v>6830000</v>
      </c>
      <c r="V3" s="23"/>
      <c r="W3" s="122"/>
      <c r="X3" s="81"/>
      <c r="Y3" s="22">
        <f t="shared" ref="Y3:Y30" si="1">U3-V3</f>
        <v>6830000</v>
      </c>
      <c r="Z3" s="57"/>
    </row>
    <row r="4" spans="1:27" ht="33.6" customHeight="1">
      <c r="A4" s="27" t="s">
        <v>1012</v>
      </c>
      <c r="B4" s="42">
        <v>42219</v>
      </c>
      <c r="C4" s="200" t="s">
        <v>1013</v>
      </c>
      <c r="D4" s="200" t="s">
        <v>1014</v>
      </c>
      <c r="E4" s="40" t="s">
        <v>361</v>
      </c>
      <c r="F4" s="21" t="s">
        <v>996</v>
      </c>
      <c r="G4" s="22" t="s">
        <v>752</v>
      </c>
      <c r="H4" s="23">
        <v>250000</v>
      </c>
      <c r="I4" s="23"/>
      <c r="J4" s="23">
        <v>1080000</v>
      </c>
      <c r="K4" s="24"/>
      <c r="L4" s="57"/>
      <c r="M4" s="57"/>
      <c r="N4" s="57"/>
      <c r="O4" s="57"/>
      <c r="P4" s="57"/>
      <c r="Q4" s="57"/>
      <c r="R4" s="57"/>
      <c r="S4" s="57"/>
      <c r="T4" s="24"/>
      <c r="U4" s="16">
        <f t="shared" si="0"/>
        <v>1330000</v>
      </c>
      <c r="V4" s="23"/>
      <c r="W4" s="122"/>
      <c r="X4" s="81"/>
      <c r="Y4" s="22">
        <f t="shared" si="1"/>
        <v>1330000</v>
      </c>
      <c r="Z4" s="57"/>
    </row>
    <row r="5" spans="1:27" ht="37.799999999999997" customHeight="1">
      <c r="A5" s="23" t="s">
        <v>1015</v>
      </c>
      <c r="B5" s="42">
        <v>42222</v>
      </c>
      <c r="C5" s="200" t="s">
        <v>1016</v>
      </c>
      <c r="D5" s="200" t="s">
        <v>1017</v>
      </c>
      <c r="E5" s="40" t="s">
        <v>361</v>
      </c>
      <c r="F5" s="21" t="s">
        <v>1018</v>
      </c>
      <c r="G5" s="22" t="s">
        <v>28</v>
      </c>
      <c r="H5" s="23">
        <v>500000</v>
      </c>
      <c r="I5" s="23"/>
      <c r="J5" s="23">
        <v>1620000</v>
      </c>
      <c r="K5" s="24">
        <v>2000000</v>
      </c>
      <c r="L5" s="57"/>
      <c r="M5" s="57"/>
      <c r="N5" s="57"/>
      <c r="O5" s="57"/>
      <c r="P5" s="57"/>
      <c r="Q5" s="57"/>
      <c r="R5" s="57"/>
      <c r="S5" s="57"/>
      <c r="T5" s="24"/>
      <c r="U5" s="16">
        <f t="shared" si="0"/>
        <v>4120000</v>
      </c>
      <c r="V5" s="23">
        <v>2060000</v>
      </c>
      <c r="W5" s="122">
        <v>42222</v>
      </c>
      <c r="X5" s="81"/>
      <c r="Y5" s="22">
        <f t="shared" si="1"/>
        <v>2060000</v>
      </c>
      <c r="Z5" s="57"/>
    </row>
    <row r="6" spans="1:27" ht="31.2">
      <c r="A6" s="23" t="s">
        <v>1020</v>
      </c>
      <c r="B6" s="42">
        <v>42219</v>
      </c>
      <c r="C6" s="200" t="s">
        <v>1019</v>
      </c>
      <c r="D6" s="200" t="s">
        <v>1021</v>
      </c>
      <c r="E6" s="40" t="s">
        <v>361</v>
      </c>
      <c r="F6" s="21" t="s">
        <v>1022</v>
      </c>
      <c r="G6" s="22" t="s">
        <v>578</v>
      </c>
      <c r="H6" s="23">
        <v>250000</v>
      </c>
      <c r="I6" s="23"/>
      <c r="J6" s="23">
        <v>0</v>
      </c>
      <c r="K6" s="24">
        <v>2750000</v>
      </c>
      <c r="L6" s="57"/>
      <c r="M6" s="57"/>
      <c r="N6" s="57"/>
      <c r="O6" s="57"/>
      <c r="P6" s="57"/>
      <c r="Q6" s="57"/>
      <c r="R6" s="57"/>
      <c r="S6" s="57"/>
      <c r="T6" s="24"/>
      <c r="U6" s="16">
        <f t="shared" si="0"/>
        <v>3000000</v>
      </c>
      <c r="V6" s="23"/>
      <c r="W6" s="122"/>
      <c r="X6" s="81"/>
      <c r="Y6" s="22">
        <f t="shared" si="1"/>
        <v>3000000</v>
      </c>
      <c r="Z6" s="57"/>
    </row>
    <row r="7" spans="1:27" ht="46.8">
      <c r="A7" s="27" t="s">
        <v>1023</v>
      </c>
      <c r="B7" s="42">
        <v>42221</v>
      </c>
      <c r="C7" s="200" t="s">
        <v>1025</v>
      </c>
      <c r="D7" s="203" t="s">
        <v>1024</v>
      </c>
      <c r="E7" s="40" t="s">
        <v>224</v>
      </c>
      <c r="F7" s="21" t="s">
        <v>1026</v>
      </c>
      <c r="G7" s="22" t="s">
        <v>1027</v>
      </c>
      <c r="H7" s="23"/>
      <c r="I7" s="23"/>
      <c r="J7" s="23">
        <v>0</v>
      </c>
      <c r="K7" s="24">
        <v>2500000</v>
      </c>
      <c r="L7" s="57"/>
      <c r="M7" s="57"/>
      <c r="N7" s="57"/>
      <c r="O7" s="57"/>
      <c r="P7" s="57"/>
      <c r="Q7" s="57"/>
      <c r="R7" s="57"/>
      <c r="S7" s="57"/>
      <c r="T7" s="24"/>
      <c r="U7" s="16">
        <f t="shared" si="0"/>
        <v>2500000</v>
      </c>
      <c r="V7" s="23"/>
      <c r="W7" s="122"/>
      <c r="X7" s="81"/>
      <c r="Y7" s="22">
        <f t="shared" si="1"/>
        <v>2500000</v>
      </c>
      <c r="Z7" s="57"/>
    </row>
    <row r="8" spans="1:27" ht="31.2">
      <c r="A8" s="27" t="s">
        <v>1036</v>
      </c>
      <c r="B8" s="42">
        <v>42223</v>
      </c>
      <c r="C8" s="200" t="s">
        <v>1037</v>
      </c>
      <c r="D8" s="200"/>
      <c r="E8" s="40" t="s">
        <v>361</v>
      </c>
      <c r="F8" s="21" t="s">
        <v>1038</v>
      </c>
      <c r="G8" s="22" t="s">
        <v>140</v>
      </c>
      <c r="H8" s="23">
        <v>250000</v>
      </c>
      <c r="I8" s="23"/>
      <c r="J8" s="23">
        <v>0</v>
      </c>
      <c r="K8" s="24">
        <v>3250000</v>
      </c>
      <c r="L8" s="57"/>
      <c r="M8" s="57"/>
      <c r="N8" s="57"/>
      <c r="O8" s="57"/>
      <c r="P8" s="57"/>
      <c r="Q8" s="57"/>
      <c r="R8" s="57"/>
      <c r="S8" s="57"/>
      <c r="T8" s="24"/>
      <c r="U8" s="16">
        <f t="shared" si="0"/>
        <v>3500000</v>
      </c>
      <c r="V8" s="23">
        <v>1750000</v>
      </c>
      <c r="W8" s="122">
        <v>42223</v>
      </c>
      <c r="X8" s="81"/>
      <c r="Y8" s="22">
        <f t="shared" si="1"/>
        <v>1750000</v>
      </c>
      <c r="Z8" s="57"/>
    </row>
    <row r="9" spans="1:27" ht="46.8">
      <c r="A9" s="27"/>
      <c r="B9" s="42">
        <v>42224</v>
      </c>
      <c r="C9" s="204" t="s">
        <v>1039</v>
      </c>
      <c r="D9" s="117" t="s">
        <v>1040</v>
      </c>
      <c r="E9" s="28" t="s">
        <v>310</v>
      </c>
      <c r="F9" s="205" t="s">
        <v>1041</v>
      </c>
      <c r="G9" s="22" t="s">
        <v>94</v>
      </c>
      <c r="H9" s="23">
        <v>350000</v>
      </c>
      <c r="I9" s="23"/>
      <c r="J9" s="23"/>
      <c r="K9" s="24"/>
      <c r="L9" s="57"/>
      <c r="M9" s="57"/>
      <c r="N9" s="57"/>
      <c r="O9" s="57"/>
      <c r="P9" s="57"/>
      <c r="Q9" s="57"/>
      <c r="R9" s="57"/>
      <c r="S9" s="57"/>
      <c r="T9" s="24"/>
      <c r="U9" s="16">
        <f t="shared" si="0"/>
        <v>350000</v>
      </c>
      <c r="V9" s="23">
        <v>350000</v>
      </c>
      <c r="W9" s="122">
        <v>42224</v>
      </c>
      <c r="X9" s="81"/>
      <c r="Y9" s="22">
        <f t="shared" si="1"/>
        <v>0</v>
      </c>
      <c r="Z9" s="57"/>
    </row>
    <row r="10" spans="1:27" ht="46.8">
      <c r="A10" s="27" t="s">
        <v>1042</v>
      </c>
      <c r="B10" s="42">
        <v>42226</v>
      </c>
      <c r="C10" s="200" t="s">
        <v>1043</v>
      </c>
      <c r="D10" s="28" t="s">
        <v>1046</v>
      </c>
      <c r="E10" s="201" t="s">
        <v>1045</v>
      </c>
      <c r="F10" s="21" t="s">
        <v>1044</v>
      </c>
      <c r="G10" s="22" t="s">
        <v>91</v>
      </c>
      <c r="H10" s="23">
        <v>600000</v>
      </c>
      <c r="I10" s="23"/>
      <c r="J10" s="23">
        <v>4860000</v>
      </c>
      <c r="K10" s="24"/>
      <c r="L10" s="57"/>
      <c r="M10" s="57"/>
      <c r="N10" s="57"/>
      <c r="O10" s="57"/>
      <c r="P10" s="57"/>
      <c r="Q10" s="57"/>
      <c r="R10" s="57"/>
      <c r="S10" s="57"/>
      <c r="T10" s="24">
        <v>486000</v>
      </c>
      <c r="U10" s="16">
        <f t="shared" si="0"/>
        <v>5946000</v>
      </c>
      <c r="V10" s="23"/>
      <c r="W10" s="122"/>
      <c r="X10" s="131" t="s">
        <v>1048</v>
      </c>
      <c r="Y10" s="22">
        <f t="shared" si="1"/>
        <v>5946000</v>
      </c>
      <c r="Z10" s="57"/>
    </row>
    <row r="11" spans="1:27" ht="15.6">
      <c r="A11" s="27"/>
      <c r="B11" s="42">
        <v>42226</v>
      </c>
      <c r="C11" s="200" t="s">
        <v>278</v>
      </c>
      <c r="D11" s="202"/>
      <c r="E11" s="201" t="s">
        <v>577</v>
      </c>
      <c r="F11" s="21" t="s">
        <v>1052</v>
      </c>
      <c r="G11" s="22"/>
      <c r="H11" s="23"/>
      <c r="I11" s="23"/>
      <c r="J11" s="23">
        <v>400000</v>
      </c>
      <c r="K11" s="24"/>
      <c r="L11" s="57"/>
      <c r="M11" s="57"/>
      <c r="N11" s="57"/>
      <c r="O11" s="57"/>
      <c r="P11" s="57"/>
      <c r="Q11" s="57"/>
      <c r="R11" s="57"/>
      <c r="S11" s="57"/>
      <c r="T11" s="24"/>
      <c r="U11" s="16">
        <f t="shared" si="0"/>
        <v>400000</v>
      </c>
      <c r="V11" s="23">
        <v>400000</v>
      </c>
      <c r="W11" s="122">
        <v>42226</v>
      </c>
      <c r="X11" s="81"/>
      <c r="Y11" s="22">
        <f t="shared" si="1"/>
        <v>0</v>
      </c>
      <c r="Z11" s="57"/>
    </row>
    <row r="12" spans="1:27" ht="78">
      <c r="A12" s="27"/>
      <c r="B12" s="42">
        <v>42227</v>
      </c>
      <c r="C12" s="200" t="s">
        <v>278</v>
      </c>
      <c r="D12" s="202"/>
      <c r="E12" s="201" t="s">
        <v>1050</v>
      </c>
      <c r="F12" s="21" t="s">
        <v>1051</v>
      </c>
      <c r="G12" s="22"/>
      <c r="H12" s="23">
        <v>500000</v>
      </c>
      <c r="I12" s="23"/>
      <c r="J12" s="23"/>
      <c r="K12" s="24"/>
      <c r="L12" s="57"/>
      <c r="M12" s="57"/>
      <c r="N12" s="57"/>
      <c r="O12" s="57"/>
      <c r="P12" s="57"/>
      <c r="Q12" s="57"/>
      <c r="R12" s="57"/>
      <c r="S12" s="57"/>
      <c r="T12" s="24"/>
      <c r="U12" s="16">
        <f t="shared" si="0"/>
        <v>500000</v>
      </c>
      <c r="V12" s="23">
        <v>500000</v>
      </c>
      <c r="W12" s="122">
        <v>42227</v>
      </c>
      <c r="X12" s="81"/>
      <c r="Y12" s="22">
        <f t="shared" si="1"/>
        <v>0</v>
      </c>
      <c r="Z12" s="57"/>
    </row>
    <row r="13" spans="1:27" ht="46.8">
      <c r="A13" s="23" t="s">
        <v>1055</v>
      </c>
      <c r="B13" s="42">
        <v>42227</v>
      </c>
      <c r="C13" s="200" t="s">
        <v>1053</v>
      </c>
      <c r="D13" s="202"/>
      <c r="E13" s="40" t="s">
        <v>361</v>
      </c>
      <c r="F13" s="21" t="s">
        <v>1054</v>
      </c>
      <c r="G13" s="22" t="s">
        <v>91</v>
      </c>
      <c r="H13" s="23">
        <v>250000</v>
      </c>
      <c r="I13" s="23"/>
      <c r="J13" s="23">
        <v>0</v>
      </c>
      <c r="K13" s="24">
        <v>6750000</v>
      </c>
      <c r="L13" s="57"/>
      <c r="M13" s="57"/>
      <c r="N13" s="57"/>
      <c r="O13" s="57"/>
      <c r="P13" s="57"/>
      <c r="Q13" s="57"/>
      <c r="R13" s="57"/>
      <c r="S13" s="57"/>
      <c r="T13" s="24"/>
      <c r="U13" s="16">
        <f t="shared" si="0"/>
        <v>7000000</v>
      </c>
      <c r="V13" s="23">
        <v>3500000</v>
      </c>
      <c r="W13" s="122">
        <v>42233</v>
      </c>
      <c r="X13" s="81"/>
      <c r="Y13" s="22">
        <f t="shared" si="1"/>
        <v>3500000</v>
      </c>
      <c r="Z13" s="57"/>
    </row>
    <row r="14" spans="1:27" ht="31.2">
      <c r="A14" s="27" t="s">
        <v>1057</v>
      </c>
      <c r="B14" s="42">
        <v>42228</v>
      </c>
      <c r="C14" s="200" t="s">
        <v>1058</v>
      </c>
      <c r="D14" s="202"/>
      <c r="E14" s="201" t="s">
        <v>96</v>
      </c>
      <c r="F14" s="21" t="s">
        <v>1059</v>
      </c>
      <c r="G14" s="22" t="s">
        <v>91</v>
      </c>
      <c r="H14" s="23">
        <v>750000</v>
      </c>
      <c r="I14" s="23"/>
      <c r="J14" s="23">
        <v>4374000</v>
      </c>
      <c r="K14" s="24"/>
      <c r="L14" s="57"/>
      <c r="M14" s="57"/>
      <c r="N14" s="57"/>
      <c r="O14" s="57"/>
      <c r="P14" s="57"/>
      <c r="Q14" s="57"/>
      <c r="R14" s="57"/>
      <c r="S14" s="57"/>
      <c r="T14" s="24">
        <v>512400</v>
      </c>
      <c r="U14" s="16">
        <f t="shared" si="0"/>
        <v>5636400</v>
      </c>
      <c r="V14" s="23">
        <v>5636400</v>
      </c>
      <c r="W14" s="122">
        <v>42230</v>
      </c>
      <c r="X14" s="32" t="s">
        <v>1056</v>
      </c>
      <c r="Y14" s="22">
        <f t="shared" si="1"/>
        <v>0</v>
      </c>
      <c r="Z14" s="57"/>
    </row>
    <row r="15" spans="1:27" ht="31.2">
      <c r="A15" s="23" t="s">
        <v>1063</v>
      </c>
      <c r="B15" s="42">
        <v>42229</v>
      </c>
      <c r="C15" s="200" t="s">
        <v>1064</v>
      </c>
      <c r="D15" s="186" t="s">
        <v>1065</v>
      </c>
      <c r="E15" s="40" t="s">
        <v>361</v>
      </c>
      <c r="F15" s="21" t="s">
        <v>1082</v>
      </c>
      <c r="G15" s="22" t="s">
        <v>739</v>
      </c>
      <c r="H15" s="23">
        <v>250000</v>
      </c>
      <c r="I15" s="23"/>
      <c r="J15" s="23">
        <v>1620000</v>
      </c>
      <c r="K15" s="24"/>
      <c r="L15" s="57"/>
      <c r="M15" s="57"/>
      <c r="N15" s="57"/>
      <c r="O15" s="57"/>
      <c r="P15" s="57"/>
      <c r="Q15" s="57"/>
      <c r="R15" s="57"/>
      <c r="S15" s="57"/>
      <c r="T15" s="24"/>
      <c r="U15" s="16">
        <f t="shared" si="0"/>
        <v>1870000</v>
      </c>
      <c r="V15" s="23">
        <v>1870000</v>
      </c>
      <c r="W15" s="122">
        <v>42233</v>
      </c>
      <c r="X15" s="32"/>
      <c r="Y15" s="22">
        <f t="shared" si="1"/>
        <v>0</v>
      </c>
      <c r="Z15" s="57"/>
    </row>
    <row r="16" spans="1:27" ht="31.2">
      <c r="A16" s="23" t="s">
        <v>1066</v>
      </c>
      <c r="B16" s="42">
        <v>42229</v>
      </c>
      <c r="C16" s="200" t="s">
        <v>1067</v>
      </c>
      <c r="D16" s="186" t="s">
        <v>1068</v>
      </c>
      <c r="E16" s="40" t="s">
        <v>361</v>
      </c>
      <c r="F16" s="21" t="s">
        <v>1069</v>
      </c>
      <c r="G16" s="22" t="s">
        <v>28</v>
      </c>
      <c r="H16" s="23">
        <v>700000</v>
      </c>
      <c r="I16" s="23"/>
      <c r="J16" s="23">
        <v>1440000</v>
      </c>
      <c r="K16" s="24"/>
      <c r="L16" s="57"/>
      <c r="M16" s="57"/>
      <c r="N16" s="57"/>
      <c r="O16" s="57"/>
      <c r="P16" s="57"/>
      <c r="Q16" s="57"/>
      <c r="R16" s="57"/>
      <c r="S16" s="57"/>
      <c r="T16" s="24">
        <v>144000</v>
      </c>
      <c r="U16" s="16">
        <f t="shared" si="0"/>
        <v>2284000</v>
      </c>
      <c r="V16" s="23">
        <v>2284000</v>
      </c>
      <c r="W16" s="122">
        <v>42237</v>
      </c>
      <c r="X16" s="32" t="s">
        <v>1083</v>
      </c>
      <c r="Y16" s="22">
        <f t="shared" si="1"/>
        <v>0</v>
      </c>
      <c r="Z16" s="57"/>
    </row>
    <row r="17" spans="1:26" ht="31.2">
      <c r="A17" s="23" t="s">
        <v>1070</v>
      </c>
      <c r="B17" s="42">
        <v>42230</v>
      </c>
      <c r="C17" s="200" t="s">
        <v>1071</v>
      </c>
      <c r="D17" s="186" t="s">
        <v>1072</v>
      </c>
      <c r="E17" s="40" t="s">
        <v>361</v>
      </c>
      <c r="F17" s="21"/>
      <c r="G17" s="22" t="s">
        <v>1061</v>
      </c>
      <c r="H17" s="23">
        <v>250000</v>
      </c>
      <c r="I17" s="23"/>
      <c r="J17" s="23">
        <v>1620000</v>
      </c>
      <c r="K17" s="24">
        <v>2130000</v>
      </c>
      <c r="L17" s="57"/>
      <c r="M17" s="57"/>
      <c r="N17" s="57"/>
      <c r="O17" s="57"/>
      <c r="P17" s="57"/>
      <c r="Q17" s="57"/>
      <c r="R17" s="57"/>
      <c r="S17" s="57"/>
      <c r="T17" s="24"/>
      <c r="U17" s="16">
        <f t="shared" si="0"/>
        <v>4000000</v>
      </c>
      <c r="V17" s="23"/>
      <c r="W17" s="122"/>
      <c r="X17" s="32"/>
      <c r="Y17" s="22">
        <f t="shared" si="1"/>
        <v>4000000</v>
      </c>
      <c r="Z17" s="57"/>
    </row>
    <row r="18" spans="1:26" ht="46.8">
      <c r="A18" s="27" t="s">
        <v>1073</v>
      </c>
      <c r="B18" s="42">
        <v>42231</v>
      </c>
      <c r="C18" s="200" t="s">
        <v>1074</v>
      </c>
      <c r="D18" s="186" t="s">
        <v>1075</v>
      </c>
      <c r="E18" s="201" t="s">
        <v>96</v>
      </c>
      <c r="F18" s="21" t="s">
        <v>1076</v>
      </c>
      <c r="G18" s="22" t="s">
        <v>1061</v>
      </c>
      <c r="H18" s="23">
        <v>350000</v>
      </c>
      <c r="I18" s="23"/>
      <c r="J18" s="23">
        <v>1080000</v>
      </c>
      <c r="K18" s="24"/>
      <c r="L18" s="57"/>
      <c r="M18" s="57"/>
      <c r="N18" s="57"/>
      <c r="O18" s="57"/>
      <c r="P18" s="57"/>
      <c r="Q18" s="57"/>
      <c r="R18" s="57"/>
      <c r="S18" s="57"/>
      <c r="T18" s="24">
        <v>108000</v>
      </c>
      <c r="U18" s="16">
        <f t="shared" si="0"/>
        <v>1538000</v>
      </c>
      <c r="V18" s="23"/>
      <c r="W18" s="122"/>
      <c r="X18" s="32" t="s">
        <v>1077</v>
      </c>
      <c r="Y18" s="22">
        <f t="shared" si="1"/>
        <v>1538000</v>
      </c>
      <c r="Z18" s="57"/>
    </row>
    <row r="19" spans="1:26" ht="15.6">
      <c r="A19" s="23" t="s">
        <v>1078</v>
      </c>
      <c r="B19" s="42">
        <v>42233</v>
      </c>
      <c r="C19" s="200" t="s">
        <v>1079</v>
      </c>
      <c r="D19" s="207" t="s">
        <v>1080</v>
      </c>
      <c r="E19" s="40" t="s">
        <v>224</v>
      </c>
      <c r="F19" s="21"/>
      <c r="G19" s="22" t="s">
        <v>28</v>
      </c>
      <c r="H19" s="23"/>
      <c r="I19" s="23"/>
      <c r="J19" s="23">
        <v>0</v>
      </c>
      <c r="K19" s="24">
        <v>7000000</v>
      </c>
      <c r="L19" s="57"/>
      <c r="M19" s="57"/>
      <c r="N19" s="57"/>
      <c r="O19" s="57"/>
      <c r="P19" s="57"/>
      <c r="Q19" s="57"/>
      <c r="R19" s="57"/>
      <c r="S19" s="57"/>
      <c r="T19" s="24"/>
      <c r="U19" s="16">
        <f t="shared" si="0"/>
        <v>7000000</v>
      </c>
      <c r="V19" s="23">
        <v>3500000</v>
      </c>
      <c r="W19" s="122">
        <v>42233</v>
      </c>
      <c r="X19" s="81"/>
      <c r="Y19" s="22">
        <f t="shared" si="1"/>
        <v>3500000</v>
      </c>
      <c r="Z19" s="57"/>
    </row>
    <row r="20" spans="1:26" ht="46.8">
      <c r="A20" s="27"/>
      <c r="B20" s="42">
        <v>42234</v>
      </c>
      <c r="C20" s="200" t="s">
        <v>1084</v>
      </c>
      <c r="D20" s="208" t="s">
        <v>1085</v>
      </c>
      <c r="E20" s="40" t="s">
        <v>96</v>
      </c>
      <c r="F20" s="205" t="s">
        <v>1086</v>
      </c>
      <c r="G20" s="22" t="s">
        <v>47</v>
      </c>
      <c r="H20" s="23"/>
      <c r="I20" s="23"/>
      <c r="J20" s="23">
        <v>1824000</v>
      </c>
      <c r="K20" s="24"/>
      <c r="L20" s="57"/>
      <c r="M20" s="57"/>
      <c r="N20" s="57"/>
      <c r="O20" s="57"/>
      <c r="P20" s="57"/>
      <c r="Q20" s="57"/>
      <c r="R20" s="57"/>
      <c r="S20" s="57"/>
      <c r="T20" s="24"/>
      <c r="U20" s="16">
        <f t="shared" si="0"/>
        <v>1824000</v>
      </c>
      <c r="V20" s="23">
        <v>1824000</v>
      </c>
      <c r="W20" s="122">
        <v>42234</v>
      </c>
      <c r="X20" s="81"/>
      <c r="Y20" s="22">
        <f t="shared" si="1"/>
        <v>0</v>
      </c>
      <c r="Z20" s="57" t="s">
        <v>1090</v>
      </c>
    </row>
    <row r="21" spans="1:26" ht="31.2">
      <c r="A21" s="23" t="s">
        <v>1087</v>
      </c>
      <c r="B21" s="42">
        <v>42234</v>
      </c>
      <c r="C21" s="200" t="s">
        <v>1088</v>
      </c>
      <c r="D21" s="202" t="s">
        <v>1089</v>
      </c>
      <c r="E21" s="201" t="s">
        <v>224</v>
      </c>
      <c r="F21" s="21" t="s">
        <v>1124</v>
      </c>
      <c r="G21" s="22" t="s">
        <v>125</v>
      </c>
      <c r="H21" s="23"/>
      <c r="I21" s="23"/>
      <c r="J21" s="23">
        <v>2280000</v>
      </c>
      <c r="K21" s="24">
        <v>5720000</v>
      </c>
      <c r="L21" s="57"/>
      <c r="M21" s="57"/>
      <c r="N21" s="57"/>
      <c r="O21" s="57"/>
      <c r="P21" s="57"/>
      <c r="Q21" s="57"/>
      <c r="R21" s="57"/>
      <c r="S21" s="24"/>
      <c r="T21" s="24"/>
      <c r="U21" s="16">
        <f t="shared" si="0"/>
        <v>8000000</v>
      </c>
      <c r="V21" s="23">
        <v>4000000</v>
      </c>
      <c r="W21" s="122">
        <v>42238</v>
      </c>
      <c r="X21" s="81"/>
      <c r="Y21" s="22">
        <f t="shared" si="1"/>
        <v>4000000</v>
      </c>
      <c r="Z21" s="57"/>
    </row>
    <row r="22" spans="1:26" ht="15.6">
      <c r="A22" s="27" t="s">
        <v>1092</v>
      </c>
      <c r="B22" s="42">
        <v>42226</v>
      </c>
      <c r="C22" s="200" t="s">
        <v>1091</v>
      </c>
      <c r="D22" s="202" t="s">
        <v>1093</v>
      </c>
      <c r="E22" s="201"/>
      <c r="F22" s="21" t="s">
        <v>1094</v>
      </c>
      <c r="G22" s="22" t="s">
        <v>1095</v>
      </c>
      <c r="H22" s="23">
        <v>830000</v>
      </c>
      <c r="I22" s="23"/>
      <c r="J22" s="23"/>
      <c r="K22" s="24">
        <v>1670000</v>
      </c>
      <c r="L22" s="57"/>
      <c r="M22" s="57"/>
      <c r="N22" s="57"/>
      <c r="O22" s="57"/>
      <c r="P22" s="57"/>
      <c r="Q22" s="57"/>
      <c r="R22" s="57"/>
      <c r="S22" s="57"/>
      <c r="T22" s="24"/>
      <c r="U22" s="16">
        <f t="shared" si="0"/>
        <v>2500000</v>
      </c>
      <c r="V22" s="23"/>
      <c r="W22" s="122"/>
      <c r="X22" s="81"/>
      <c r="Y22" s="22">
        <f t="shared" si="1"/>
        <v>2500000</v>
      </c>
      <c r="Z22" s="57"/>
    </row>
    <row r="23" spans="1:26" ht="31.2">
      <c r="A23" s="27" t="s">
        <v>1096</v>
      </c>
      <c r="B23" s="42">
        <v>42234</v>
      </c>
      <c r="C23" s="200" t="s">
        <v>1097</v>
      </c>
      <c r="D23" s="202"/>
      <c r="E23" s="40" t="s">
        <v>361</v>
      </c>
      <c r="F23" s="21"/>
      <c r="G23" s="22" t="s">
        <v>1103</v>
      </c>
      <c r="H23" s="23">
        <v>250000</v>
      </c>
      <c r="I23" s="23"/>
      <c r="J23" s="23">
        <v>1620000</v>
      </c>
      <c r="K23" s="24">
        <v>3130000</v>
      </c>
      <c r="L23" s="57"/>
      <c r="M23" s="57"/>
      <c r="N23" s="57"/>
      <c r="O23" s="57"/>
      <c r="P23" s="57"/>
      <c r="Q23" s="57"/>
      <c r="R23" s="57"/>
      <c r="S23" s="57"/>
      <c r="T23" s="24"/>
      <c r="U23" s="16">
        <f t="shared" si="0"/>
        <v>5000000</v>
      </c>
      <c r="V23" s="23"/>
      <c r="W23" s="122"/>
      <c r="X23" s="81"/>
      <c r="Y23" s="22">
        <f t="shared" si="1"/>
        <v>5000000</v>
      </c>
      <c r="Z23" s="57"/>
    </row>
    <row r="24" spans="1:26" ht="46.8">
      <c r="A24" s="27" t="s">
        <v>1099</v>
      </c>
      <c r="B24" s="42">
        <v>42236</v>
      </c>
      <c r="C24" s="200" t="s">
        <v>1100</v>
      </c>
      <c r="D24" s="202" t="s">
        <v>1101</v>
      </c>
      <c r="E24" s="40" t="s">
        <v>361</v>
      </c>
      <c r="F24" s="21" t="s">
        <v>1102</v>
      </c>
      <c r="G24" s="22" t="s">
        <v>903</v>
      </c>
      <c r="H24" s="23">
        <v>250000</v>
      </c>
      <c r="I24" s="23"/>
      <c r="J24" s="23">
        <v>1440000</v>
      </c>
      <c r="K24" s="24">
        <v>1310000</v>
      </c>
      <c r="L24" s="57"/>
      <c r="M24" s="57"/>
      <c r="N24" s="57"/>
      <c r="O24" s="57"/>
      <c r="P24" s="57"/>
      <c r="Q24" s="57"/>
      <c r="R24" s="57"/>
      <c r="S24" s="57"/>
      <c r="T24" s="24"/>
      <c r="U24" s="16">
        <f t="shared" si="0"/>
        <v>3000000</v>
      </c>
      <c r="V24" s="23"/>
      <c r="W24" s="122"/>
      <c r="X24" s="81"/>
      <c r="Y24" s="22">
        <f t="shared" si="1"/>
        <v>3000000</v>
      </c>
      <c r="Z24" s="57"/>
    </row>
    <row r="25" spans="1:26" ht="46.8">
      <c r="A25" s="27" t="s">
        <v>1106</v>
      </c>
      <c r="B25" s="42">
        <v>42234</v>
      </c>
      <c r="C25" s="200" t="s">
        <v>1107</v>
      </c>
      <c r="D25" s="202" t="s">
        <v>1108</v>
      </c>
      <c r="E25" s="201" t="s">
        <v>134</v>
      </c>
      <c r="F25" s="21" t="s">
        <v>1109</v>
      </c>
      <c r="G25" s="22" t="s">
        <v>1061</v>
      </c>
      <c r="H25" s="23">
        <v>350000</v>
      </c>
      <c r="I25" s="23"/>
      <c r="J25" s="23">
        <v>2280000</v>
      </c>
      <c r="K25" s="24"/>
      <c r="L25" s="57"/>
      <c r="M25" s="57"/>
      <c r="N25" s="57"/>
      <c r="O25" s="57"/>
      <c r="P25" s="57"/>
      <c r="Q25" s="57"/>
      <c r="R25" s="57"/>
      <c r="S25" s="57"/>
      <c r="T25" s="24">
        <v>228000</v>
      </c>
      <c r="U25" s="16">
        <f t="shared" si="0"/>
        <v>2858000</v>
      </c>
      <c r="V25" s="23"/>
      <c r="W25" s="122"/>
      <c r="X25" s="81"/>
      <c r="Y25" s="22">
        <f t="shared" si="1"/>
        <v>2858000</v>
      </c>
      <c r="Z25" s="57"/>
    </row>
    <row r="26" spans="1:26" ht="31.2">
      <c r="A26" s="27" t="s">
        <v>1111</v>
      </c>
      <c r="B26" s="42">
        <v>42236</v>
      </c>
      <c r="C26" s="200" t="s">
        <v>1110</v>
      </c>
      <c r="D26" s="202" t="s">
        <v>1112</v>
      </c>
      <c r="E26" s="201" t="s">
        <v>1114</v>
      </c>
      <c r="F26" s="21" t="s">
        <v>1113</v>
      </c>
      <c r="G26" s="22" t="s">
        <v>28</v>
      </c>
      <c r="H26" s="23"/>
      <c r="I26" s="23"/>
      <c r="J26" s="23">
        <v>1620000</v>
      </c>
      <c r="K26" s="24">
        <v>0</v>
      </c>
      <c r="L26" s="57"/>
      <c r="M26" s="57"/>
      <c r="N26" s="57"/>
      <c r="O26" s="57"/>
      <c r="P26" s="57"/>
      <c r="Q26" s="57"/>
      <c r="R26" s="57"/>
      <c r="S26" s="57"/>
      <c r="T26" s="24">
        <v>162000</v>
      </c>
      <c r="U26" s="16">
        <f t="shared" si="0"/>
        <v>1782000</v>
      </c>
      <c r="V26" s="23">
        <v>1782000</v>
      </c>
      <c r="W26" s="122">
        <v>42237</v>
      </c>
      <c r="X26" s="81"/>
      <c r="Y26" s="22">
        <f t="shared" si="1"/>
        <v>0</v>
      </c>
      <c r="Z26" s="57"/>
    </row>
    <row r="27" spans="1:26" ht="46.8">
      <c r="A27" s="27" t="s">
        <v>1115</v>
      </c>
      <c r="B27" s="42">
        <v>42237</v>
      </c>
      <c r="C27" s="200" t="s">
        <v>1116</v>
      </c>
      <c r="D27" s="202" t="s">
        <v>1117</v>
      </c>
      <c r="E27" s="40" t="s">
        <v>361</v>
      </c>
      <c r="F27" s="21" t="s">
        <v>1118</v>
      </c>
      <c r="G27" s="22" t="s">
        <v>903</v>
      </c>
      <c r="H27" s="23">
        <v>250000</v>
      </c>
      <c r="I27" s="23"/>
      <c r="J27" s="23">
        <v>1080000</v>
      </c>
      <c r="K27" s="24"/>
      <c r="L27" s="57"/>
      <c r="M27" s="57"/>
      <c r="N27" s="57"/>
      <c r="O27" s="57"/>
      <c r="P27" s="57"/>
      <c r="Q27" s="57"/>
      <c r="R27" s="57"/>
      <c r="S27" s="57"/>
      <c r="T27" s="24"/>
      <c r="U27" s="16">
        <f t="shared" si="0"/>
        <v>1330000</v>
      </c>
      <c r="V27" s="23"/>
      <c r="W27" s="122"/>
      <c r="X27" s="81"/>
      <c r="Y27" s="22">
        <f t="shared" si="1"/>
        <v>1330000</v>
      </c>
      <c r="Z27" s="57"/>
    </row>
    <row r="28" spans="1:26" ht="46.8">
      <c r="A28" s="27" t="s">
        <v>1122</v>
      </c>
      <c r="B28" s="42">
        <v>42237</v>
      </c>
      <c r="C28" s="200" t="s">
        <v>1121</v>
      </c>
      <c r="D28" s="202" t="s">
        <v>1123</v>
      </c>
      <c r="E28" s="201" t="s">
        <v>134</v>
      </c>
      <c r="F28" s="21" t="s">
        <v>1126</v>
      </c>
      <c r="G28" s="22" t="s">
        <v>28</v>
      </c>
      <c r="H28" s="23">
        <v>250000</v>
      </c>
      <c r="I28" s="23"/>
      <c r="J28" s="23">
        <v>1080000</v>
      </c>
      <c r="K28" s="24"/>
      <c r="L28" s="57"/>
      <c r="M28" s="57"/>
      <c r="N28" s="57"/>
      <c r="O28" s="57"/>
      <c r="P28" s="57"/>
      <c r="Q28" s="57"/>
      <c r="R28" s="57"/>
      <c r="S28" s="57"/>
      <c r="T28" s="24"/>
      <c r="U28" s="16">
        <f t="shared" si="0"/>
        <v>1330000</v>
      </c>
      <c r="V28" s="23">
        <v>1330000</v>
      </c>
      <c r="W28" s="122">
        <v>42240</v>
      </c>
      <c r="X28" s="81"/>
      <c r="Y28" s="22">
        <f t="shared" si="1"/>
        <v>0</v>
      </c>
      <c r="Z28" s="57"/>
    </row>
    <row r="29" spans="1:26" ht="46.8">
      <c r="A29" s="27"/>
      <c r="B29" s="42">
        <v>42238</v>
      </c>
      <c r="C29" s="200" t="s">
        <v>532</v>
      </c>
      <c r="D29" s="202"/>
      <c r="E29" s="201" t="s">
        <v>310</v>
      </c>
      <c r="F29" s="21" t="s">
        <v>1125</v>
      </c>
      <c r="G29" s="22" t="s">
        <v>94</v>
      </c>
      <c r="H29" s="23">
        <v>980000</v>
      </c>
      <c r="I29" s="23"/>
      <c r="J29" s="23"/>
      <c r="K29" s="24"/>
      <c r="L29" s="57"/>
      <c r="M29" s="57"/>
      <c r="N29" s="57"/>
      <c r="O29" s="57"/>
      <c r="P29" s="57"/>
      <c r="Q29" s="57"/>
      <c r="R29" s="57"/>
      <c r="S29" s="57"/>
      <c r="T29" s="24"/>
      <c r="U29" s="16">
        <f t="shared" si="0"/>
        <v>980000</v>
      </c>
      <c r="V29" s="23">
        <v>980000</v>
      </c>
      <c r="W29" s="122">
        <v>42238</v>
      </c>
      <c r="X29" s="81"/>
      <c r="Y29" s="22">
        <f t="shared" si="1"/>
        <v>0</v>
      </c>
      <c r="Z29" s="57"/>
    </row>
    <row r="30" spans="1:26" ht="31.2">
      <c r="A30" s="27"/>
      <c r="B30" s="42">
        <v>42240</v>
      </c>
      <c r="C30" s="200" t="s">
        <v>1127</v>
      </c>
      <c r="D30" s="207" t="s">
        <v>1128</v>
      </c>
      <c r="E30" s="201" t="s">
        <v>134</v>
      </c>
      <c r="F30" s="21" t="s">
        <v>1129</v>
      </c>
      <c r="G30" s="22" t="s">
        <v>91</v>
      </c>
      <c r="H30" s="23">
        <v>480000</v>
      </c>
      <c r="I30" s="23"/>
      <c r="J30" s="23">
        <v>1080000</v>
      </c>
      <c r="K30" s="24"/>
      <c r="L30" s="57"/>
      <c r="M30" s="57"/>
      <c r="N30" s="57"/>
      <c r="O30" s="57"/>
      <c r="P30" s="57"/>
      <c r="Q30" s="57"/>
      <c r="R30" s="57"/>
      <c r="S30" s="57"/>
      <c r="T30" s="24">
        <v>108000</v>
      </c>
      <c r="U30" s="16">
        <f t="shared" si="0"/>
        <v>1668000</v>
      </c>
      <c r="V30" s="23"/>
      <c r="W30" s="122"/>
      <c r="X30" s="81"/>
      <c r="Y30" s="22">
        <f t="shared" si="1"/>
        <v>1668000</v>
      </c>
      <c r="Z30" s="57"/>
    </row>
  </sheetData>
  <mergeCells count="15">
    <mergeCell ref="X1:X2"/>
    <mergeCell ref="Y1:Y2"/>
    <mergeCell ref="Z1:Z2"/>
    <mergeCell ref="H1:R1"/>
    <mergeCell ref="S1:S2"/>
    <mergeCell ref="T1:T2"/>
    <mergeCell ref="U1:U2"/>
    <mergeCell ref="V1:V2"/>
    <mergeCell ref="W1:W2"/>
    <mergeCell ref="G1:G2"/>
    <mergeCell ref="A1:A2"/>
    <mergeCell ref="B1:B2"/>
    <mergeCell ref="C1:C2"/>
    <mergeCell ref="E1:E2"/>
    <mergeCell ref="F1:F2"/>
  </mergeCells>
  <conditionalFormatting sqref="E1:E2">
    <cfRule type="containsText" dxfId="35" priority="35" stopIfTrue="1" operator="containsText" text="Gia hạn">
      <formula>NOT(ISERROR(SEARCH("Gia hạn",E1)))</formula>
    </cfRule>
    <cfRule type="cellIs" dxfId="34" priority="36" stopIfTrue="1" operator="equal">
      <formula>"Gia hạn"</formula>
    </cfRule>
  </conditionalFormatting>
  <conditionalFormatting sqref="G1:G2">
    <cfRule type="containsText" dxfId="33" priority="34" stopIfTrue="1" operator="containsText" text="THV">
      <formula>NOT(ISERROR(SEARCH("THV",G1)))</formula>
    </cfRule>
  </conditionalFormatting>
  <conditionalFormatting sqref="E1:E2">
    <cfRule type="containsText" dxfId="32" priority="33" stopIfTrue="1" operator="containsText" text="gia hạn">
      <formula>NOT(ISERROR(SEARCH("gia hạn",E1)))</formula>
    </cfRule>
  </conditionalFormatting>
  <conditionalFormatting sqref="G1:G2">
    <cfRule type="containsText" dxfId="31" priority="32" operator="containsText" text="Tịnh">
      <formula>NOT(ISERROR(SEARCH("Tịnh",G1)))</formula>
    </cfRule>
  </conditionalFormatting>
  <conditionalFormatting sqref="E3:E8 E10:E30">
    <cfRule type="containsText" dxfId="30" priority="31" stopIfTrue="1" operator="containsText" text="gia hạn">
      <formula>NOT(ISERROR(SEARCH("gia hạn",E3)))</formula>
    </cfRule>
  </conditionalFormatting>
  <conditionalFormatting sqref="G3:G30">
    <cfRule type="containsText" dxfId="29" priority="30" operator="containsText" text="Tịnh">
      <formula>NOT(ISERROR(SEARCH("Tịnh",G3)))</formula>
    </cfRule>
  </conditionalFormatting>
  <conditionalFormatting sqref="E3:E8 E10:E30">
    <cfRule type="containsText" dxfId="28" priority="28" stopIfTrue="1" operator="containsText" text="Gia hạn">
      <formula>NOT(ISERROR(SEARCH("Gia hạn",E3)))</formula>
    </cfRule>
    <cfRule type="cellIs" dxfId="27" priority="29" stopIfTrue="1" operator="equal">
      <formula>"Gia hạn"</formula>
    </cfRule>
  </conditionalFormatting>
  <conditionalFormatting sqref="G3:G30">
    <cfRule type="containsText" dxfId="26" priority="27" stopIfTrue="1" operator="containsText" text="THV">
      <formula>NOT(ISERROR(SEARCH("THV",G3)))</formula>
    </cfRule>
  </conditionalFormatting>
  <conditionalFormatting sqref="E3">
    <cfRule type="containsText" dxfId="25" priority="25" stopIfTrue="1" operator="containsText" text="Gia hạn">
      <formula>NOT(ISERROR(SEARCH("Gia hạn",E3)))</formula>
    </cfRule>
    <cfRule type="cellIs" dxfId="24" priority="26" stopIfTrue="1" operator="equal">
      <formula>"Gia hạn"</formula>
    </cfRule>
  </conditionalFormatting>
  <conditionalFormatting sqref="E4">
    <cfRule type="containsText" dxfId="23" priority="23" stopIfTrue="1" operator="containsText" text="Gia hạn">
      <formula>NOT(ISERROR(SEARCH("Gia hạn",E4)))</formula>
    </cfRule>
    <cfRule type="cellIs" dxfId="22" priority="24" stopIfTrue="1" operator="equal">
      <formula>"Gia hạn"</formula>
    </cfRule>
  </conditionalFormatting>
  <conditionalFormatting sqref="E5">
    <cfRule type="containsText" dxfId="21" priority="21" stopIfTrue="1" operator="containsText" text="Gia hạn">
      <formula>NOT(ISERROR(SEARCH("Gia hạn",E5)))</formula>
    </cfRule>
    <cfRule type="cellIs" dxfId="20" priority="22" stopIfTrue="1" operator="equal">
      <formula>"Gia hạn"</formula>
    </cfRule>
  </conditionalFormatting>
  <conditionalFormatting sqref="E6">
    <cfRule type="containsText" dxfId="19" priority="19" stopIfTrue="1" operator="containsText" text="Gia hạn">
      <formula>NOT(ISERROR(SEARCH("Gia hạn",E6)))</formula>
    </cfRule>
    <cfRule type="cellIs" dxfId="18" priority="20" stopIfTrue="1" operator="equal">
      <formula>"Gia hạn"</formula>
    </cfRule>
  </conditionalFormatting>
  <conditionalFormatting sqref="E8">
    <cfRule type="containsText" dxfId="17" priority="17" stopIfTrue="1" operator="containsText" text="Gia hạn">
      <formula>NOT(ISERROR(SEARCH("Gia hạn",E8)))</formula>
    </cfRule>
    <cfRule type="cellIs" dxfId="16" priority="18" stopIfTrue="1" operator="equal">
      <formula>"Gia hạn"</formula>
    </cfRule>
  </conditionalFormatting>
  <conditionalFormatting sqref="E13">
    <cfRule type="containsText" dxfId="15" priority="15" stopIfTrue="1" operator="containsText" text="Gia hạn">
      <formula>NOT(ISERROR(SEARCH("Gia hạn",E13)))</formula>
    </cfRule>
    <cfRule type="cellIs" dxfId="14" priority="16" stopIfTrue="1" operator="equal">
      <formula>"Gia hạn"</formula>
    </cfRule>
  </conditionalFormatting>
  <conditionalFormatting sqref="E15">
    <cfRule type="containsText" dxfId="13" priority="13" stopIfTrue="1" operator="containsText" text="Gia hạn">
      <formula>NOT(ISERROR(SEARCH("Gia hạn",E15)))</formula>
    </cfRule>
    <cfRule type="cellIs" dxfId="12" priority="14" stopIfTrue="1" operator="equal">
      <formula>"Gia hạn"</formula>
    </cfRule>
  </conditionalFormatting>
  <conditionalFormatting sqref="E16">
    <cfRule type="containsText" dxfId="11" priority="11" stopIfTrue="1" operator="containsText" text="Gia hạn">
      <formula>NOT(ISERROR(SEARCH("Gia hạn",E16)))</formula>
    </cfRule>
    <cfRule type="cellIs" dxfId="10" priority="12" stopIfTrue="1" operator="equal">
      <formula>"Gia hạn"</formula>
    </cfRule>
  </conditionalFormatting>
  <conditionalFormatting sqref="E17">
    <cfRule type="containsText" dxfId="9" priority="9" stopIfTrue="1" operator="containsText" text="Gia hạn">
      <formula>NOT(ISERROR(SEARCH("Gia hạn",E17)))</formula>
    </cfRule>
    <cfRule type="cellIs" dxfId="8" priority="10" stopIfTrue="1" operator="equal">
      <formula>"Gia hạn"</formula>
    </cfRule>
  </conditionalFormatting>
  <conditionalFormatting sqref="E19">
    <cfRule type="containsText" dxfId="7" priority="7" stopIfTrue="1" operator="containsText" text="Gia hạn">
      <formula>NOT(ISERROR(SEARCH("Gia hạn",E19)))</formula>
    </cfRule>
    <cfRule type="cellIs" dxfId="6" priority="8" stopIfTrue="1" operator="equal">
      <formula>"Gia hạn"</formula>
    </cfRule>
  </conditionalFormatting>
  <conditionalFormatting sqref="E23">
    <cfRule type="containsText" dxfId="5" priority="5" stopIfTrue="1" operator="containsText" text="Gia hạn">
      <formula>NOT(ISERROR(SEARCH("Gia hạn",E23)))</formula>
    </cfRule>
    <cfRule type="cellIs" dxfId="4" priority="6" stopIfTrue="1" operator="equal">
      <formula>"Gia hạn"</formula>
    </cfRule>
  </conditionalFormatting>
  <conditionalFormatting sqref="E24">
    <cfRule type="containsText" dxfId="3" priority="3" stopIfTrue="1" operator="containsText" text="Gia hạn">
      <formula>NOT(ISERROR(SEARCH("Gia hạn",E24)))</formula>
    </cfRule>
    <cfRule type="cellIs" dxfId="2" priority="4" stopIfTrue="1" operator="equal">
      <formula>"Gia hạn"</formula>
    </cfRule>
  </conditionalFormatting>
  <conditionalFormatting sqref="E27">
    <cfRule type="containsText" dxfId="1" priority="1" stopIfTrue="1" operator="containsText" text="Gia hạn">
      <formula>NOT(ISERROR(SEARCH("Gia hạn",E27)))</formula>
    </cfRule>
    <cfRule type="cellIs" dxfId="0" priority="2" stopIfTrue="1" operator="equal">
      <formula>"Gia hạn"</formula>
    </cfRule>
  </conditionalFormatting>
  <hyperlinks>
    <hyperlink ref="F26" r:id="rId1" display="http://www.dpc.company/"/>
    <hyperlink ref="F28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Tổng hợp 2015</vt:lpstr>
      <vt:lpstr>T01</vt:lpstr>
      <vt:lpstr>T02</vt:lpstr>
      <vt:lpstr>T03</vt:lpstr>
      <vt:lpstr>T04</vt:lpstr>
      <vt:lpstr>T05</vt:lpstr>
      <vt:lpstr>T06</vt:lpstr>
      <vt:lpstr>T07</vt:lpstr>
      <vt:lpstr>T08</vt:lpstr>
      <vt:lpstr>Gia hạn</vt:lpstr>
      <vt:lpstr>Nợ</vt:lpstr>
      <vt:lpstr>Sheet1</vt:lpstr>
      <vt:lpstr>THWeb</vt:lpstr>
    </vt:vector>
  </TitlesOfParts>
  <Company>XP-2010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An</dc:creator>
  <cp:lastModifiedBy>phong</cp:lastModifiedBy>
  <dcterms:created xsi:type="dcterms:W3CDTF">2014-12-30T04:35:17Z</dcterms:created>
  <dcterms:modified xsi:type="dcterms:W3CDTF">2015-08-27T01:59:03Z</dcterms:modified>
</cp:coreProperties>
</file>